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tables/table17.xml" ContentType="application/vnd.openxmlformats-officedocument.spreadsheetml.table+xml"/>
  <Override PartName="/xl/tables/table18.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xml"/>
  <Override PartName="/xl/ctrlProps/ctrlProp3.xml" ContentType="application/vnd.ms-excel.controlproperties+xml"/>
  <Override PartName="/xl/ctrlProps/ctrlProp4.xml" ContentType="application/vnd.ms-excel.controlproperties+xml"/>
  <Override PartName="/xl/tables/table19.xml" ContentType="application/vnd.openxmlformats-officedocument.spreadsheetml.tab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6.xml" ContentType="application/vnd.openxmlformats-officedocument.drawing+xml"/>
  <Override PartName="/xl/ctrlProps/ctrlProp5.xml" ContentType="application/vnd.ms-excel.controlproperties+xml"/>
  <Override PartName="/xl/ctrlProps/ctrlProp6.xml" ContentType="application/vnd.ms-excel.controlproperties+xml"/>
  <Override PartName="/xl/tables/table20.xml" ContentType="application/vnd.openxmlformats-officedocument.spreadsheetml.table+xml"/>
  <Override PartName="/xl/tables/table21.xml" ContentType="application/vnd.openxmlformats-officedocument.spreadsheetml.tab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7.xml" ContentType="application/vnd.openxmlformats-officedocument.drawing+xml"/>
  <Override PartName="/xl/ctrlProps/ctrlProp7.xml" ContentType="application/vnd.ms-excel.controlproperties+xml"/>
  <Override PartName="/xl/ctrlProps/ctrlProp8.xml" ContentType="application/vnd.ms-excel.controlproperties+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8.xml" ContentType="application/vnd.openxmlformats-officedocument.drawing+xml"/>
  <Override PartName="/xl/ctrlProps/ctrlProp9.xml" ContentType="application/vnd.ms-excel.controlproperties+xml"/>
  <Override PartName="/xl/ctrlProps/ctrlProp10.xml" ContentType="application/vnd.ms-excel.controlproperties+xml"/>
  <Override PartName="/xl/tables/table27.xml" ContentType="application/vnd.openxmlformats-officedocument.spreadsheetml.tab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9.xml" ContentType="application/vnd.openxmlformats-officedocument.drawing+xml"/>
  <Override PartName="/xl/charts/chartEx1.xml" ContentType="application/vnd.ms-office.chartex+xml"/>
  <Override PartName="/xl/charts/style15.xml" ContentType="application/vnd.ms-office.chartstyle+xml"/>
  <Override PartName="/xl/charts/colors15.xml" ContentType="application/vnd.ms-office.chartcolorstyle+xml"/>
  <Override PartName="/xl/charts/chartEx2.xml" ContentType="application/vnd.ms-office.chartex+xml"/>
  <Override PartName="/xl/charts/style16.xml" ContentType="application/vnd.ms-office.chartstyle+xml"/>
  <Override PartName="/xl/charts/colors16.xml" ContentType="application/vnd.ms-office.chartcolorstyle+xml"/>
  <Override PartName="/xl/charts/chartEx3.xml" ContentType="application/vnd.ms-office.chartex+xml"/>
  <Override PartName="/xl/charts/style17.xml" ContentType="application/vnd.ms-office.chartstyle+xml"/>
  <Override PartName="/xl/charts/colors17.xml" ContentType="application/vnd.ms-office.chartcolorstyle+xml"/>
  <Override PartName="/xl/drawings/drawing10.xml" ContentType="application/vnd.openxmlformats-officedocument.drawing+xml"/>
  <Override PartName="/xl/charts/chart15.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1.xml" ContentType="application/vnd.openxmlformats-officedocument.drawing+xml"/>
  <Override PartName="/xl/charts/chart16.xml" ContentType="application/vnd.openxmlformats-officedocument.drawingml.chart+xml"/>
  <Override PartName="/xl/charts/style19.xml" ContentType="application/vnd.ms-office.chartstyle+xml"/>
  <Override PartName="/xl/charts/colors19.xml" ContentType="application/vnd.ms-office.chartcolorstyle+xml"/>
  <Override PartName="/xl/calcChain.xml" ContentType="application/vnd.openxmlformats-officedocument.spreadsheetml.calcChain+xml"/>
  <Override PartName="/xl/python.xml" ContentType="application/vnd.ms-excel.pyth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d.docs.live.net/667c89819a434528/Documents/Financial Independence/Blog Posts/Rent vs. Buy/"/>
    </mc:Choice>
  </mc:AlternateContent>
  <xr:revisionPtr revIDLastSave="0" documentId="8_{0A7F9AF1-468D-445D-A5A4-BE4B6F1A3470}" xr6:coauthVersionLast="47" xr6:coauthVersionMax="47" xr10:uidLastSave="{00000000-0000-0000-0000-000000000000}"/>
  <workbookProtection workbookAlgorithmName="SHA-512" workbookHashValue="/g7T/ShpCknvefB7lbqiaLHmQR8Gjxn3JNlQIINGfoElWktjcpzMor3ZjZZ17zoUGMM3RVGxVdepIpSHlnwZrA==" workbookSaltValue="F18QqNMrdxVbVE3z+vLrog==" workbookSpinCount="100000" lockStructure="1"/>
  <bookViews>
    <workbookView xWindow="-28920" yWindow="-7065" windowWidth="29040" windowHeight="17640" tabRatio="712" firstSheet="6" activeTab="7" xr2:uid="{00000000-000D-0000-FFFF-FFFF00000000}"/>
  </bookViews>
  <sheets>
    <sheet name="2025 Budget" sheetId="10" state="hidden" r:id="rId1"/>
    <sheet name="2026 Budget (Rent 50)" sheetId="34" state="hidden" r:id="rId2"/>
    <sheet name="2027 Budget" sheetId="36" state="hidden" r:id="rId3"/>
    <sheet name="Assets" sheetId="29" state="hidden" r:id="rId4"/>
    <sheet name="2024 Budget" sheetId="8" state="hidden" r:id="rId5"/>
    <sheet name="Business_172 PH Rd Budget" sheetId="20" state="hidden" r:id="rId6"/>
    <sheet name="About" sheetId="61" r:id="rId7"/>
    <sheet name="Navigation Pane" sheetId="52" r:id="rId8"/>
    <sheet name="Data Entry" sheetId="50" r:id="rId9"/>
    <sheet name="Monthly Amort. Sch." sheetId="48" r:id="rId10"/>
    <sheet name="Annual Amort. Sch." sheetId="45" r:id="rId11"/>
    <sheet name="Difference in Expenses" sheetId="53" r:id="rId12"/>
    <sheet name="Investment Simulation" sheetId="55" r:id="rId13"/>
    <sheet name="Total Projected Assets" sheetId="60" r:id="rId14"/>
    <sheet name="Monte Carlo Simulation" sheetId="57" r:id="rId15"/>
    <sheet name="Sheet4" sheetId="25" state="hidden" r:id="rId16"/>
    <sheet name="Wedding Business Cash Flow" sheetId="12" state="hidden" r:id="rId17"/>
    <sheet name="Wedding Business Cash Flow (2)" sheetId="21" state="hidden" r:id="rId18"/>
    <sheet name="Business_Investment Schedule" sheetId="18" state="hidden" r:id="rId19"/>
    <sheet name="Business_prd &amp; Service Schedule" sheetId="16" state="hidden" r:id="rId20"/>
    <sheet name="Business_CashFlow" sheetId="13" state="hidden" r:id="rId21"/>
    <sheet name="Taxes" sheetId="15" state="hidden" r:id="rId22"/>
  </sheets>
  <definedNames>
    <definedName name="_xlnm._FilterDatabase" localSheetId="4" hidden="1">'2024 Budget'!$E$2:$I$36</definedName>
    <definedName name="_xlnm._FilterDatabase" localSheetId="0" hidden="1">'2025 Budget'!$B$4:$H$49</definedName>
    <definedName name="_xlnm._FilterDatabase" localSheetId="1" hidden="1">'2026 Budget (Rent 50)'!$B$4:$H$39</definedName>
    <definedName name="_xlnm._FilterDatabase" localSheetId="2" hidden="1">'2027 Budget'!$B$4:$H$39</definedName>
    <definedName name="_xlnm._FilterDatabase" localSheetId="5" hidden="1">'Business_172 PH Rd Budget'!$E$2:$I$36</definedName>
    <definedName name="_xlnm._FilterDatabase" localSheetId="18" hidden="1">'Business_Investment Schedule'!$B$2:$K$24</definedName>
    <definedName name="_xlchart.v1.0" hidden="1">'Monte Carlo Simulation'!$P$20</definedName>
    <definedName name="_xlchart.v1.1" hidden="1">'Monte Carlo Simulation'!$Q$22:$Q$271</definedName>
    <definedName name="_xlchart.v1.2" hidden="1">'Monte Carlo Simulation'!$M$20</definedName>
    <definedName name="_xlchart.v1.3" hidden="1">'Monte Carlo Simulation'!$N$22:$N$271</definedName>
    <definedName name="_xlchart.v1.4" hidden="1">'Monte Carlo Simulation'!$P$20</definedName>
    <definedName name="_xlchart.v1.5" hidden="1">'Monte Carlo Simulation'!$Q$22:$Q$271</definedName>
    <definedName name="_xlchart.v1.6" hidden="1">'Monte Carlo Simulation'!$M$20</definedName>
    <definedName name="_xlchart.v1.7" hidden="1">'Monte Carlo Simulation'!$N$22:$N$271</definedName>
    <definedName name="ammortization_schedule_end_year">'Annual Amort. Sch.'!$C$10</definedName>
    <definedName name="ammortization_schedule_start_year">'Annual Amort. Sch.'!$C$8</definedName>
    <definedName name="annual_home_insurance">'Data Entry'!$Q$12</definedName>
    <definedName name="annual_homeowners_insurance_increasepercentage">'Data Entry'!$C$10</definedName>
    <definedName name="annual_housing_appreciation_percentage">'Data Entry'!$C$7</definedName>
    <definedName name="annual_interest_rate">'Data Entry'!$F$13</definedName>
    <definedName name="annual_mortgage">'Data Entry'!$Q$8</definedName>
    <definedName name="annual_pmi">'Data Entry'!$Q$10</definedName>
    <definedName name="annual_property_tax_increase_percentage">'Data Entry'!$C$8</definedName>
    <definedName name="annual_property_taxes">'Data Entry'!$Q$11</definedName>
    <definedName name="annual_regular_maintenance">'Data Entry'!$Q$9</definedName>
    <definedName name="annual_regular_maintenance_increase_percentage">'Data Entry'!$C$9</definedName>
    <definedName name="annual_rent_increase">'Data Entry'!$C$17</definedName>
    <definedName name="annual_routine_maintenance">'Data Entry'!$Q$9</definedName>
    <definedName name="annual_stock_market_return">'Data Entry'!$C$12</definedName>
    <definedName name="AnnualMorrisonExpenses">#REF!</definedName>
    <definedName name="appraisal_fee">'Data Entry'!$J$10</definedName>
    <definedName name="CapGains_Perc">#REF!</definedName>
    <definedName name="cash_to_close">'Data Entry'!$F$21</definedName>
    <definedName name="CashToClose" localSheetId="10">'Annual Amort. Sch.'!#REF!</definedName>
    <definedName name="CashToClose">#REF!</definedName>
    <definedName name="credit_report_fee">'Data Entry'!$J$11</definedName>
    <definedName name="cumulative_equity_y1">'Annual Amort. Sch.'!$AI$17</definedName>
    <definedName name="cumulative_principal_y1">'Annual Amort. Sch.'!$AG$17</definedName>
    <definedName name="down_payment_dollars">'Data Entry'!$F$11</definedName>
    <definedName name="down_payment_percentage">'Data Entry'!$F$10</definedName>
    <definedName name="Eric_C1">#REF!</definedName>
    <definedName name="Eric_C1_Contributions">#REF!</definedName>
    <definedName name="Eric_Fidelity">#REF!</definedName>
    <definedName name="Eric_Fidelity_Withdrawl">#REF!</definedName>
    <definedName name="ericsalary2025">#REF!</definedName>
    <definedName name="Ericworking2023?">#REF!</definedName>
    <definedName name="ericworking2025">#REF!</definedName>
    <definedName name="Expected_Raise">#REF!</definedName>
    <definedName name="flood_certificate_fee">'Data Entry'!$J$12</definedName>
    <definedName name="Inflation">#REF!</definedName>
    <definedName name="loan_amount">'Data Entry'!$F$12</definedName>
    <definedName name="loan_processing_fee">'Data Entry'!$J$8</definedName>
    <definedName name="loan_term_years">'Data Entry'!$F$9</definedName>
    <definedName name="mers_registration_fee">'Data Entry'!$J$13</definedName>
    <definedName name="MITRE_A3">#REF!</definedName>
    <definedName name="MITRE_B1_Match">#REF!</definedName>
    <definedName name="MITREB1Match">#REF!</definedName>
    <definedName name="month_mortgage_paid_off">'Data Entry'!$C$30</definedName>
    <definedName name="monthly_interest_rate">'Data Entry'!$F$14</definedName>
    <definedName name="monthly_principal_and_interest">'Data Entry'!$F$18</definedName>
    <definedName name="monthly_rental_cost">'Data Entry'!$C$16</definedName>
    <definedName name="monthly_stock_market_return">'Data Entry'!$C$13</definedName>
    <definedName name="other_closing_costs">'Data Entry'!$I$24:$I$24</definedName>
    <definedName name="pmi_annual">'Data Entry'!#REF!</definedName>
    <definedName name="pmi_percentage">'Data Entry'!$F$16</definedName>
    <definedName name="pmi_until_percentage_equity">'Data Entry'!$F$15</definedName>
    <definedName name="PP_PerYear">#REF!</definedName>
    <definedName name="purchase_price">'Data Entry'!$F$8</definedName>
    <definedName name="purchase_year">'Data Entry'!$F$7</definedName>
    <definedName name="Sara_C1">#REF!</definedName>
    <definedName name="Sara_C1_Contributions">#REF!</definedName>
    <definedName name="Saved_2024" localSheetId="0">'2025 Budget'!#REF!</definedName>
    <definedName name="Saved_2024" localSheetId="1">'2026 Budget (Rent 50)'!#REF!</definedName>
    <definedName name="Saved_2024" localSheetId="2">'2027 Budget'!#REF!</definedName>
    <definedName name="Saved_2024" localSheetId="5">'Business_172 PH Rd Budget'!$S$16</definedName>
    <definedName name="Saved_2024">'2024 Budget'!$S$17</definedName>
    <definedName name="simulation_stock_market_mean_return">'Data Entry'!$C$14</definedName>
    <definedName name="simulation_stock_market_standarddev_return">'Data Entry'!$C$15</definedName>
    <definedName name="solver_eng" localSheetId="14" hidden="1">1</definedName>
    <definedName name="solver_neg" localSheetId="14" hidden="1">1</definedName>
    <definedName name="solver_num" localSheetId="14" hidden="1">0</definedName>
    <definedName name="solver_opt" localSheetId="14" hidden="1">'Total Projected Assets'!#REF!</definedName>
    <definedName name="solver_typ" localSheetId="14" hidden="1">1</definedName>
    <definedName name="solver_val" localSheetId="14" hidden="1">0</definedName>
    <definedName name="solver_ver" localSheetId="14" hidden="1">3</definedName>
    <definedName name="state_transfer_tax">'Data Entry'!$C$11</definedName>
    <definedName name="Tax_Rate">#REF!</definedName>
    <definedName name="tax_service_fee">'Data Entry'!$J$14</definedName>
    <definedName name="tite_cpl_fee">'Data Entry'!$J$15</definedName>
    <definedName name="title_lending_title_insurance">'Data Entry'!$J$16</definedName>
    <definedName name="title_settlement_closing_fee">'Data Entry'!$J$17</definedName>
    <definedName name="total_loan_payments">'Data Entry'!$F$17</definedName>
    <definedName name="underwriting_fee">'Data Entry'!$J$9</definedName>
    <definedName name="year_mortgage_paid_off">'Data Entry'!$C$31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6" i="50" l="1"/>
  <c r="T17" i="50"/>
  <c r="T18" i="50"/>
  <c r="T19" i="50"/>
  <c r="T20" i="50"/>
  <c r="T21" i="50"/>
  <c r="T22" i="50"/>
  <c r="T23" i="50"/>
  <c r="T24" i="50"/>
  <c r="T25" i="50"/>
  <c r="T26" i="50"/>
  <c r="T27" i="50"/>
  <c r="T28" i="50"/>
  <c r="T15" i="50"/>
  <c r="M41" i="50"/>
  <c r="M42" i="50"/>
  <c r="M43" i="50"/>
  <c r="M44" i="50"/>
  <c r="M45" i="50"/>
  <c r="M46" i="50"/>
  <c r="M47" i="50"/>
  <c r="M48" i="50"/>
  <c r="M49" i="50"/>
  <c r="M50" i="50"/>
  <c r="M51" i="50"/>
  <c r="M52" i="50"/>
  <c r="M53" i="50"/>
  <c r="M54" i="50"/>
  <c r="M55" i="50"/>
  <c r="M56" i="50"/>
  <c r="M57" i="50"/>
  <c r="M58" i="50"/>
  <c r="M59" i="50"/>
  <c r="M60" i="50"/>
  <c r="M61" i="50"/>
  <c r="M62" i="50"/>
  <c r="M63" i="50"/>
  <c r="M64" i="50"/>
  <c r="M65" i="50"/>
  <c r="M66" i="50"/>
  <c r="M67" i="50"/>
  <c r="M68" i="50"/>
  <c r="M69" i="50"/>
  <c r="M70" i="50"/>
  <c r="M71" i="50"/>
  <c r="M72" i="50"/>
  <c r="M73" i="50"/>
  <c r="M74" i="50"/>
  <c r="M75" i="50"/>
  <c r="M76" i="50"/>
  <c r="M77" i="50"/>
  <c r="M78" i="50"/>
  <c r="M79" i="50"/>
  <c r="M80" i="50"/>
  <c r="M81" i="50"/>
  <c r="M82" i="50"/>
  <c r="M83" i="50"/>
  <c r="M84" i="50"/>
  <c r="M85" i="50"/>
  <c r="M86" i="50"/>
  <c r="M87" i="50"/>
  <c r="M88" i="50"/>
  <c r="M89" i="50"/>
  <c r="M90" i="50"/>
  <c r="M91" i="50"/>
  <c r="M92" i="50"/>
  <c r="M93" i="50"/>
  <c r="M94" i="50"/>
  <c r="M95" i="50"/>
  <c r="M96" i="50"/>
  <c r="M97" i="50"/>
  <c r="M98" i="50"/>
  <c r="M99" i="50"/>
  <c r="M100" i="50"/>
  <c r="M40" i="50"/>
  <c r="M39" i="50"/>
  <c r="M38" i="50"/>
  <c r="F20" i="50"/>
  <c r="AE117" i="53"/>
  <c r="AE116" i="53"/>
  <c r="AE115" i="53"/>
  <c r="AE114" i="53"/>
  <c r="AE113" i="53"/>
  <c r="AE112" i="53"/>
  <c r="AE111" i="53"/>
  <c r="AE110" i="53"/>
  <c r="AE109" i="53"/>
  <c r="AE108" i="53"/>
  <c r="AE107" i="53"/>
  <c r="AE106" i="53"/>
  <c r="AE105" i="53"/>
  <c r="AE104" i="53"/>
  <c r="AE103" i="53"/>
  <c r="AE102" i="53"/>
  <c r="AE101" i="53"/>
  <c r="AE100" i="53"/>
  <c r="AE99" i="53"/>
  <c r="AE98" i="53"/>
  <c r="AE97" i="53"/>
  <c r="AE96" i="53"/>
  <c r="AE95" i="53"/>
  <c r="AE94" i="53"/>
  <c r="AE93" i="53"/>
  <c r="AE92" i="53"/>
  <c r="AE91" i="53"/>
  <c r="AE90" i="53"/>
  <c r="AE89" i="53"/>
  <c r="AE88" i="53"/>
  <c r="AE87" i="53"/>
  <c r="AE86" i="53"/>
  <c r="AE85" i="53"/>
  <c r="AE84" i="53"/>
  <c r="AE83" i="53"/>
  <c r="AE82" i="53"/>
  <c r="AE81" i="53"/>
  <c r="AE80" i="53"/>
  <c r="AE79" i="53"/>
  <c r="AE78" i="53"/>
  <c r="AE77" i="53"/>
  <c r="AE76" i="53"/>
  <c r="AE75" i="53"/>
  <c r="AE74" i="53"/>
  <c r="AE73" i="53"/>
  <c r="AE72" i="53"/>
  <c r="AE71" i="53"/>
  <c r="AE70" i="53"/>
  <c r="AE69" i="53"/>
  <c r="AE68" i="53"/>
  <c r="AE67" i="53"/>
  <c r="AE66" i="53"/>
  <c r="AE65" i="53"/>
  <c r="AE64" i="53"/>
  <c r="AE63" i="53"/>
  <c r="AE62" i="53"/>
  <c r="AE61" i="53"/>
  <c r="AE60" i="53"/>
  <c r="AE59" i="53"/>
  <c r="AE58" i="53"/>
  <c r="AE57" i="53"/>
  <c r="AE56" i="53"/>
  <c r="AE55" i="53"/>
  <c r="AE54" i="53"/>
  <c r="AE53" i="53"/>
  <c r="AE52" i="53"/>
  <c r="AE51" i="53"/>
  <c r="AE50" i="53"/>
  <c r="AE49" i="53"/>
  <c r="AE48" i="53"/>
  <c r="AE47" i="53"/>
  <c r="AE46" i="53"/>
  <c r="AE45" i="53"/>
  <c r="AE44" i="53"/>
  <c r="AE43" i="53"/>
  <c r="AE42" i="53"/>
  <c r="AE41" i="53"/>
  <c r="AE40" i="53"/>
  <c r="AE39" i="53"/>
  <c r="AE38" i="53"/>
  <c r="AE37" i="53"/>
  <c r="AE36" i="53"/>
  <c r="AE35" i="53"/>
  <c r="AE34" i="53"/>
  <c r="AE33" i="53"/>
  <c r="AE32" i="53"/>
  <c r="AE31" i="53"/>
  <c r="AE30" i="53"/>
  <c r="AE29" i="53"/>
  <c r="AE28" i="53"/>
  <c r="AE27" i="53"/>
  <c r="AE26" i="53"/>
  <c r="AE25" i="53"/>
  <c r="AE24" i="53"/>
  <c r="AE23" i="53"/>
  <c r="AE22" i="53"/>
  <c r="AE21" i="53"/>
  <c r="AE20" i="53"/>
  <c r="AE19" i="53"/>
  <c r="AE18" i="53"/>
  <c r="K23" i="57"/>
  <c r="K24" i="57"/>
  <c r="K25" i="57"/>
  <c r="K26" i="57"/>
  <c r="K27" i="57"/>
  <c r="K28" i="57"/>
  <c r="K29" i="57"/>
  <c r="K30" i="57"/>
  <c r="K31" i="57"/>
  <c r="K32" i="57"/>
  <c r="K33" i="57"/>
  <c r="K34" i="57"/>
  <c r="K35" i="57"/>
  <c r="K36" i="57"/>
  <c r="K37" i="57"/>
  <c r="K38" i="57"/>
  <c r="K39" i="57"/>
  <c r="K40" i="57"/>
  <c r="K41" i="57"/>
  <c r="K42" i="57"/>
  <c r="K43" i="57"/>
  <c r="K44" i="57"/>
  <c r="K45" i="57"/>
  <c r="K46" i="57"/>
  <c r="K47" i="57"/>
  <c r="K48" i="57"/>
  <c r="K49" i="57"/>
  <c r="K50" i="57"/>
  <c r="K51" i="57"/>
  <c r="K52" i="57"/>
  <c r="K53" i="57"/>
  <c r="K54" i="57"/>
  <c r="K55" i="57"/>
  <c r="K56" i="57"/>
  <c r="K57" i="57"/>
  <c r="K58" i="57"/>
  <c r="K59" i="57"/>
  <c r="K60" i="57"/>
  <c r="K61" i="57"/>
  <c r="K62" i="57"/>
  <c r="K63" i="57"/>
  <c r="K64" i="57"/>
  <c r="K65" i="57"/>
  <c r="K66" i="57"/>
  <c r="K67" i="57"/>
  <c r="K68" i="57"/>
  <c r="K69" i="57"/>
  <c r="K70" i="57"/>
  <c r="K71" i="57"/>
  <c r="K72" i="57"/>
  <c r="K73" i="57"/>
  <c r="K74" i="57"/>
  <c r="K75" i="57"/>
  <c r="K76" i="57"/>
  <c r="K77" i="57"/>
  <c r="K78" i="57"/>
  <c r="K79" i="57"/>
  <c r="K80" i="57"/>
  <c r="K81" i="57"/>
  <c r="K82" i="57"/>
  <c r="K83" i="57"/>
  <c r="K84" i="57"/>
  <c r="K85" i="57"/>
  <c r="K86" i="57"/>
  <c r="K87" i="57"/>
  <c r="K88" i="57"/>
  <c r="K89" i="57"/>
  <c r="K90" i="57"/>
  <c r="K91" i="57"/>
  <c r="K92" i="57"/>
  <c r="K93" i="57"/>
  <c r="K94" i="57"/>
  <c r="K95" i="57"/>
  <c r="K96" i="57"/>
  <c r="K97" i="57"/>
  <c r="K98" i="57"/>
  <c r="K99" i="57"/>
  <c r="K100" i="57"/>
  <c r="K101" i="57"/>
  <c r="K102" i="57"/>
  <c r="K103" i="57"/>
  <c r="K104" i="57"/>
  <c r="K105" i="57"/>
  <c r="K106" i="57"/>
  <c r="K107" i="57"/>
  <c r="K108" i="57"/>
  <c r="K109" i="57"/>
  <c r="K110" i="57"/>
  <c r="K111" i="57"/>
  <c r="K112" i="57"/>
  <c r="K113" i="57"/>
  <c r="K114" i="57"/>
  <c r="K115" i="57"/>
  <c r="K116" i="57"/>
  <c r="K117" i="57"/>
  <c r="K118" i="57"/>
  <c r="K119" i="57"/>
  <c r="K120" i="57"/>
  <c r="K121" i="57"/>
  <c r="K122" i="57"/>
  <c r="K123" i="57"/>
  <c r="K124" i="57"/>
  <c r="K125" i="57"/>
  <c r="K126" i="57"/>
  <c r="K127" i="57"/>
  <c r="K128" i="57"/>
  <c r="K129" i="57"/>
  <c r="K130" i="57"/>
  <c r="K131" i="57"/>
  <c r="K132" i="57"/>
  <c r="K133" i="57"/>
  <c r="K134" i="57"/>
  <c r="K135" i="57"/>
  <c r="K136" i="57"/>
  <c r="K137" i="57"/>
  <c r="K138" i="57"/>
  <c r="K139" i="57"/>
  <c r="K140" i="57"/>
  <c r="K141" i="57"/>
  <c r="K142" i="57"/>
  <c r="K143" i="57"/>
  <c r="K144" i="57"/>
  <c r="K145" i="57"/>
  <c r="K146" i="57"/>
  <c r="K147" i="57"/>
  <c r="K148" i="57"/>
  <c r="K149" i="57"/>
  <c r="K150" i="57"/>
  <c r="K151" i="57"/>
  <c r="K152" i="57"/>
  <c r="K153" i="57"/>
  <c r="K154" i="57"/>
  <c r="K155" i="57"/>
  <c r="K156" i="57"/>
  <c r="K157" i="57"/>
  <c r="K158" i="57"/>
  <c r="K159" i="57"/>
  <c r="K160" i="57"/>
  <c r="K161" i="57"/>
  <c r="K162" i="57"/>
  <c r="K163" i="57"/>
  <c r="K164" i="57"/>
  <c r="K165" i="57"/>
  <c r="K166" i="57"/>
  <c r="K167" i="57"/>
  <c r="K168" i="57"/>
  <c r="K169" i="57"/>
  <c r="K170" i="57"/>
  <c r="K171" i="57"/>
  <c r="K172" i="57"/>
  <c r="K173" i="57"/>
  <c r="K174" i="57"/>
  <c r="K175" i="57"/>
  <c r="K176" i="57"/>
  <c r="K177" i="57"/>
  <c r="K178" i="57"/>
  <c r="K179" i="57"/>
  <c r="K180" i="57"/>
  <c r="K181" i="57"/>
  <c r="K182" i="57"/>
  <c r="K183" i="57"/>
  <c r="K184" i="57"/>
  <c r="K185" i="57"/>
  <c r="K186" i="57"/>
  <c r="K187" i="57"/>
  <c r="K188" i="57"/>
  <c r="K189" i="57"/>
  <c r="K190" i="57"/>
  <c r="K191" i="57"/>
  <c r="K192" i="57"/>
  <c r="K193" i="57"/>
  <c r="K194" i="57"/>
  <c r="K195" i="57"/>
  <c r="K196" i="57"/>
  <c r="K197" i="57"/>
  <c r="K198" i="57"/>
  <c r="K199" i="57"/>
  <c r="K200" i="57"/>
  <c r="K201" i="57"/>
  <c r="K202" i="57"/>
  <c r="K203" i="57"/>
  <c r="K204" i="57"/>
  <c r="K205" i="57"/>
  <c r="K206" i="57"/>
  <c r="K207" i="57"/>
  <c r="K208" i="57"/>
  <c r="K209" i="57"/>
  <c r="K210" i="57"/>
  <c r="K211" i="57"/>
  <c r="K212" i="57"/>
  <c r="K213" i="57"/>
  <c r="K214" i="57"/>
  <c r="K215" i="57"/>
  <c r="K216" i="57"/>
  <c r="K217" i="57"/>
  <c r="K218" i="57"/>
  <c r="K219" i="57"/>
  <c r="K220" i="57"/>
  <c r="K221" i="57"/>
  <c r="K222" i="57"/>
  <c r="K223" i="57"/>
  <c r="K224" i="57"/>
  <c r="K225" i="57"/>
  <c r="K226" i="57"/>
  <c r="K227" i="57"/>
  <c r="K228" i="57"/>
  <c r="K229" i="57"/>
  <c r="K230" i="57"/>
  <c r="K231" i="57"/>
  <c r="K232" i="57"/>
  <c r="K233" i="57"/>
  <c r="K234" i="57"/>
  <c r="K235" i="57"/>
  <c r="K236" i="57"/>
  <c r="K237" i="57"/>
  <c r="K238" i="57"/>
  <c r="K239" i="57"/>
  <c r="K240" i="57"/>
  <c r="K241" i="57"/>
  <c r="K242" i="57"/>
  <c r="K243" i="57"/>
  <c r="K244" i="57"/>
  <c r="K245" i="57"/>
  <c r="K246" i="57"/>
  <c r="K247" i="57"/>
  <c r="K248" i="57"/>
  <c r="K249" i="57"/>
  <c r="K250" i="57"/>
  <c r="K251" i="57"/>
  <c r="K252" i="57"/>
  <c r="K253" i="57"/>
  <c r="K254" i="57"/>
  <c r="K255" i="57"/>
  <c r="K256" i="57"/>
  <c r="K257" i="57"/>
  <c r="K258" i="57"/>
  <c r="K259" i="57"/>
  <c r="K260" i="57"/>
  <c r="K261" i="57"/>
  <c r="K262" i="57"/>
  <c r="K263" i="57"/>
  <c r="K264" i="57"/>
  <c r="K265" i="57"/>
  <c r="K266" i="57"/>
  <c r="K267" i="57"/>
  <c r="K268" i="57"/>
  <c r="K269" i="57"/>
  <c r="K270" i="57"/>
  <c r="K271" i="57"/>
  <c r="K22" i="57"/>
  <c r="M20" i="57"/>
  <c r="P20" i="57"/>
  <c r="C18" i="50"/>
  <c r="F17" i="57"/>
  <c r="C17" i="57"/>
  <c r="F18" i="57"/>
  <c r="C18" i="57"/>
  <c r="F12" i="57"/>
  <c r="F11" i="57"/>
  <c r="C13" i="57"/>
  <c r="C12" i="57"/>
  <c r="C11" i="57"/>
  <c r="C15" i="57"/>
  <c r="C14" i="57"/>
  <c r="F13" i="57"/>
  <c r="F15" i="57"/>
  <c r="F14" i="57"/>
  <c r="L116" i="60"/>
  <c r="N116" i="60" s="1"/>
  <c r="P116" i="60" s="1"/>
  <c r="L115" i="60"/>
  <c r="N115" i="60" s="1"/>
  <c r="L114" i="60"/>
  <c r="N114" i="60" s="1"/>
  <c r="P114" i="60" s="1"/>
  <c r="L113" i="60"/>
  <c r="L112" i="60"/>
  <c r="N112" i="60" s="1"/>
  <c r="P112" i="60" s="1"/>
  <c r="L111" i="60"/>
  <c r="L110" i="60"/>
  <c r="N110" i="60" s="1"/>
  <c r="P110" i="60" s="1"/>
  <c r="L109" i="60"/>
  <c r="L108" i="60"/>
  <c r="N108" i="60" s="1"/>
  <c r="P108" i="60" s="1"/>
  <c r="L107" i="60"/>
  <c r="N107" i="60" s="1"/>
  <c r="L106" i="60"/>
  <c r="N106" i="60" s="1"/>
  <c r="P106" i="60" s="1"/>
  <c r="L105" i="60"/>
  <c r="L104" i="60"/>
  <c r="N104" i="60" s="1"/>
  <c r="P104" i="60" s="1"/>
  <c r="L103" i="60"/>
  <c r="N103" i="60" s="1"/>
  <c r="L102" i="60"/>
  <c r="N102" i="60" s="1"/>
  <c r="P102" i="60" s="1"/>
  <c r="L101" i="60"/>
  <c r="L100" i="60"/>
  <c r="N100" i="60" s="1"/>
  <c r="P100" i="60" s="1"/>
  <c r="L99" i="60"/>
  <c r="N99" i="60" s="1"/>
  <c r="L98" i="60"/>
  <c r="N98" i="60" s="1"/>
  <c r="P98" i="60" s="1"/>
  <c r="L97" i="60"/>
  <c r="L96" i="60"/>
  <c r="N96" i="60" s="1"/>
  <c r="L95" i="60"/>
  <c r="N95" i="60" s="1"/>
  <c r="L94" i="60"/>
  <c r="N94" i="60" s="1"/>
  <c r="P94" i="60" s="1"/>
  <c r="L93" i="60"/>
  <c r="L92" i="60"/>
  <c r="N92" i="60" s="1"/>
  <c r="P92" i="60" s="1"/>
  <c r="L91" i="60"/>
  <c r="N91" i="60" s="1"/>
  <c r="L90" i="60"/>
  <c r="N90" i="60" s="1"/>
  <c r="L89" i="60"/>
  <c r="L88" i="60"/>
  <c r="N88" i="60" s="1"/>
  <c r="L87" i="60"/>
  <c r="N87" i="60" s="1"/>
  <c r="L86" i="60"/>
  <c r="N86" i="60" s="1"/>
  <c r="L85" i="60"/>
  <c r="L84" i="60"/>
  <c r="N84" i="60" s="1"/>
  <c r="L83" i="60"/>
  <c r="N83" i="60" s="1"/>
  <c r="L82" i="60"/>
  <c r="N82" i="60" s="1"/>
  <c r="L81" i="60"/>
  <c r="L80" i="60"/>
  <c r="N80" i="60" s="1"/>
  <c r="P80" i="60" s="1"/>
  <c r="L79" i="60"/>
  <c r="N79" i="60" s="1"/>
  <c r="L78" i="60"/>
  <c r="N78" i="60" s="1"/>
  <c r="L77" i="60"/>
  <c r="L76" i="60"/>
  <c r="L75" i="60"/>
  <c r="N75" i="60" s="1"/>
  <c r="L74" i="60"/>
  <c r="N74" i="60" s="1"/>
  <c r="L73" i="60"/>
  <c r="L72" i="60"/>
  <c r="N72" i="60" s="1"/>
  <c r="P72" i="60" s="1"/>
  <c r="L71" i="60"/>
  <c r="N71" i="60" s="1"/>
  <c r="O71" i="60" s="1"/>
  <c r="L70" i="60"/>
  <c r="N70" i="60" s="1"/>
  <c r="P70" i="60" s="1"/>
  <c r="L69" i="60"/>
  <c r="L68" i="60"/>
  <c r="N68" i="60" s="1"/>
  <c r="P68" i="60" s="1"/>
  <c r="L67" i="60"/>
  <c r="L66" i="60"/>
  <c r="N66" i="60" s="1"/>
  <c r="P66" i="60" s="1"/>
  <c r="L65" i="60"/>
  <c r="L64" i="60"/>
  <c r="N64" i="60" s="1"/>
  <c r="P64" i="60" s="1"/>
  <c r="L63" i="60"/>
  <c r="N63" i="60" s="1"/>
  <c r="O63" i="60" s="1"/>
  <c r="L62" i="60"/>
  <c r="N62" i="60" s="1"/>
  <c r="O62" i="60" s="1"/>
  <c r="L61" i="60"/>
  <c r="L60" i="60"/>
  <c r="N60" i="60" s="1"/>
  <c r="P60" i="60" s="1"/>
  <c r="L59" i="60"/>
  <c r="N59" i="60" s="1"/>
  <c r="O59" i="60" s="1"/>
  <c r="L58" i="60"/>
  <c r="N58" i="60" s="1"/>
  <c r="P58" i="60" s="1"/>
  <c r="L57" i="60"/>
  <c r="L56" i="60"/>
  <c r="N56" i="60" s="1"/>
  <c r="L55" i="60"/>
  <c r="N55" i="60" s="1"/>
  <c r="L54" i="60"/>
  <c r="N54" i="60" s="1"/>
  <c r="L53" i="60"/>
  <c r="L52" i="60"/>
  <c r="N52" i="60" s="1"/>
  <c r="L51" i="60"/>
  <c r="N51" i="60" s="1"/>
  <c r="L50" i="60"/>
  <c r="N50" i="60" s="1"/>
  <c r="L49" i="60"/>
  <c r="L48" i="60"/>
  <c r="N48" i="60" s="1"/>
  <c r="L47" i="60"/>
  <c r="N47" i="60" s="1"/>
  <c r="L46" i="60"/>
  <c r="N46" i="60" s="1"/>
  <c r="L45" i="60"/>
  <c r="L44" i="60"/>
  <c r="N44" i="60" s="1"/>
  <c r="L43" i="60"/>
  <c r="N43" i="60" s="1"/>
  <c r="L42" i="60"/>
  <c r="N42" i="60" s="1"/>
  <c r="L41" i="60"/>
  <c r="L40" i="60"/>
  <c r="N40" i="60" s="1"/>
  <c r="L39" i="60"/>
  <c r="L38" i="60"/>
  <c r="N38" i="60" s="1"/>
  <c r="L37" i="60"/>
  <c r="L36" i="60"/>
  <c r="N36" i="60" s="1"/>
  <c r="L35" i="60"/>
  <c r="L34" i="60"/>
  <c r="L33" i="60"/>
  <c r="L32" i="60"/>
  <c r="L31" i="60"/>
  <c r="N31" i="60" s="1"/>
  <c r="L30" i="60"/>
  <c r="L29" i="60"/>
  <c r="L28" i="60"/>
  <c r="N28" i="60" s="1"/>
  <c r="L27" i="60"/>
  <c r="N27" i="60" s="1"/>
  <c r="L26" i="60"/>
  <c r="L25" i="60"/>
  <c r="L24" i="60"/>
  <c r="N24" i="60" s="1"/>
  <c r="L23" i="60"/>
  <c r="N23" i="60" s="1"/>
  <c r="L22" i="60"/>
  <c r="L21" i="60"/>
  <c r="L20" i="60"/>
  <c r="N20" i="60" s="1"/>
  <c r="L19" i="60"/>
  <c r="N19" i="60" s="1"/>
  <c r="L18" i="60"/>
  <c r="L17" i="60"/>
  <c r="N17" i="60" s="1"/>
  <c r="L71" i="55"/>
  <c r="M71" i="55" s="1"/>
  <c r="L72" i="55"/>
  <c r="N72" i="55" s="1"/>
  <c r="O72" i="55" s="1"/>
  <c r="L73" i="55"/>
  <c r="N73" i="55" s="1"/>
  <c r="P73" i="55" s="1"/>
  <c r="L74" i="55"/>
  <c r="N74" i="55" s="1"/>
  <c r="P74" i="55" s="1"/>
  <c r="L75" i="55"/>
  <c r="N75" i="55" s="1"/>
  <c r="R75" i="55" s="1"/>
  <c r="L76" i="55"/>
  <c r="N76" i="55" s="1"/>
  <c r="Q76" i="55" s="1"/>
  <c r="L77" i="55"/>
  <c r="N77" i="55" s="1"/>
  <c r="P77" i="55" s="1"/>
  <c r="L78" i="55"/>
  <c r="M78" i="55" s="1"/>
  <c r="L79" i="55"/>
  <c r="M79" i="55" s="1"/>
  <c r="L80" i="55"/>
  <c r="N80" i="55" s="1"/>
  <c r="O80" i="55" s="1"/>
  <c r="L81" i="55"/>
  <c r="N81" i="55" s="1"/>
  <c r="P81" i="55" s="1"/>
  <c r="L82" i="55"/>
  <c r="N82" i="55" s="1"/>
  <c r="P82" i="55" s="1"/>
  <c r="L83" i="55"/>
  <c r="N83" i="55" s="1"/>
  <c r="O83" i="55" s="1"/>
  <c r="L84" i="55"/>
  <c r="N84" i="55" s="1"/>
  <c r="Q84" i="55" s="1"/>
  <c r="L85" i="55"/>
  <c r="N85" i="55" s="1"/>
  <c r="P85" i="55" s="1"/>
  <c r="L86" i="55"/>
  <c r="N86" i="55" s="1"/>
  <c r="P86" i="55" s="1"/>
  <c r="L87" i="55"/>
  <c r="M87" i="55" s="1"/>
  <c r="L88" i="55"/>
  <c r="N88" i="55" s="1"/>
  <c r="O88" i="55" s="1"/>
  <c r="L89" i="55"/>
  <c r="N89" i="55" s="1"/>
  <c r="P89" i="55" s="1"/>
  <c r="L90" i="55"/>
  <c r="N90" i="55" s="1"/>
  <c r="P90" i="55" s="1"/>
  <c r="L91" i="55"/>
  <c r="M91" i="55" s="1"/>
  <c r="L92" i="55"/>
  <c r="N92" i="55" s="1"/>
  <c r="O92" i="55" s="1"/>
  <c r="L93" i="55"/>
  <c r="N93" i="55" s="1"/>
  <c r="P93" i="55" s="1"/>
  <c r="L94" i="55"/>
  <c r="N94" i="55" s="1"/>
  <c r="P94" i="55" s="1"/>
  <c r="L95" i="55"/>
  <c r="N95" i="55" s="1"/>
  <c r="Q95" i="55" s="1"/>
  <c r="L96" i="55"/>
  <c r="N96" i="55" s="1"/>
  <c r="O96" i="55" s="1"/>
  <c r="L97" i="55"/>
  <c r="N97" i="55" s="1"/>
  <c r="P97" i="55" s="1"/>
  <c r="L98" i="55"/>
  <c r="N98" i="55" s="1"/>
  <c r="P98" i="55" s="1"/>
  <c r="L99" i="55"/>
  <c r="N99" i="55" s="1"/>
  <c r="R99" i="55" s="1"/>
  <c r="L100" i="55"/>
  <c r="N100" i="55" s="1"/>
  <c r="Q100" i="55" s="1"/>
  <c r="L101" i="55"/>
  <c r="N101" i="55" s="1"/>
  <c r="P101" i="55" s="1"/>
  <c r="L102" i="55"/>
  <c r="N102" i="55" s="1"/>
  <c r="P102" i="55" s="1"/>
  <c r="L103" i="55"/>
  <c r="M103" i="55" s="1"/>
  <c r="L104" i="55"/>
  <c r="N104" i="55" s="1"/>
  <c r="O104" i="55" s="1"/>
  <c r="L105" i="55"/>
  <c r="N105" i="55" s="1"/>
  <c r="P105" i="55" s="1"/>
  <c r="L106" i="55"/>
  <c r="N106" i="55" s="1"/>
  <c r="P106" i="55" s="1"/>
  <c r="L107" i="55"/>
  <c r="N107" i="55" s="1"/>
  <c r="R107" i="55" s="1"/>
  <c r="L108" i="55"/>
  <c r="N108" i="55" s="1"/>
  <c r="Q108" i="55" s="1"/>
  <c r="L109" i="55"/>
  <c r="N109" i="55" s="1"/>
  <c r="P109" i="55" s="1"/>
  <c r="L110" i="55"/>
  <c r="N110" i="55" s="1"/>
  <c r="P110" i="55" s="1"/>
  <c r="L111" i="55"/>
  <c r="M111" i="55" s="1"/>
  <c r="L112" i="55"/>
  <c r="N112" i="55" s="1"/>
  <c r="O112" i="55" s="1"/>
  <c r="L113" i="55"/>
  <c r="N113" i="55" s="1"/>
  <c r="P113" i="55" s="1"/>
  <c r="L114" i="55"/>
  <c r="N114" i="55" s="1"/>
  <c r="P114" i="55" s="1"/>
  <c r="L115" i="55"/>
  <c r="M115" i="55" s="1"/>
  <c r="L116" i="55"/>
  <c r="N116" i="55" s="1"/>
  <c r="O116" i="55" s="1"/>
  <c r="L117" i="55"/>
  <c r="N117" i="55" s="1"/>
  <c r="P117" i="55" s="1"/>
  <c r="L118" i="55"/>
  <c r="N118" i="55" s="1"/>
  <c r="P118" i="55" s="1"/>
  <c r="L119" i="55"/>
  <c r="N119" i="55" s="1"/>
  <c r="Q119" i="55" s="1"/>
  <c r="L120" i="55"/>
  <c r="N120" i="55" s="1"/>
  <c r="O120" i="55" s="1"/>
  <c r="L121" i="55"/>
  <c r="N121" i="55" s="1"/>
  <c r="P121" i="55" s="1"/>
  <c r="M108" i="55"/>
  <c r="L5" i="55"/>
  <c r="T23" i="55" s="1"/>
  <c r="L8" i="55"/>
  <c r="J20" i="50"/>
  <c r="L18" i="53"/>
  <c r="N18" i="53" s="1"/>
  <c r="L9" i="55"/>
  <c r="S23" i="55"/>
  <c r="S24" i="55"/>
  <c r="S25" i="55"/>
  <c r="S26" i="55"/>
  <c r="S27" i="55"/>
  <c r="S28" i="55"/>
  <c r="S29" i="55"/>
  <c r="S30" i="55"/>
  <c r="S31" i="55"/>
  <c r="S32" i="55"/>
  <c r="S33" i="55"/>
  <c r="S34" i="55"/>
  <c r="S35" i="55"/>
  <c r="S36" i="55"/>
  <c r="S37" i="55"/>
  <c r="S38" i="55"/>
  <c r="S39" i="55"/>
  <c r="S40" i="55"/>
  <c r="S41" i="55"/>
  <c r="S42" i="55"/>
  <c r="S43" i="55"/>
  <c r="S44" i="55"/>
  <c r="S45" i="55"/>
  <c r="S46" i="55"/>
  <c r="S47" i="55"/>
  <c r="S48" i="55"/>
  <c r="S49" i="55"/>
  <c r="S50" i="55"/>
  <c r="S51" i="55"/>
  <c r="S52" i="55"/>
  <c r="S53" i="55"/>
  <c r="S54" i="55"/>
  <c r="S55" i="55"/>
  <c r="S56" i="55"/>
  <c r="S57" i="55"/>
  <c r="S58" i="55"/>
  <c r="S59" i="55"/>
  <c r="S60" i="55"/>
  <c r="S61" i="55"/>
  <c r="S62" i="55"/>
  <c r="S63" i="55"/>
  <c r="S64" i="55"/>
  <c r="S65" i="55"/>
  <c r="S66" i="55"/>
  <c r="S67" i="55"/>
  <c r="S68" i="55"/>
  <c r="S69" i="55"/>
  <c r="S70" i="55"/>
  <c r="S71" i="55"/>
  <c r="S72" i="55"/>
  <c r="S73" i="55"/>
  <c r="S74" i="55"/>
  <c r="S75" i="55"/>
  <c r="S76" i="55"/>
  <c r="S77" i="55"/>
  <c r="S78" i="55"/>
  <c r="S79" i="55"/>
  <c r="S80" i="55"/>
  <c r="S81" i="55"/>
  <c r="S82" i="55"/>
  <c r="S83" i="55"/>
  <c r="S84" i="55"/>
  <c r="S85" i="55"/>
  <c r="S86" i="55"/>
  <c r="S87" i="55"/>
  <c r="S88" i="55"/>
  <c r="S89" i="55"/>
  <c r="S90" i="55"/>
  <c r="S91" i="55"/>
  <c r="S92" i="55"/>
  <c r="S93" i="55"/>
  <c r="S94" i="55"/>
  <c r="S95" i="55"/>
  <c r="S96" i="55"/>
  <c r="S97" i="55"/>
  <c r="S98" i="55"/>
  <c r="S99" i="55"/>
  <c r="S100" i="55"/>
  <c r="S101" i="55"/>
  <c r="S102" i="55"/>
  <c r="S103" i="55"/>
  <c r="S104" i="55"/>
  <c r="S105" i="55"/>
  <c r="S106" i="55"/>
  <c r="S107" i="55"/>
  <c r="S108" i="55"/>
  <c r="S109" i="55"/>
  <c r="S110" i="55"/>
  <c r="S111" i="55"/>
  <c r="S112" i="55"/>
  <c r="S113" i="55"/>
  <c r="S114" i="55"/>
  <c r="S115" i="55"/>
  <c r="S116" i="55"/>
  <c r="S117" i="55"/>
  <c r="S118" i="55"/>
  <c r="S119" i="55"/>
  <c r="S120" i="55"/>
  <c r="S121" i="55"/>
  <c r="L27" i="55"/>
  <c r="M27" i="55" s="1"/>
  <c r="L28" i="55"/>
  <c r="N28" i="55" s="1"/>
  <c r="L29" i="55"/>
  <c r="M29" i="55" s="1"/>
  <c r="L30" i="55"/>
  <c r="M30" i="55" s="1"/>
  <c r="L31" i="55"/>
  <c r="M31" i="55" s="1"/>
  <c r="L32" i="55"/>
  <c r="N32" i="55" s="1"/>
  <c r="L33" i="55"/>
  <c r="M33" i="55" s="1"/>
  <c r="L34" i="55"/>
  <c r="M34" i="55" s="1"/>
  <c r="L35" i="55"/>
  <c r="M35" i="55" s="1"/>
  <c r="L36" i="55"/>
  <c r="N36" i="55" s="1"/>
  <c r="L37" i="55"/>
  <c r="M37" i="55" s="1"/>
  <c r="L38" i="55"/>
  <c r="M38" i="55" s="1"/>
  <c r="L39" i="55"/>
  <c r="M39" i="55" s="1"/>
  <c r="L40" i="55"/>
  <c r="N40" i="55" s="1"/>
  <c r="L41" i="55"/>
  <c r="M41" i="55" s="1"/>
  <c r="L42" i="55"/>
  <c r="M42" i="55" s="1"/>
  <c r="L43" i="55"/>
  <c r="M43" i="55" s="1"/>
  <c r="L44" i="55"/>
  <c r="N44" i="55" s="1"/>
  <c r="L45" i="55"/>
  <c r="M45" i="55" s="1"/>
  <c r="L46" i="55"/>
  <c r="M46" i="55" s="1"/>
  <c r="L47" i="55"/>
  <c r="M47" i="55" s="1"/>
  <c r="L48" i="55"/>
  <c r="N48" i="55" s="1"/>
  <c r="L49" i="55"/>
  <c r="M49" i="55" s="1"/>
  <c r="L50" i="55"/>
  <c r="M50" i="55" s="1"/>
  <c r="L51" i="55"/>
  <c r="M51" i="55" s="1"/>
  <c r="L52" i="55"/>
  <c r="N52" i="55" s="1"/>
  <c r="L53" i="55"/>
  <c r="M53" i="55" s="1"/>
  <c r="L54" i="55"/>
  <c r="M54" i="55" s="1"/>
  <c r="L55" i="55"/>
  <c r="M55" i="55" s="1"/>
  <c r="L56" i="55"/>
  <c r="N56" i="55" s="1"/>
  <c r="L57" i="55"/>
  <c r="M57" i="55" s="1"/>
  <c r="L58" i="55"/>
  <c r="M58" i="55" s="1"/>
  <c r="L59" i="55"/>
  <c r="M59" i="55" s="1"/>
  <c r="L60" i="55"/>
  <c r="N60" i="55" s="1"/>
  <c r="L61" i="55"/>
  <c r="M61" i="55" s="1"/>
  <c r="L62" i="55"/>
  <c r="M62" i="55" s="1"/>
  <c r="L63" i="55"/>
  <c r="M63" i="55" s="1"/>
  <c r="L64" i="55"/>
  <c r="N64" i="55" s="1"/>
  <c r="L65" i="55"/>
  <c r="M65" i="55" s="1"/>
  <c r="L66" i="55"/>
  <c r="M66" i="55" s="1"/>
  <c r="L67" i="55"/>
  <c r="M67" i="55" s="1"/>
  <c r="L68" i="55"/>
  <c r="N68" i="55" s="1"/>
  <c r="L69" i="55"/>
  <c r="M69" i="55" s="1"/>
  <c r="L70" i="55"/>
  <c r="M70" i="55" s="1"/>
  <c r="L24" i="55"/>
  <c r="N24" i="55" s="1"/>
  <c r="L25" i="55"/>
  <c r="M25" i="55" s="1"/>
  <c r="L26" i="55"/>
  <c r="M26" i="55" s="1"/>
  <c r="L23" i="55"/>
  <c r="M23" i="55" s="1"/>
  <c r="L22" i="55"/>
  <c r="M22" i="55" s="1"/>
  <c r="S22" i="55"/>
  <c r="L117" i="53"/>
  <c r="L116" i="53"/>
  <c r="M116" i="53" s="1"/>
  <c r="L115" i="53"/>
  <c r="N115" i="53" s="1"/>
  <c r="U115" i="53" s="1"/>
  <c r="L114" i="53"/>
  <c r="N114" i="53" s="1"/>
  <c r="O114" i="53" s="1"/>
  <c r="L113" i="53"/>
  <c r="N113" i="53" s="1"/>
  <c r="O113" i="53" s="1"/>
  <c r="L112" i="53"/>
  <c r="M112" i="53" s="1"/>
  <c r="L111" i="53"/>
  <c r="N111" i="53" s="1"/>
  <c r="L110" i="53"/>
  <c r="N110" i="53" s="1"/>
  <c r="O110" i="53" s="1"/>
  <c r="L109" i="53"/>
  <c r="L108" i="53"/>
  <c r="M108" i="53" s="1"/>
  <c r="L107" i="53"/>
  <c r="N107" i="53" s="1"/>
  <c r="U107" i="53" s="1"/>
  <c r="L106" i="53"/>
  <c r="N106" i="53" s="1"/>
  <c r="Q106" i="53" s="1"/>
  <c r="L105" i="53"/>
  <c r="N105" i="53" s="1"/>
  <c r="O105" i="53" s="1"/>
  <c r="L104" i="53"/>
  <c r="M104" i="53" s="1"/>
  <c r="L103" i="53"/>
  <c r="N103" i="53" s="1"/>
  <c r="U103" i="53" s="1"/>
  <c r="L102" i="53"/>
  <c r="N102" i="53" s="1"/>
  <c r="Q102" i="53" s="1"/>
  <c r="L101" i="53"/>
  <c r="L100" i="53"/>
  <c r="M100" i="53" s="1"/>
  <c r="L99" i="53"/>
  <c r="N99" i="53" s="1"/>
  <c r="U99" i="53" s="1"/>
  <c r="L98" i="53"/>
  <c r="N98" i="53" s="1"/>
  <c r="O98" i="53" s="1"/>
  <c r="L97" i="53"/>
  <c r="L96" i="53"/>
  <c r="M96" i="53" s="1"/>
  <c r="L95" i="53"/>
  <c r="N95" i="53" s="1"/>
  <c r="L94" i="53"/>
  <c r="N94" i="53" s="1"/>
  <c r="O94" i="53" s="1"/>
  <c r="L93" i="53"/>
  <c r="L92" i="53"/>
  <c r="M92" i="53" s="1"/>
  <c r="L91" i="53"/>
  <c r="N91" i="53" s="1"/>
  <c r="U91" i="53" s="1"/>
  <c r="L90" i="53"/>
  <c r="N90" i="53" s="1"/>
  <c r="Q90" i="53" s="1"/>
  <c r="L89" i="53"/>
  <c r="L88" i="53"/>
  <c r="M88" i="53" s="1"/>
  <c r="L87" i="53"/>
  <c r="N87" i="53" s="1"/>
  <c r="U87" i="53" s="1"/>
  <c r="L86" i="53"/>
  <c r="N86" i="53" s="1"/>
  <c r="Q86" i="53" s="1"/>
  <c r="L85" i="53"/>
  <c r="L84" i="53"/>
  <c r="M84" i="53" s="1"/>
  <c r="L83" i="53"/>
  <c r="N83" i="53" s="1"/>
  <c r="U83" i="53" s="1"/>
  <c r="L82" i="53"/>
  <c r="N82" i="53" s="1"/>
  <c r="O82" i="53" s="1"/>
  <c r="L81" i="53"/>
  <c r="L80" i="53"/>
  <c r="M80" i="53" s="1"/>
  <c r="L79" i="53"/>
  <c r="N79" i="53" s="1"/>
  <c r="L78" i="53"/>
  <c r="N78" i="53" s="1"/>
  <c r="O78" i="53" s="1"/>
  <c r="L77" i="53"/>
  <c r="L76" i="53"/>
  <c r="M76" i="53" s="1"/>
  <c r="L75" i="53"/>
  <c r="N75" i="53" s="1"/>
  <c r="L74" i="53"/>
  <c r="N74" i="53" s="1"/>
  <c r="Q74" i="53" s="1"/>
  <c r="L73" i="53"/>
  <c r="L72" i="53"/>
  <c r="M72" i="53" s="1"/>
  <c r="L71" i="53"/>
  <c r="N71" i="53" s="1"/>
  <c r="U71" i="53" s="1"/>
  <c r="L70" i="53"/>
  <c r="N70" i="53" s="1"/>
  <c r="Q70" i="53" s="1"/>
  <c r="L69" i="53"/>
  <c r="L68" i="53"/>
  <c r="M68" i="53" s="1"/>
  <c r="L67" i="53"/>
  <c r="N67" i="53" s="1"/>
  <c r="U67" i="53" s="1"/>
  <c r="L66" i="53"/>
  <c r="N66" i="53" s="1"/>
  <c r="O66" i="53" s="1"/>
  <c r="L65" i="53"/>
  <c r="L64" i="53"/>
  <c r="M64" i="53" s="1"/>
  <c r="L63" i="53"/>
  <c r="N63" i="53" s="1"/>
  <c r="L62" i="53"/>
  <c r="N62" i="53" s="1"/>
  <c r="O62" i="53" s="1"/>
  <c r="L61" i="53"/>
  <c r="L60" i="53"/>
  <c r="M60" i="53" s="1"/>
  <c r="L59" i="53"/>
  <c r="N59" i="53" s="1"/>
  <c r="L58" i="53"/>
  <c r="N58" i="53" s="1"/>
  <c r="Q58" i="53" s="1"/>
  <c r="L57" i="53"/>
  <c r="L56" i="53"/>
  <c r="M56" i="53" s="1"/>
  <c r="L55" i="53"/>
  <c r="N55" i="53" s="1"/>
  <c r="L54" i="53"/>
  <c r="N54" i="53" s="1"/>
  <c r="L53" i="53"/>
  <c r="L52" i="53"/>
  <c r="M52" i="53" s="1"/>
  <c r="L51" i="53"/>
  <c r="N51" i="53" s="1"/>
  <c r="L50" i="53"/>
  <c r="N50" i="53" s="1"/>
  <c r="L49" i="53"/>
  <c r="L48" i="53"/>
  <c r="M48" i="53" s="1"/>
  <c r="L47" i="53"/>
  <c r="N47" i="53" s="1"/>
  <c r="L46" i="53"/>
  <c r="N46" i="53" s="1"/>
  <c r="L45" i="53"/>
  <c r="L44" i="53"/>
  <c r="M44" i="53" s="1"/>
  <c r="L43" i="53"/>
  <c r="N43" i="53" s="1"/>
  <c r="L42" i="53"/>
  <c r="N42" i="53" s="1"/>
  <c r="L41" i="53"/>
  <c r="L40" i="53"/>
  <c r="M40" i="53" s="1"/>
  <c r="L39" i="53"/>
  <c r="N39" i="53" s="1"/>
  <c r="L38" i="53"/>
  <c r="N38" i="53" s="1"/>
  <c r="L37" i="53"/>
  <c r="L36" i="53"/>
  <c r="M36" i="53" s="1"/>
  <c r="L35" i="53"/>
  <c r="N35" i="53" s="1"/>
  <c r="L34" i="53"/>
  <c r="N34" i="53" s="1"/>
  <c r="L33" i="53"/>
  <c r="L32" i="53"/>
  <c r="M32" i="53" s="1"/>
  <c r="L31" i="53"/>
  <c r="N31" i="53" s="1"/>
  <c r="L30" i="53"/>
  <c r="N30" i="53" s="1"/>
  <c r="L29" i="53"/>
  <c r="L28" i="53"/>
  <c r="M28" i="53" s="1"/>
  <c r="L27" i="53"/>
  <c r="N27" i="53" s="1"/>
  <c r="L26" i="53"/>
  <c r="N26" i="53" s="1"/>
  <c r="L25" i="53"/>
  <c r="L24" i="53"/>
  <c r="M24" i="53" s="1"/>
  <c r="L23" i="53"/>
  <c r="N23" i="53" s="1"/>
  <c r="L22" i="53"/>
  <c r="N22" i="53" s="1"/>
  <c r="L21" i="53"/>
  <c r="L20" i="53"/>
  <c r="M20" i="53" s="1"/>
  <c r="L19" i="53"/>
  <c r="N19" i="53" s="1"/>
  <c r="C25" i="50"/>
  <c r="AC17" i="45"/>
  <c r="Z18" i="48"/>
  <c r="AA18" i="48" s="1"/>
  <c r="M100" i="55" l="1"/>
  <c r="M115" i="60"/>
  <c r="M76" i="55"/>
  <c r="M114" i="60"/>
  <c r="M116" i="60"/>
  <c r="N103" i="55"/>
  <c r="O103" i="55" s="1"/>
  <c r="M67" i="60"/>
  <c r="M82" i="60"/>
  <c r="M21" i="60"/>
  <c r="M25" i="60"/>
  <c r="M103" i="60"/>
  <c r="M28" i="60"/>
  <c r="M68" i="60"/>
  <c r="M76" i="60"/>
  <c r="M51" i="60"/>
  <c r="M69" i="60"/>
  <c r="M59" i="60"/>
  <c r="N67" i="60"/>
  <c r="O67" i="60" s="1"/>
  <c r="M83" i="60"/>
  <c r="M107" i="60"/>
  <c r="M110" i="60"/>
  <c r="M80" i="60"/>
  <c r="M32" i="60"/>
  <c r="M60" i="60"/>
  <c r="M92" i="55"/>
  <c r="M29" i="60"/>
  <c r="M33" i="60"/>
  <c r="M37" i="60"/>
  <c r="M41" i="60"/>
  <c r="M45" i="60"/>
  <c r="M49" i="60"/>
  <c r="M116" i="55"/>
  <c r="M84" i="55"/>
  <c r="N79" i="55"/>
  <c r="P79" i="55" s="1"/>
  <c r="M17" i="60"/>
  <c r="M53" i="60"/>
  <c r="M57" i="60"/>
  <c r="M61" i="60"/>
  <c r="M65" i="60"/>
  <c r="M111" i="60"/>
  <c r="O70" i="60"/>
  <c r="P62" i="60"/>
  <c r="O100" i="60"/>
  <c r="F16" i="57"/>
  <c r="C16" i="57"/>
  <c r="C7" i="57"/>
  <c r="N21" i="60"/>
  <c r="N32" i="60"/>
  <c r="N33" i="60"/>
  <c r="M52" i="60"/>
  <c r="O108" i="60"/>
  <c r="N111" i="60"/>
  <c r="P111" i="60" s="1"/>
  <c r="O116" i="60"/>
  <c r="P84" i="60"/>
  <c r="O84" i="60"/>
  <c r="M24" i="60"/>
  <c r="N29" i="60"/>
  <c r="M40" i="60"/>
  <c r="M43" i="60"/>
  <c r="M47" i="60"/>
  <c r="M55" i="60"/>
  <c r="M63" i="60"/>
  <c r="M71" i="60"/>
  <c r="M75" i="60"/>
  <c r="O80" i="60"/>
  <c r="M84" i="60"/>
  <c r="M90" i="60"/>
  <c r="M91" i="60"/>
  <c r="M94" i="60"/>
  <c r="M98" i="60"/>
  <c r="M20" i="60"/>
  <c r="N25" i="60"/>
  <c r="M36" i="60"/>
  <c r="N41" i="60"/>
  <c r="M44" i="60"/>
  <c r="M48" i="60"/>
  <c r="M56" i="60"/>
  <c r="O58" i="60"/>
  <c r="M64" i="60"/>
  <c r="O66" i="60"/>
  <c r="M72" i="60"/>
  <c r="N76" i="60"/>
  <c r="M78" i="60"/>
  <c r="M79" i="60"/>
  <c r="M86" i="60"/>
  <c r="M87" i="60"/>
  <c r="O92" i="60"/>
  <c r="M95" i="60"/>
  <c r="M99" i="60"/>
  <c r="M102" i="60"/>
  <c r="M106" i="60"/>
  <c r="N37" i="60"/>
  <c r="P90" i="60"/>
  <c r="O90" i="60"/>
  <c r="P96" i="60"/>
  <c r="O96" i="60"/>
  <c r="N18" i="60"/>
  <c r="M18" i="60"/>
  <c r="M19" i="60"/>
  <c r="N22" i="60"/>
  <c r="M22" i="60"/>
  <c r="M23" i="60"/>
  <c r="N26" i="60"/>
  <c r="M26" i="60"/>
  <c r="M27" i="60"/>
  <c r="N30" i="60"/>
  <c r="M30" i="60"/>
  <c r="M31" i="60"/>
  <c r="M35" i="60"/>
  <c r="N35" i="60"/>
  <c r="P82" i="60"/>
  <c r="O82" i="60"/>
  <c r="P88" i="60"/>
  <c r="O88" i="60"/>
  <c r="N34" i="60"/>
  <c r="M34" i="60"/>
  <c r="P95" i="60"/>
  <c r="O95" i="60"/>
  <c r="N39" i="60"/>
  <c r="M39" i="60"/>
  <c r="P87" i="60"/>
  <c r="O87" i="60"/>
  <c r="N73" i="60"/>
  <c r="M73" i="60"/>
  <c r="P75" i="60"/>
  <c r="O75" i="60"/>
  <c r="N97" i="60"/>
  <c r="M97" i="60"/>
  <c r="M42" i="60"/>
  <c r="N45" i="60"/>
  <c r="N49" i="60"/>
  <c r="N57" i="60"/>
  <c r="P59" i="60"/>
  <c r="N61" i="60"/>
  <c r="P63" i="60"/>
  <c r="N65" i="60"/>
  <c r="N69" i="60"/>
  <c r="P71" i="60"/>
  <c r="O74" i="60"/>
  <c r="P74" i="60"/>
  <c r="N77" i="60"/>
  <c r="M77" i="60"/>
  <c r="P79" i="60"/>
  <c r="O79" i="60"/>
  <c r="N85" i="60"/>
  <c r="M85" i="60"/>
  <c r="P103" i="60"/>
  <c r="O103" i="60"/>
  <c r="N101" i="60"/>
  <c r="M101" i="60"/>
  <c r="M38" i="60"/>
  <c r="N53" i="60"/>
  <c r="M46" i="60"/>
  <c r="M50" i="60"/>
  <c r="M54" i="60"/>
  <c r="M58" i="60"/>
  <c r="O60" i="60"/>
  <c r="M62" i="60"/>
  <c r="O64" i="60"/>
  <c r="M66" i="60"/>
  <c r="O68" i="60"/>
  <c r="M70" i="60"/>
  <c r="O72" i="60"/>
  <c r="M74" i="60"/>
  <c r="P78" i="60"/>
  <c r="O78" i="60"/>
  <c r="N93" i="60"/>
  <c r="M93" i="60"/>
  <c r="O104" i="60"/>
  <c r="N105" i="60"/>
  <c r="M105" i="60"/>
  <c r="N109" i="60"/>
  <c r="M109" i="60"/>
  <c r="O112" i="60"/>
  <c r="N113" i="60"/>
  <c r="M113" i="60"/>
  <c r="P115" i="60"/>
  <c r="O115" i="60"/>
  <c r="N81" i="60"/>
  <c r="M81" i="60"/>
  <c r="P83" i="60"/>
  <c r="O83" i="60"/>
  <c r="P86" i="60"/>
  <c r="O86" i="60"/>
  <c r="N89" i="60"/>
  <c r="M89" i="60"/>
  <c r="P91" i="60"/>
  <c r="O91" i="60"/>
  <c r="P99" i="60"/>
  <c r="O99" i="60"/>
  <c r="P107" i="60"/>
  <c r="O107" i="60"/>
  <c r="M88" i="60"/>
  <c r="M92" i="60"/>
  <c r="O94" i="60"/>
  <c r="M96" i="60"/>
  <c r="O98" i="60"/>
  <c r="M100" i="60"/>
  <c r="O102" i="60"/>
  <c r="M104" i="60"/>
  <c r="O106" i="60"/>
  <c r="M108" i="60"/>
  <c r="O110" i="60"/>
  <c r="M112" i="60"/>
  <c r="O114" i="60"/>
  <c r="Q103" i="55"/>
  <c r="R112" i="55"/>
  <c r="R96" i="55"/>
  <c r="R76" i="55"/>
  <c r="Q79" i="55"/>
  <c r="R108" i="55"/>
  <c r="R88" i="55"/>
  <c r="R72" i="55"/>
  <c r="O109" i="55"/>
  <c r="R120" i="55"/>
  <c r="R104" i="55"/>
  <c r="R84" i="55"/>
  <c r="R68" i="55"/>
  <c r="O85" i="55"/>
  <c r="R116" i="55"/>
  <c r="R100" i="55"/>
  <c r="R80" i="55"/>
  <c r="R64" i="55"/>
  <c r="Q107" i="55"/>
  <c r="Q99" i="55"/>
  <c r="Q83" i="55"/>
  <c r="Q75" i="55"/>
  <c r="R92" i="55"/>
  <c r="O121" i="55"/>
  <c r="O101" i="55"/>
  <c r="O77" i="55"/>
  <c r="Q118" i="55"/>
  <c r="Q114" i="55"/>
  <c r="Q110" i="55"/>
  <c r="Q106" i="55"/>
  <c r="Q102" i="55"/>
  <c r="Q98" i="55"/>
  <c r="Q94" i="55"/>
  <c r="Q90" i="55"/>
  <c r="Q86" i="55"/>
  <c r="Q82" i="55"/>
  <c r="Q74" i="55"/>
  <c r="R119" i="55"/>
  <c r="R95" i="55"/>
  <c r="R83" i="55"/>
  <c r="R79" i="55"/>
  <c r="O114" i="55"/>
  <c r="O93" i="55"/>
  <c r="Q121" i="55"/>
  <c r="Q117" i="55"/>
  <c r="Q113" i="55"/>
  <c r="Q109" i="55"/>
  <c r="Q105" i="55"/>
  <c r="Q101" i="55"/>
  <c r="Q97" i="55"/>
  <c r="Q93" i="55"/>
  <c r="Q89" i="55"/>
  <c r="Q85" i="55"/>
  <c r="Q81" i="55"/>
  <c r="Q77" i="55"/>
  <c r="Q73" i="55"/>
  <c r="R118" i="55"/>
  <c r="R114" i="55"/>
  <c r="R110" i="55"/>
  <c r="R106" i="55"/>
  <c r="R102" i="55"/>
  <c r="R98" i="55"/>
  <c r="R94" i="55"/>
  <c r="R90" i="55"/>
  <c r="R86" i="55"/>
  <c r="R82" i="55"/>
  <c r="R74" i="55"/>
  <c r="O113" i="55"/>
  <c r="O86" i="55"/>
  <c r="Q120" i="55"/>
  <c r="Q116" i="55"/>
  <c r="Q112" i="55"/>
  <c r="Q104" i="55"/>
  <c r="Q96" i="55"/>
  <c r="Q92" i="55"/>
  <c r="Q88" i="55"/>
  <c r="Q80" i="55"/>
  <c r="Q72" i="55"/>
  <c r="Q68" i="55"/>
  <c r="Q64" i="55"/>
  <c r="R121" i="55"/>
  <c r="R117" i="55"/>
  <c r="R113" i="55"/>
  <c r="R109" i="55"/>
  <c r="R105" i="55"/>
  <c r="R101" i="55"/>
  <c r="R97" i="55"/>
  <c r="R93" i="55"/>
  <c r="R89" i="55"/>
  <c r="R85" i="55"/>
  <c r="R81" i="55"/>
  <c r="R77" i="55"/>
  <c r="R73" i="55"/>
  <c r="N71" i="55"/>
  <c r="O71" i="55" s="1"/>
  <c r="O106" i="55"/>
  <c r="O98" i="55"/>
  <c r="N115" i="55"/>
  <c r="O115" i="55" s="1"/>
  <c r="N91" i="55"/>
  <c r="O118" i="55"/>
  <c r="O105" i="55"/>
  <c r="O97" i="55"/>
  <c r="O90" i="55"/>
  <c r="O82" i="55"/>
  <c r="O74" i="55"/>
  <c r="O79" i="55"/>
  <c r="M107" i="55"/>
  <c r="M75" i="55"/>
  <c r="M99" i="55"/>
  <c r="M83" i="55"/>
  <c r="N111" i="55"/>
  <c r="O117" i="55"/>
  <c r="O110" i="55"/>
  <c r="O102" i="55"/>
  <c r="O94" i="55"/>
  <c r="O89" i="55"/>
  <c r="O81" i="55"/>
  <c r="O73" i="55"/>
  <c r="O119" i="55"/>
  <c r="P119" i="55"/>
  <c r="P107" i="55"/>
  <c r="O107" i="55"/>
  <c r="P99" i="55"/>
  <c r="O99" i="55"/>
  <c r="P95" i="55"/>
  <c r="O95" i="55"/>
  <c r="P75" i="55"/>
  <c r="O75" i="55"/>
  <c r="O108" i="55"/>
  <c r="P108" i="55"/>
  <c r="O100" i="55"/>
  <c r="P100" i="55"/>
  <c r="O84" i="55"/>
  <c r="P84" i="55"/>
  <c r="O76" i="55"/>
  <c r="P76" i="55"/>
  <c r="M60" i="55"/>
  <c r="P116" i="55"/>
  <c r="P112" i="55"/>
  <c r="P104" i="55"/>
  <c r="P92" i="55"/>
  <c r="M44" i="55"/>
  <c r="N55" i="55"/>
  <c r="P83" i="55"/>
  <c r="M120" i="55"/>
  <c r="M112" i="55"/>
  <c r="M104" i="55"/>
  <c r="M96" i="55"/>
  <c r="M88" i="55"/>
  <c r="M80" i="55"/>
  <c r="M72" i="55"/>
  <c r="M28" i="55"/>
  <c r="N87" i="55"/>
  <c r="N39" i="55"/>
  <c r="P120" i="55"/>
  <c r="P96" i="55"/>
  <c r="P88" i="55"/>
  <c r="P80" i="55"/>
  <c r="P72" i="55"/>
  <c r="M119" i="55"/>
  <c r="M95" i="55"/>
  <c r="M56" i="55"/>
  <c r="M40" i="55"/>
  <c r="M24" i="55"/>
  <c r="N67" i="55"/>
  <c r="N51" i="55"/>
  <c r="N35" i="55"/>
  <c r="N23" i="55"/>
  <c r="M68" i="55"/>
  <c r="M52" i="55"/>
  <c r="M36" i="55"/>
  <c r="N63" i="55"/>
  <c r="N47" i="55"/>
  <c r="N31" i="55"/>
  <c r="M64" i="55"/>
  <c r="M48" i="55"/>
  <c r="M32" i="55"/>
  <c r="N59" i="55"/>
  <c r="N43" i="55"/>
  <c r="N27" i="55"/>
  <c r="N70" i="55"/>
  <c r="N66" i="55"/>
  <c r="N62" i="55"/>
  <c r="N58" i="55"/>
  <c r="N54" i="55"/>
  <c r="N50" i="55"/>
  <c r="N46" i="55"/>
  <c r="N42" i="55"/>
  <c r="N38" i="55"/>
  <c r="N34" i="55"/>
  <c r="N30" i="55"/>
  <c r="N26" i="55"/>
  <c r="N22" i="55"/>
  <c r="N69" i="55"/>
  <c r="N65" i="55"/>
  <c r="N61" i="55"/>
  <c r="N57" i="55"/>
  <c r="N53" i="55"/>
  <c r="N49" i="55"/>
  <c r="N45" i="55"/>
  <c r="N41" i="55"/>
  <c r="N37" i="55"/>
  <c r="N33" i="55"/>
  <c r="N29" i="55"/>
  <c r="N25" i="55"/>
  <c r="M114" i="55"/>
  <c r="M98" i="55"/>
  <c r="N78" i="55"/>
  <c r="M121" i="55"/>
  <c r="M117" i="55"/>
  <c r="M113" i="55"/>
  <c r="M109" i="55"/>
  <c r="M105" i="55"/>
  <c r="M101" i="55"/>
  <c r="M97" i="55"/>
  <c r="M93" i="55"/>
  <c r="M89" i="55"/>
  <c r="M85" i="55"/>
  <c r="M81" i="55"/>
  <c r="M77" i="55"/>
  <c r="M73" i="55"/>
  <c r="M118" i="55"/>
  <c r="M110" i="55"/>
  <c r="M106" i="55"/>
  <c r="M102" i="55"/>
  <c r="M94" i="55"/>
  <c r="M90" i="55"/>
  <c r="M86" i="55"/>
  <c r="M82" i="55"/>
  <c r="M74" i="55"/>
  <c r="T102" i="55"/>
  <c r="T70" i="55"/>
  <c r="T38" i="55"/>
  <c r="T30" i="55"/>
  <c r="T118" i="55"/>
  <c r="T86" i="55"/>
  <c r="T54" i="55"/>
  <c r="T94" i="55"/>
  <c r="T62" i="55"/>
  <c r="T110" i="55"/>
  <c r="T78" i="55"/>
  <c r="T46" i="55"/>
  <c r="T117" i="55"/>
  <c r="T109" i="55"/>
  <c r="T101" i="55"/>
  <c r="T93" i="55"/>
  <c r="T85" i="55"/>
  <c r="T77" i="55"/>
  <c r="T69" i="55"/>
  <c r="T61" i="55"/>
  <c r="T53" i="55"/>
  <c r="T45" i="55"/>
  <c r="T37" i="55"/>
  <c r="T29" i="55"/>
  <c r="T22" i="55"/>
  <c r="T114" i="55"/>
  <c r="T106" i="55"/>
  <c r="T98" i="55"/>
  <c r="T90" i="55"/>
  <c r="T82" i="55"/>
  <c r="T74" i="55"/>
  <c r="T66" i="55"/>
  <c r="T58" i="55"/>
  <c r="T50" i="55"/>
  <c r="T42" i="55"/>
  <c r="T34" i="55"/>
  <c r="T26" i="55"/>
  <c r="T121" i="55"/>
  <c r="T113" i="55"/>
  <c r="T105" i="55"/>
  <c r="T97" i="55"/>
  <c r="T89" i="55"/>
  <c r="T81" i="55"/>
  <c r="T73" i="55"/>
  <c r="T65" i="55"/>
  <c r="T57" i="55"/>
  <c r="T49" i="55"/>
  <c r="T41" i="55"/>
  <c r="T33" i="55"/>
  <c r="T25" i="55"/>
  <c r="T120" i="55"/>
  <c r="T116" i="55"/>
  <c r="T112" i="55"/>
  <c r="T108" i="55"/>
  <c r="T104" i="55"/>
  <c r="T100" i="55"/>
  <c r="T96" i="55"/>
  <c r="T92" i="55"/>
  <c r="T88" i="55"/>
  <c r="T84" i="55"/>
  <c r="T80" i="55"/>
  <c r="T76" i="55"/>
  <c r="T72" i="55"/>
  <c r="T68" i="55"/>
  <c r="T64" i="55"/>
  <c r="T60" i="55"/>
  <c r="T56" i="55"/>
  <c r="T52" i="55"/>
  <c r="T48" i="55"/>
  <c r="T44" i="55"/>
  <c r="T40" i="55"/>
  <c r="T36" i="55"/>
  <c r="T32" i="55"/>
  <c r="T28" i="55"/>
  <c r="T24" i="55"/>
  <c r="T119" i="55"/>
  <c r="T115" i="55"/>
  <c r="T111" i="55"/>
  <c r="T107" i="55"/>
  <c r="T103" i="55"/>
  <c r="T99" i="55"/>
  <c r="T95" i="55"/>
  <c r="T91" i="55"/>
  <c r="T87" i="55"/>
  <c r="T83" i="55"/>
  <c r="T79" i="55"/>
  <c r="T75" i="55"/>
  <c r="T71" i="55"/>
  <c r="T67" i="55"/>
  <c r="T63" i="55"/>
  <c r="T59" i="55"/>
  <c r="T55" i="55"/>
  <c r="T51" i="55"/>
  <c r="T47" i="55"/>
  <c r="T43" i="55"/>
  <c r="T39" i="55"/>
  <c r="T35" i="55"/>
  <c r="T31" i="55"/>
  <c r="T27" i="55"/>
  <c r="V106" i="53"/>
  <c r="U62" i="53"/>
  <c r="V82" i="53"/>
  <c r="U113" i="53"/>
  <c r="U78" i="53"/>
  <c r="V105" i="53"/>
  <c r="V74" i="53"/>
  <c r="U110" i="53"/>
  <c r="U94" i="53"/>
  <c r="V114" i="53"/>
  <c r="V98" i="53"/>
  <c r="V66" i="53"/>
  <c r="U105" i="53"/>
  <c r="V113" i="53"/>
  <c r="V90" i="53"/>
  <c r="V58" i="53"/>
  <c r="U114" i="53"/>
  <c r="U98" i="53"/>
  <c r="O59" i="53"/>
  <c r="V59" i="53"/>
  <c r="O67" i="53"/>
  <c r="V67" i="53"/>
  <c r="O75" i="53"/>
  <c r="V75" i="53"/>
  <c r="O79" i="53"/>
  <c r="V79" i="53"/>
  <c r="O87" i="53"/>
  <c r="V87" i="53"/>
  <c r="O95" i="53"/>
  <c r="V95" i="53"/>
  <c r="O103" i="53"/>
  <c r="V103" i="53"/>
  <c r="O115" i="53"/>
  <c r="V115" i="53"/>
  <c r="U102" i="53"/>
  <c r="U86" i="53"/>
  <c r="U75" i="53"/>
  <c r="U70" i="53"/>
  <c r="U59" i="53"/>
  <c r="V110" i="53"/>
  <c r="V102" i="53"/>
  <c r="V94" i="53"/>
  <c r="V86" i="53"/>
  <c r="V78" i="53"/>
  <c r="V70" i="53"/>
  <c r="V62" i="53"/>
  <c r="U82" i="53"/>
  <c r="U66" i="53"/>
  <c r="O63" i="53"/>
  <c r="V63" i="53"/>
  <c r="O71" i="53"/>
  <c r="V71" i="53"/>
  <c r="O83" i="53"/>
  <c r="V83" i="53"/>
  <c r="O91" i="53"/>
  <c r="V91" i="53"/>
  <c r="O99" i="53"/>
  <c r="V99" i="53"/>
  <c r="O107" i="53"/>
  <c r="V107" i="53"/>
  <c r="O111" i="53"/>
  <c r="V111" i="53"/>
  <c r="U111" i="53"/>
  <c r="U106" i="53"/>
  <c r="U95" i="53"/>
  <c r="U90" i="53"/>
  <c r="U79" i="53"/>
  <c r="U74" i="53"/>
  <c r="U63" i="53"/>
  <c r="U58" i="53"/>
  <c r="T113" i="53"/>
  <c r="T105" i="53"/>
  <c r="T114" i="53"/>
  <c r="T110" i="53"/>
  <c r="T106" i="53"/>
  <c r="T102" i="53"/>
  <c r="T98" i="53"/>
  <c r="T94" i="53"/>
  <c r="T90" i="53"/>
  <c r="T86" i="53"/>
  <c r="T82" i="53"/>
  <c r="T78" i="53"/>
  <c r="T74" i="53"/>
  <c r="T70" i="53"/>
  <c r="T66" i="53"/>
  <c r="T62" i="53"/>
  <c r="T58" i="53"/>
  <c r="T115" i="53"/>
  <c r="T111" i="53"/>
  <c r="T107" i="53"/>
  <c r="T103" i="53"/>
  <c r="T99" i="53"/>
  <c r="T95" i="53"/>
  <c r="T91" i="53"/>
  <c r="T87" i="53"/>
  <c r="T83" i="53"/>
  <c r="T79" i="53"/>
  <c r="T75" i="53"/>
  <c r="T71" i="53"/>
  <c r="T67" i="53"/>
  <c r="T63" i="53"/>
  <c r="T59" i="53"/>
  <c r="R102" i="53"/>
  <c r="R70" i="53"/>
  <c r="S114" i="53"/>
  <c r="S98" i="53"/>
  <c r="S82" i="53"/>
  <c r="S66" i="53"/>
  <c r="R90" i="53"/>
  <c r="R58" i="53"/>
  <c r="S110" i="53"/>
  <c r="S94" i="53"/>
  <c r="S78" i="53"/>
  <c r="S62" i="53"/>
  <c r="R86" i="53"/>
  <c r="S106" i="53"/>
  <c r="S90" i="53"/>
  <c r="S74" i="53"/>
  <c r="S58" i="53"/>
  <c r="R106" i="53"/>
  <c r="R74" i="53"/>
  <c r="S102" i="53"/>
  <c r="S86" i="53"/>
  <c r="S70" i="53"/>
  <c r="S105" i="53"/>
  <c r="R114" i="53"/>
  <c r="R98" i="53"/>
  <c r="R82" i="53"/>
  <c r="R66" i="53"/>
  <c r="S113" i="53"/>
  <c r="R110" i="53"/>
  <c r="R94" i="53"/>
  <c r="R78" i="53"/>
  <c r="R62" i="53"/>
  <c r="S115" i="53"/>
  <c r="S111" i="53"/>
  <c r="S107" i="53"/>
  <c r="S103" i="53"/>
  <c r="S99" i="53"/>
  <c r="S95" i="53"/>
  <c r="S91" i="53"/>
  <c r="S87" i="53"/>
  <c r="S83" i="53"/>
  <c r="S79" i="53"/>
  <c r="S75" i="53"/>
  <c r="S71" i="53"/>
  <c r="S67" i="53"/>
  <c r="S63" i="53"/>
  <c r="S59" i="53"/>
  <c r="M63" i="53"/>
  <c r="Q113" i="53"/>
  <c r="R113" i="53"/>
  <c r="R105" i="53"/>
  <c r="Q105" i="53"/>
  <c r="R115" i="53"/>
  <c r="R111" i="53"/>
  <c r="R107" i="53"/>
  <c r="R103" i="53"/>
  <c r="R99" i="53"/>
  <c r="R95" i="53"/>
  <c r="R91" i="53"/>
  <c r="R87" i="53"/>
  <c r="R83" i="53"/>
  <c r="R79" i="53"/>
  <c r="R75" i="53"/>
  <c r="R71" i="53"/>
  <c r="R67" i="53"/>
  <c r="R63" i="53"/>
  <c r="R59" i="53"/>
  <c r="O58" i="53"/>
  <c r="P90" i="53"/>
  <c r="P74" i="53"/>
  <c r="M107" i="53"/>
  <c r="P102" i="53"/>
  <c r="P70" i="53"/>
  <c r="M95" i="53"/>
  <c r="M31" i="53"/>
  <c r="O106" i="53"/>
  <c r="O74" i="53"/>
  <c r="P114" i="53"/>
  <c r="P98" i="53"/>
  <c r="P82" i="53"/>
  <c r="P66" i="53"/>
  <c r="Q115" i="53"/>
  <c r="Q111" i="53"/>
  <c r="Q107" i="53"/>
  <c r="Q103" i="53"/>
  <c r="Q99" i="53"/>
  <c r="Q95" i="53"/>
  <c r="Q91" i="53"/>
  <c r="Q87" i="53"/>
  <c r="Q83" i="53"/>
  <c r="Q79" i="53"/>
  <c r="Q75" i="53"/>
  <c r="Q71" i="53"/>
  <c r="Q67" i="53"/>
  <c r="Q63" i="53"/>
  <c r="Q59" i="53"/>
  <c r="O90" i="53"/>
  <c r="P106" i="53"/>
  <c r="P58" i="53"/>
  <c r="M43" i="53"/>
  <c r="O86" i="53"/>
  <c r="P86" i="53"/>
  <c r="M75" i="53"/>
  <c r="O102" i="53"/>
  <c r="O70" i="53"/>
  <c r="P110" i="53"/>
  <c r="P94" i="53"/>
  <c r="P78" i="53"/>
  <c r="P62" i="53"/>
  <c r="Q114" i="53"/>
  <c r="Q110" i="53"/>
  <c r="Q98" i="53"/>
  <c r="Q94" i="53"/>
  <c r="Q82" i="53"/>
  <c r="Q78" i="53"/>
  <c r="Q66" i="53"/>
  <c r="Q62" i="53"/>
  <c r="M91" i="53"/>
  <c r="M59" i="53"/>
  <c r="M27" i="53"/>
  <c r="P113" i="53"/>
  <c r="P105" i="53"/>
  <c r="M111" i="53"/>
  <c r="M79" i="53"/>
  <c r="M47" i="53"/>
  <c r="P115" i="53"/>
  <c r="P111" i="53"/>
  <c r="P107" i="53"/>
  <c r="P103" i="53"/>
  <c r="P99" i="53"/>
  <c r="P95" i="53"/>
  <c r="P91" i="53"/>
  <c r="P87" i="53"/>
  <c r="P83" i="53"/>
  <c r="P79" i="53"/>
  <c r="P75" i="53"/>
  <c r="P71" i="53"/>
  <c r="P67" i="53"/>
  <c r="P63" i="53"/>
  <c r="P59" i="53"/>
  <c r="N88" i="53"/>
  <c r="N72" i="53"/>
  <c r="N56" i="53"/>
  <c r="N24" i="53"/>
  <c r="N100" i="53"/>
  <c r="N84" i="53"/>
  <c r="N52" i="53"/>
  <c r="N20" i="53"/>
  <c r="M103" i="53"/>
  <c r="M87" i="53"/>
  <c r="M71" i="53"/>
  <c r="M55" i="53"/>
  <c r="M39" i="53"/>
  <c r="M23" i="53"/>
  <c r="N112" i="53"/>
  <c r="N96" i="53"/>
  <c r="N80" i="53"/>
  <c r="N64" i="53"/>
  <c r="N48" i="53"/>
  <c r="N32" i="53"/>
  <c r="N104" i="53"/>
  <c r="N40" i="53"/>
  <c r="N116" i="53"/>
  <c r="N68" i="53"/>
  <c r="N36" i="53"/>
  <c r="M115" i="53"/>
  <c r="M99" i="53"/>
  <c r="M83" i="53"/>
  <c r="M67" i="53"/>
  <c r="M51" i="53"/>
  <c r="M35" i="53"/>
  <c r="M19" i="53"/>
  <c r="N108" i="53"/>
  <c r="N92" i="53"/>
  <c r="N76" i="53"/>
  <c r="N60" i="53"/>
  <c r="N44" i="53"/>
  <c r="N28" i="53"/>
  <c r="N21" i="53"/>
  <c r="M21" i="53"/>
  <c r="N33" i="53"/>
  <c r="M33" i="53"/>
  <c r="N41" i="53"/>
  <c r="M41" i="53"/>
  <c r="N53" i="53"/>
  <c r="M53" i="53"/>
  <c r="M65" i="53"/>
  <c r="N65" i="53"/>
  <c r="M77" i="53"/>
  <c r="N77" i="53"/>
  <c r="M97" i="53"/>
  <c r="N97" i="53"/>
  <c r="N29" i="53"/>
  <c r="M29" i="53"/>
  <c r="M37" i="53"/>
  <c r="N37" i="53"/>
  <c r="N49" i="53"/>
  <c r="M49" i="53"/>
  <c r="N61" i="53"/>
  <c r="M61" i="53"/>
  <c r="N73" i="53"/>
  <c r="M73" i="53"/>
  <c r="M93" i="53"/>
  <c r="N93" i="53"/>
  <c r="M25" i="53"/>
  <c r="N25" i="53"/>
  <c r="M45" i="53"/>
  <c r="N45" i="53"/>
  <c r="M57" i="53"/>
  <c r="N57" i="53"/>
  <c r="N69" i="53"/>
  <c r="M69" i="53"/>
  <c r="N81" i="53"/>
  <c r="M81" i="53"/>
  <c r="M85" i="53"/>
  <c r="N85" i="53"/>
  <c r="N89" i="53"/>
  <c r="M89" i="53"/>
  <c r="M101" i="53"/>
  <c r="M105" i="53"/>
  <c r="M109" i="53"/>
  <c r="M113" i="53"/>
  <c r="M117" i="53"/>
  <c r="N117" i="53"/>
  <c r="N109" i="53"/>
  <c r="N101" i="53"/>
  <c r="M114" i="53"/>
  <c r="M102" i="53"/>
  <c r="M94" i="53"/>
  <c r="M90" i="53"/>
  <c r="M82" i="53"/>
  <c r="M74" i="53"/>
  <c r="M66" i="53"/>
  <c r="M58" i="53"/>
  <c r="M50" i="53"/>
  <c r="M42" i="53"/>
  <c r="M38" i="53"/>
  <c r="M26" i="53"/>
  <c r="M18" i="53"/>
  <c r="M110" i="53"/>
  <c r="M106" i="53"/>
  <c r="M98" i="53"/>
  <c r="M86" i="53"/>
  <c r="M78" i="53"/>
  <c r="M70" i="53"/>
  <c r="M62" i="53"/>
  <c r="M54" i="53"/>
  <c r="M46" i="53"/>
  <c r="M34" i="53"/>
  <c r="M30" i="53"/>
  <c r="M22" i="53"/>
  <c r="L18" i="55"/>
  <c r="L17" i="55"/>
  <c r="L16" i="55"/>
  <c r="L15" i="55"/>
  <c r="L14" i="55"/>
  <c r="L13" i="55"/>
  <c r="P103" i="55" l="1"/>
  <c r="R103" i="55"/>
  <c r="P67" i="60"/>
  <c r="O111" i="60"/>
  <c r="P76" i="60"/>
  <c r="O76" i="60"/>
  <c r="O77" i="60"/>
  <c r="P77" i="60"/>
  <c r="O113" i="60"/>
  <c r="P113" i="60"/>
  <c r="O105" i="60"/>
  <c r="P105" i="60"/>
  <c r="O61" i="60"/>
  <c r="P61" i="60"/>
  <c r="O81" i="60"/>
  <c r="P81" i="60"/>
  <c r="O93" i="60"/>
  <c r="P93" i="60"/>
  <c r="O89" i="60"/>
  <c r="P89" i="60"/>
  <c r="O109" i="60"/>
  <c r="P109" i="60"/>
  <c r="O85" i="60"/>
  <c r="P85" i="60"/>
  <c r="O65" i="60"/>
  <c r="P65" i="60"/>
  <c r="O57" i="60"/>
  <c r="P57" i="60"/>
  <c r="O97" i="60"/>
  <c r="P97" i="60"/>
  <c r="O69" i="60"/>
  <c r="P69" i="60"/>
  <c r="O101" i="60"/>
  <c r="P101" i="60"/>
  <c r="O73" i="60"/>
  <c r="P73" i="60"/>
  <c r="R70" i="55"/>
  <c r="Q70" i="55"/>
  <c r="R78" i="55"/>
  <c r="Q78" i="55"/>
  <c r="R61" i="55"/>
  <c r="Q61" i="55"/>
  <c r="R63" i="55"/>
  <c r="Q63" i="55"/>
  <c r="Q67" i="55"/>
  <c r="R67" i="55"/>
  <c r="P115" i="55"/>
  <c r="Q115" i="55"/>
  <c r="R115" i="55"/>
  <c r="R65" i="55"/>
  <c r="Q65" i="55"/>
  <c r="R62" i="55"/>
  <c r="Q62" i="55"/>
  <c r="R87" i="55"/>
  <c r="Q87" i="55"/>
  <c r="R69" i="55"/>
  <c r="Q69" i="55"/>
  <c r="R66" i="55"/>
  <c r="Q66" i="55"/>
  <c r="R111" i="55"/>
  <c r="Q111" i="55"/>
  <c r="R91" i="55"/>
  <c r="Q91" i="55"/>
  <c r="P71" i="55"/>
  <c r="R71" i="55"/>
  <c r="Q71" i="55"/>
  <c r="P111" i="55"/>
  <c r="O111" i="55"/>
  <c r="P91" i="55"/>
  <c r="O91" i="55"/>
  <c r="P78" i="55"/>
  <c r="O78" i="55"/>
  <c r="O87" i="55"/>
  <c r="P87" i="55"/>
  <c r="U57" i="53"/>
  <c r="V57" i="53"/>
  <c r="U68" i="53"/>
  <c r="V68" i="53"/>
  <c r="V93" i="53"/>
  <c r="U93" i="53"/>
  <c r="V117" i="53"/>
  <c r="U117" i="53"/>
  <c r="V73" i="53"/>
  <c r="U73" i="53"/>
  <c r="V77" i="53"/>
  <c r="U77" i="53"/>
  <c r="U76" i="53"/>
  <c r="V76" i="53"/>
  <c r="U112" i="53"/>
  <c r="V112" i="53"/>
  <c r="U89" i="53"/>
  <c r="V89" i="53"/>
  <c r="V69" i="53"/>
  <c r="U69" i="53"/>
  <c r="V97" i="53"/>
  <c r="U97" i="53"/>
  <c r="U92" i="53"/>
  <c r="V92" i="53"/>
  <c r="U64" i="53"/>
  <c r="V64" i="53"/>
  <c r="U84" i="53"/>
  <c r="V84" i="53"/>
  <c r="U72" i="53"/>
  <c r="V72" i="53"/>
  <c r="V109" i="53"/>
  <c r="U109" i="53"/>
  <c r="U65" i="53"/>
  <c r="V65" i="53"/>
  <c r="U60" i="53"/>
  <c r="V60" i="53"/>
  <c r="U96" i="53"/>
  <c r="V96" i="53"/>
  <c r="U116" i="53"/>
  <c r="V116" i="53"/>
  <c r="V101" i="53"/>
  <c r="U101" i="53"/>
  <c r="V85" i="53"/>
  <c r="U85" i="53"/>
  <c r="V81" i="53"/>
  <c r="U81" i="53"/>
  <c r="V61" i="53"/>
  <c r="U61" i="53"/>
  <c r="U108" i="53"/>
  <c r="V108" i="53"/>
  <c r="U104" i="53"/>
  <c r="V104" i="53"/>
  <c r="U80" i="53"/>
  <c r="V80" i="53"/>
  <c r="U100" i="53"/>
  <c r="V100" i="53"/>
  <c r="U88" i="53"/>
  <c r="V88" i="53"/>
  <c r="S117" i="53"/>
  <c r="T117" i="53"/>
  <c r="S116" i="53"/>
  <c r="T116" i="53"/>
  <c r="S112" i="53"/>
  <c r="T112" i="53"/>
  <c r="S89" i="53"/>
  <c r="T89" i="53"/>
  <c r="S69" i="53"/>
  <c r="T69" i="53"/>
  <c r="S97" i="53"/>
  <c r="T97" i="53"/>
  <c r="S92" i="53"/>
  <c r="T92" i="53"/>
  <c r="S64" i="53"/>
  <c r="T64" i="53"/>
  <c r="S84" i="53"/>
  <c r="T84" i="53"/>
  <c r="S72" i="53"/>
  <c r="T72" i="53"/>
  <c r="S77" i="53"/>
  <c r="T77" i="53"/>
  <c r="S101" i="53"/>
  <c r="T101" i="53"/>
  <c r="S85" i="53"/>
  <c r="T85" i="53"/>
  <c r="S81" i="53"/>
  <c r="T81" i="53"/>
  <c r="S61" i="53"/>
  <c r="T61" i="53"/>
  <c r="S108" i="53"/>
  <c r="T108" i="53"/>
  <c r="S104" i="53"/>
  <c r="T104" i="53"/>
  <c r="S80" i="53"/>
  <c r="T80" i="53"/>
  <c r="S100" i="53"/>
  <c r="T100" i="53"/>
  <c r="S88" i="53"/>
  <c r="T88" i="53"/>
  <c r="S73" i="53"/>
  <c r="T73" i="53"/>
  <c r="S76" i="53"/>
  <c r="T76" i="53"/>
  <c r="S109" i="53"/>
  <c r="T109" i="53"/>
  <c r="S57" i="53"/>
  <c r="T57" i="53"/>
  <c r="S93" i="53"/>
  <c r="T93" i="53"/>
  <c r="S65" i="53"/>
  <c r="T65" i="53"/>
  <c r="S60" i="53"/>
  <c r="T60" i="53"/>
  <c r="S68" i="53"/>
  <c r="T68" i="53"/>
  <c r="S96" i="53"/>
  <c r="T96" i="53"/>
  <c r="Q101" i="53"/>
  <c r="R101" i="53"/>
  <c r="Q85" i="53"/>
  <c r="R85" i="53"/>
  <c r="Q61" i="53"/>
  <c r="R61" i="53"/>
  <c r="Q108" i="53"/>
  <c r="R108" i="53"/>
  <c r="Q104" i="53"/>
  <c r="R104" i="53"/>
  <c r="Q88" i="53"/>
  <c r="R88" i="53"/>
  <c r="Q109" i="53"/>
  <c r="R109" i="53"/>
  <c r="Q57" i="53"/>
  <c r="R57" i="53"/>
  <c r="Q93" i="53"/>
  <c r="R93" i="53"/>
  <c r="Q65" i="53"/>
  <c r="R65" i="53"/>
  <c r="Q60" i="53"/>
  <c r="R60" i="53"/>
  <c r="Q68" i="53"/>
  <c r="R68" i="53"/>
  <c r="Q96" i="53"/>
  <c r="R96" i="53"/>
  <c r="Q81" i="53"/>
  <c r="R81" i="53"/>
  <c r="Q80" i="53"/>
  <c r="R80" i="53"/>
  <c r="Q100" i="53"/>
  <c r="R100" i="53"/>
  <c r="Q117" i="53"/>
  <c r="R117" i="53"/>
  <c r="Q73" i="53"/>
  <c r="R73" i="53"/>
  <c r="Q77" i="53"/>
  <c r="R77" i="53"/>
  <c r="Q76" i="53"/>
  <c r="R76" i="53"/>
  <c r="Q116" i="53"/>
  <c r="R116" i="53"/>
  <c r="Q112" i="53"/>
  <c r="R112" i="53"/>
  <c r="Q89" i="53"/>
  <c r="R89" i="53"/>
  <c r="Q69" i="53"/>
  <c r="R69" i="53"/>
  <c r="Q97" i="53"/>
  <c r="R97" i="53"/>
  <c r="Q92" i="53"/>
  <c r="R92" i="53"/>
  <c r="Q64" i="53"/>
  <c r="R64" i="53"/>
  <c r="Q84" i="53"/>
  <c r="R84" i="53"/>
  <c r="Q72" i="53"/>
  <c r="R72" i="53"/>
  <c r="O73" i="53"/>
  <c r="P73" i="53"/>
  <c r="O77" i="53"/>
  <c r="P77" i="53"/>
  <c r="O76" i="53"/>
  <c r="P76" i="53"/>
  <c r="O69" i="53"/>
  <c r="P69" i="53"/>
  <c r="O92" i="53"/>
  <c r="P92" i="53"/>
  <c r="O64" i="53"/>
  <c r="P64" i="53"/>
  <c r="O84" i="53"/>
  <c r="P84" i="53"/>
  <c r="O101" i="53"/>
  <c r="P101" i="53"/>
  <c r="O85" i="53"/>
  <c r="P85" i="53"/>
  <c r="O81" i="53"/>
  <c r="P81" i="53"/>
  <c r="O61" i="53"/>
  <c r="P61" i="53"/>
  <c r="O108" i="53"/>
  <c r="P108" i="53"/>
  <c r="O104" i="53"/>
  <c r="P104" i="53"/>
  <c r="O80" i="53"/>
  <c r="P80" i="53"/>
  <c r="O100" i="53"/>
  <c r="P100" i="53"/>
  <c r="O88" i="53"/>
  <c r="P88" i="53"/>
  <c r="O117" i="53"/>
  <c r="P117" i="53"/>
  <c r="O116" i="53"/>
  <c r="P116" i="53"/>
  <c r="O112" i="53"/>
  <c r="P112" i="53"/>
  <c r="O89" i="53"/>
  <c r="P89" i="53"/>
  <c r="O97" i="53"/>
  <c r="P97" i="53"/>
  <c r="O72" i="53"/>
  <c r="P72" i="53"/>
  <c r="O109" i="53"/>
  <c r="P109" i="53"/>
  <c r="O57" i="53"/>
  <c r="P57" i="53"/>
  <c r="O93" i="53"/>
  <c r="P93" i="53"/>
  <c r="O65" i="53"/>
  <c r="P65" i="53"/>
  <c r="O60" i="53"/>
  <c r="P60" i="53"/>
  <c r="O68" i="53"/>
  <c r="P68" i="53"/>
  <c r="O96" i="53"/>
  <c r="P96" i="53"/>
  <c r="AA18" i="53" l="1"/>
  <c r="S18" i="53" s="1"/>
  <c r="B16" i="50"/>
  <c r="C13" i="50"/>
  <c r="Z19" i="48"/>
  <c r="Z20" i="48"/>
  <c r="Z21" i="48"/>
  <c r="Z22" i="48"/>
  <c r="Z23" i="48"/>
  <c r="Z24" i="48"/>
  <c r="Z25" i="48"/>
  <c r="Z26" i="48"/>
  <c r="Z27" i="48"/>
  <c r="Z28" i="48"/>
  <c r="Z29" i="48"/>
  <c r="Z30" i="48"/>
  <c r="Z31" i="48"/>
  <c r="Z32" i="48"/>
  <c r="Z33" i="48"/>
  <c r="Z34" i="48"/>
  <c r="Z35" i="48"/>
  <c r="Z36" i="48"/>
  <c r="Z37" i="48"/>
  <c r="Z38" i="48"/>
  <c r="Z39" i="48"/>
  <c r="Z40" i="48"/>
  <c r="Z41" i="48"/>
  <c r="Z42" i="48"/>
  <c r="Z43" i="48"/>
  <c r="Z44" i="48"/>
  <c r="Z45" i="48"/>
  <c r="Z46" i="48"/>
  <c r="Z47" i="48"/>
  <c r="Z48" i="48"/>
  <c r="Z49" i="48"/>
  <c r="Z50" i="48"/>
  <c r="Z51" i="48"/>
  <c r="Z52" i="48"/>
  <c r="Z53" i="48"/>
  <c r="Z54" i="48"/>
  <c r="Z55" i="48"/>
  <c r="Z56" i="48"/>
  <c r="Z57" i="48"/>
  <c r="Z58" i="48"/>
  <c r="Z59" i="48"/>
  <c r="Z60" i="48"/>
  <c r="Z61" i="48"/>
  <c r="Z62" i="48"/>
  <c r="Z63" i="48"/>
  <c r="Z64" i="48"/>
  <c r="Z65" i="48"/>
  <c r="Z66" i="48"/>
  <c r="Z67" i="48"/>
  <c r="Z68" i="48"/>
  <c r="Z69" i="48"/>
  <c r="Z70" i="48"/>
  <c r="Z71" i="48"/>
  <c r="Z72" i="48"/>
  <c r="Z73" i="48"/>
  <c r="Z74" i="48"/>
  <c r="Z75" i="48"/>
  <c r="Z76" i="48"/>
  <c r="Z77" i="48"/>
  <c r="Z78" i="48"/>
  <c r="Z79" i="48"/>
  <c r="Z80" i="48"/>
  <c r="Z81" i="48"/>
  <c r="Z82" i="48"/>
  <c r="Z83" i="48"/>
  <c r="Z84" i="48"/>
  <c r="Z85" i="48"/>
  <c r="Z86" i="48"/>
  <c r="Z87" i="48"/>
  <c r="Z88" i="48"/>
  <c r="Z89" i="48"/>
  <c r="Z90" i="48"/>
  <c r="Z91" i="48"/>
  <c r="Z92" i="48"/>
  <c r="Z93" i="48"/>
  <c r="Z94" i="48"/>
  <c r="Z95" i="48"/>
  <c r="Z96" i="48"/>
  <c r="Z97" i="48"/>
  <c r="Z98" i="48"/>
  <c r="Z99" i="48"/>
  <c r="Z100" i="48"/>
  <c r="Z101" i="48"/>
  <c r="Z102" i="48"/>
  <c r="Z103" i="48"/>
  <c r="Z104" i="48"/>
  <c r="Z105" i="48"/>
  <c r="Z106" i="48"/>
  <c r="Z107" i="48"/>
  <c r="Z108" i="48"/>
  <c r="Z109" i="48"/>
  <c r="Z110" i="48"/>
  <c r="Z111" i="48"/>
  <c r="Z112" i="48"/>
  <c r="Z113" i="48"/>
  <c r="Z114" i="48"/>
  <c r="Z115" i="48"/>
  <c r="Z116" i="48"/>
  <c r="Z117" i="48"/>
  <c r="Z118" i="48"/>
  <c r="Z119" i="48"/>
  <c r="Z120" i="48"/>
  <c r="Z121" i="48"/>
  <c r="Z122" i="48"/>
  <c r="Z123" i="48"/>
  <c r="Z124" i="48"/>
  <c r="Z125" i="48"/>
  <c r="Z126" i="48"/>
  <c r="Z127" i="48"/>
  <c r="Z128" i="48"/>
  <c r="Z129" i="48"/>
  <c r="Z130" i="48"/>
  <c r="Z131" i="48"/>
  <c r="Z132" i="48"/>
  <c r="Z133" i="48"/>
  <c r="Z134" i="48"/>
  <c r="Z135" i="48"/>
  <c r="Z136" i="48"/>
  <c r="Z137" i="48"/>
  <c r="Z138" i="48"/>
  <c r="Z139" i="48"/>
  <c r="Z140" i="48"/>
  <c r="Z141" i="48"/>
  <c r="Z142" i="48"/>
  <c r="Z143" i="48"/>
  <c r="Z144" i="48"/>
  <c r="Z145" i="48"/>
  <c r="Z146" i="48"/>
  <c r="Z147" i="48"/>
  <c r="Z148" i="48"/>
  <c r="Z149" i="48"/>
  <c r="Z150" i="48"/>
  <c r="Z151" i="48"/>
  <c r="Z152" i="48"/>
  <c r="Z153" i="48"/>
  <c r="Z154" i="48"/>
  <c r="Z155" i="48"/>
  <c r="Z156" i="48"/>
  <c r="Z157" i="48"/>
  <c r="Z158" i="48"/>
  <c r="Z159" i="48"/>
  <c r="Z160" i="48"/>
  <c r="Z161" i="48"/>
  <c r="Z162" i="48"/>
  <c r="Z163" i="48"/>
  <c r="Z164" i="48"/>
  <c r="Z165" i="48"/>
  <c r="Z166" i="48"/>
  <c r="Z167" i="48"/>
  <c r="Z168" i="48"/>
  <c r="Z169" i="48"/>
  <c r="Z170" i="48"/>
  <c r="Z171" i="48"/>
  <c r="Z172" i="48"/>
  <c r="Z173" i="48"/>
  <c r="Z174" i="48"/>
  <c r="Z175" i="48"/>
  <c r="Z176" i="48"/>
  <c r="Z177" i="48"/>
  <c r="Z178" i="48"/>
  <c r="Z179" i="48"/>
  <c r="Z180" i="48"/>
  <c r="Z181" i="48"/>
  <c r="Z182" i="48"/>
  <c r="Z183" i="48"/>
  <c r="Z184" i="48"/>
  <c r="Z185" i="48"/>
  <c r="Z186" i="48"/>
  <c r="Z187" i="48"/>
  <c r="Z188" i="48"/>
  <c r="Z189" i="48"/>
  <c r="Z190" i="48"/>
  <c r="Z191" i="48"/>
  <c r="Z192" i="48"/>
  <c r="Z193" i="48"/>
  <c r="Z194" i="48"/>
  <c r="Z195" i="48"/>
  <c r="Z196" i="48"/>
  <c r="Z197" i="48"/>
  <c r="Z198" i="48"/>
  <c r="Z199" i="48"/>
  <c r="Z200" i="48"/>
  <c r="Z201" i="48"/>
  <c r="Z202" i="48"/>
  <c r="Z203" i="48"/>
  <c r="Z204" i="48"/>
  <c r="Z205" i="48"/>
  <c r="Z206" i="48"/>
  <c r="Z207" i="48"/>
  <c r="Z208" i="48"/>
  <c r="Z209" i="48"/>
  <c r="Z210" i="48"/>
  <c r="Z211" i="48"/>
  <c r="Z212" i="48"/>
  <c r="Z213" i="48"/>
  <c r="Z214" i="48"/>
  <c r="Z215" i="48"/>
  <c r="Z216" i="48"/>
  <c r="Z217" i="48"/>
  <c r="Z218" i="48"/>
  <c r="Z219" i="48"/>
  <c r="Z220" i="48"/>
  <c r="Z221" i="48"/>
  <c r="Z222" i="48"/>
  <c r="Z223" i="48"/>
  <c r="Z224" i="48"/>
  <c r="Z225" i="48"/>
  <c r="Z226" i="48"/>
  <c r="Z227" i="48"/>
  <c r="Z228" i="48"/>
  <c r="Z229" i="48"/>
  <c r="Z230" i="48"/>
  <c r="Z231" i="48"/>
  <c r="Z232" i="48"/>
  <c r="Z233" i="48"/>
  <c r="Z234" i="48"/>
  <c r="Z235" i="48"/>
  <c r="Z236" i="48"/>
  <c r="Z237" i="48"/>
  <c r="Z238" i="48"/>
  <c r="Z239" i="48"/>
  <c r="Z240" i="48"/>
  <c r="Z241" i="48"/>
  <c r="Z242" i="48"/>
  <c r="Z243" i="48"/>
  <c r="Z244" i="48"/>
  <c r="Z245" i="48"/>
  <c r="Z246" i="48"/>
  <c r="Z247" i="48"/>
  <c r="Z248" i="48"/>
  <c r="Z249" i="48"/>
  <c r="Z250" i="48"/>
  <c r="Z251" i="48"/>
  <c r="Z252" i="48"/>
  <c r="Z253" i="48"/>
  <c r="Z254" i="48"/>
  <c r="Z255" i="48"/>
  <c r="Z256" i="48"/>
  <c r="Z257" i="48"/>
  <c r="Z258" i="48"/>
  <c r="Z259" i="48"/>
  <c r="Z260" i="48"/>
  <c r="Z261" i="48"/>
  <c r="Z262" i="48"/>
  <c r="Z263" i="48"/>
  <c r="Z264" i="48"/>
  <c r="Z265" i="48"/>
  <c r="Z266" i="48"/>
  <c r="Z267" i="48"/>
  <c r="Z268" i="48"/>
  <c r="Z269" i="48"/>
  <c r="Z270" i="48"/>
  <c r="Z271" i="48"/>
  <c r="Z272" i="48"/>
  <c r="Z273" i="48"/>
  <c r="Z274" i="48"/>
  <c r="Z275" i="48"/>
  <c r="Z276" i="48"/>
  <c r="Z277" i="48"/>
  <c r="Z278" i="48"/>
  <c r="Z279" i="48"/>
  <c r="Z280" i="48"/>
  <c r="Z281" i="48"/>
  <c r="Z282" i="48"/>
  <c r="Z283" i="48"/>
  <c r="Z284" i="48"/>
  <c r="Z285" i="48"/>
  <c r="Z286" i="48"/>
  <c r="Z287" i="48"/>
  <c r="Z288" i="48"/>
  <c r="Z289" i="48"/>
  <c r="Z290" i="48"/>
  <c r="Z291" i="48"/>
  <c r="Z292" i="48"/>
  <c r="Z293" i="48"/>
  <c r="Z294" i="48"/>
  <c r="Z295" i="48"/>
  <c r="Z296" i="48"/>
  <c r="Z297" i="48"/>
  <c r="Z298" i="48"/>
  <c r="Z299" i="48"/>
  <c r="Z300" i="48"/>
  <c r="Z301" i="48"/>
  <c r="Z302" i="48"/>
  <c r="Z303" i="48"/>
  <c r="Z304" i="48"/>
  <c r="Z305" i="48"/>
  <c r="Z306" i="48"/>
  <c r="Z307" i="48"/>
  <c r="Z308" i="48"/>
  <c r="Z309" i="48"/>
  <c r="Z310" i="48"/>
  <c r="Z311" i="48"/>
  <c r="Z312" i="48"/>
  <c r="Z313" i="48"/>
  <c r="Z314" i="48"/>
  <c r="Z315" i="48"/>
  <c r="Z316" i="48"/>
  <c r="Z317" i="48"/>
  <c r="Z318" i="48"/>
  <c r="Z319" i="48"/>
  <c r="Z320" i="48"/>
  <c r="Z321" i="48"/>
  <c r="Z322" i="48"/>
  <c r="Z323" i="48"/>
  <c r="Z324" i="48"/>
  <c r="Z325" i="48"/>
  <c r="Z326" i="48"/>
  <c r="Z327" i="48"/>
  <c r="Z328" i="48"/>
  <c r="Z329" i="48"/>
  <c r="Z330" i="48"/>
  <c r="Z331" i="48"/>
  <c r="Z332" i="48"/>
  <c r="Z333" i="48"/>
  <c r="Z334" i="48"/>
  <c r="Z335" i="48"/>
  <c r="Z336" i="48"/>
  <c r="Z337" i="48"/>
  <c r="Z338" i="48"/>
  <c r="Z339" i="48"/>
  <c r="Z340" i="48"/>
  <c r="Z341" i="48"/>
  <c r="Z342" i="48"/>
  <c r="Z343" i="48"/>
  <c r="Z344" i="48"/>
  <c r="Z345" i="48"/>
  <c r="Z346" i="48"/>
  <c r="Z347" i="48"/>
  <c r="Z348" i="48"/>
  <c r="Z349" i="48"/>
  <c r="Z350" i="48"/>
  <c r="Z351" i="48"/>
  <c r="Z352" i="48"/>
  <c r="Z353" i="48"/>
  <c r="Z354" i="48"/>
  <c r="Z355" i="48"/>
  <c r="Z356" i="48"/>
  <c r="Z357" i="48"/>
  <c r="Z358" i="48"/>
  <c r="Z359" i="48"/>
  <c r="Z360" i="48"/>
  <c r="Z361" i="48"/>
  <c r="Z362" i="48"/>
  <c r="Z363" i="48"/>
  <c r="Z364" i="48"/>
  <c r="Z365" i="48"/>
  <c r="Z366" i="48"/>
  <c r="Z367" i="48"/>
  <c r="Z368" i="48"/>
  <c r="Z369" i="48"/>
  <c r="Z370" i="48"/>
  <c r="Z371" i="48"/>
  <c r="Z372" i="48"/>
  <c r="Z373" i="48"/>
  <c r="Z374" i="48"/>
  <c r="Z375" i="48"/>
  <c r="Z376" i="48"/>
  <c r="Z377" i="48"/>
  <c r="Z378" i="48"/>
  <c r="J18" i="48"/>
  <c r="J19" i="50"/>
  <c r="F11" i="50"/>
  <c r="F14" i="50"/>
  <c r="F17" i="50"/>
  <c r="AF116" i="45"/>
  <c r="R116" i="60" s="1"/>
  <c r="J19" i="45"/>
  <c r="J20" i="45"/>
  <c r="J21" i="45"/>
  <c r="J22" i="45"/>
  <c r="K22" i="45" s="1"/>
  <c r="J23" i="45"/>
  <c r="J24" i="45"/>
  <c r="J25" i="45"/>
  <c r="J26" i="45"/>
  <c r="J27" i="45"/>
  <c r="J28" i="45"/>
  <c r="J29" i="45"/>
  <c r="J30" i="45"/>
  <c r="J31" i="45"/>
  <c r="J32" i="45"/>
  <c r="J33" i="45"/>
  <c r="J34" i="45"/>
  <c r="J35" i="45"/>
  <c r="J36" i="45"/>
  <c r="J37" i="45"/>
  <c r="J38" i="45"/>
  <c r="J39" i="45"/>
  <c r="J40" i="45"/>
  <c r="J41" i="45"/>
  <c r="J42" i="45"/>
  <c r="J43" i="45"/>
  <c r="J44" i="45"/>
  <c r="J45" i="45"/>
  <c r="J46" i="45"/>
  <c r="J47" i="45"/>
  <c r="J48" i="45"/>
  <c r="J49" i="45"/>
  <c r="J50" i="45"/>
  <c r="J51" i="45"/>
  <c r="J52" i="45"/>
  <c r="J53" i="45"/>
  <c r="J54" i="45"/>
  <c r="J55" i="45"/>
  <c r="J56" i="45"/>
  <c r="J57" i="45"/>
  <c r="J58" i="45"/>
  <c r="J59" i="45"/>
  <c r="J60" i="45"/>
  <c r="J61" i="45"/>
  <c r="J62" i="45"/>
  <c r="J63" i="45"/>
  <c r="J64" i="45"/>
  <c r="J65" i="45"/>
  <c r="J66" i="45"/>
  <c r="J67" i="45"/>
  <c r="J68" i="45"/>
  <c r="J69" i="45"/>
  <c r="J70" i="45"/>
  <c r="J71" i="45"/>
  <c r="J72" i="45"/>
  <c r="J73" i="45"/>
  <c r="J74" i="45"/>
  <c r="J75" i="45"/>
  <c r="J76" i="45"/>
  <c r="J77" i="45"/>
  <c r="J78" i="45"/>
  <c r="J79" i="45"/>
  <c r="J80" i="45"/>
  <c r="J81" i="45"/>
  <c r="J82" i="45"/>
  <c r="J83" i="45"/>
  <c r="J84" i="45"/>
  <c r="J85" i="45"/>
  <c r="J86" i="45"/>
  <c r="J87" i="45"/>
  <c r="J88" i="45"/>
  <c r="J89" i="45"/>
  <c r="J90" i="45"/>
  <c r="J91" i="45"/>
  <c r="J92" i="45"/>
  <c r="J93" i="45"/>
  <c r="J94" i="45"/>
  <c r="J95" i="45"/>
  <c r="J96" i="45"/>
  <c r="J97" i="45"/>
  <c r="J98" i="45"/>
  <c r="J99" i="45"/>
  <c r="J100" i="45"/>
  <c r="J101" i="45"/>
  <c r="J102" i="45"/>
  <c r="J103" i="45"/>
  <c r="J104" i="45"/>
  <c r="J105" i="45"/>
  <c r="J106" i="45"/>
  <c r="J107" i="45"/>
  <c r="J108" i="45"/>
  <c r="J109" i="45"/>
  <c r="J110" i="45"/>
  <c r="J111" i="45"/>
  <c r="J112" i="45"/>
  <c r="J113" i="45"/>
  <c r="J114" i="45"/>
  <c r="J115" i="45"/>
  <c r="J116" i="45"/>
  <c r="J18" i="45"/>
  <c r="J17" i="45"/>
  <c r="AC18" i="45"/>
  <c r="AC19" i="45" s="1"/>
  <c r="AC20" i="45" s="1"/>
  <c r="AC21" i="45" s="1"/>
  <c r="AC22" i="45" s="1"/>
  <c r="AC23" i="45" s="1"/>
  <c r="AC24" i="45" s="1"/>
  <c r="AC25" i="45" s="1"/>
  <c r="AC26" i="45" s="1"/>
  <c r="AC27" i="45" s="1"/>
  <c r="AC28" i="45" s="1"/>
  <c r="AC29" i="45" s="1"/>
  <c r="AC30" i="45" s="1"/>
  <c r="AC31" i="45" s="1"/>
  <c r="AC32" i="45" s="1"/>
  <c r="AC33" i="45" s="1"/>
  <c r="AC34" i="45" s="1"/>
  <c r="AC35" i="45" s="1"/>
  <c r="AC36" i="45" s="1"/>
  <c r="AC37" i="45" s="1"/>
  <c r="AC38" i="45" s="1"/>
  <c r="AC39" i="45" s="1"/>
  <c r="AC40" i="45" s="1"/>
  <c r="AC41" i="45" s="1"/>
  <c r="AC42" i="45" s="1"/>
  <c r="AC43" i="45" s="1"/>
  <c r="AC44" i="45" s="1"/>
  <c r="AC45" i="45" s="1"/>
  <c r="AC46" i="45" s="1"/>
  <c r="AC47" i="45" s="1"/>
  <c r="AC48" i="45" s="1"/>
  <c r="AC49" i="45" s="1"/>
  <c r="AC50" i="45" s="1"/>
  <c r="AC51" i="45" s="1"/>
  <c r="AC52" i="45" s="1"/>
  <c r="AC53" i="45" s="1"/>
  <c r="AC54" i="45" s="1"/>
  <c r="AC55" i="45" s="1"/>
  <c r="AC56" i="45" s="1"/>
  <c r="AC57" i="45" s="1"/>
  <c r="AC58" i="45" s="1"/>
  <c r="AC59" i="45" s="1"/>
  <c r="AC60" i="45" s="1"/>
  <c r="AC61" i="45" s="1"/>
  <c r="AC62" i="45" s="1"/>
  <c r="AC63" i="45" s="1"/>
  <c r="AC64" i="45" s="1"/>
  <c r="AC65" i="45" s="1"/>
  <c r="AC66" i="45" s="1"/>
  <c r="AC67" i="45" s="1"/>
  <c r="AC68" i="45" s="1"/>
  <c r="AC69" i="45" s="1"/>
  <c r="AC70" i="45" s="1"/>
  <c r="AC71" i="45" s="1"/>
  <c r="AC72" i="45" s="1"/>
  <c r="AC73" i="45" s="1"/>
  <c r="AC74" i="45" s="1"/>
  <c r="AC75" i="45" s="1"/>
  <c r="AC76" i="45" s="1"/>
  <c r="AC77" i="45" s="1"/>
  <c r="AC78" i="45" s="1"/>
  <c r="AC79" i="45" s="1"/>
  <c r="AC80" i="45" s="1"/>
  <c r="AC81" i="45" s="1"/>
  <c r="AC82" i="45" s="1"/>
  <c r="AC83" i="45" s="1"/>
  <c r="AC84" i="45" s="1"/>
  <c r="AC85" i="45" s="1"/>
  <c r="AC86" i="45" s="1"/>
  <c r="AC87" i="45" s="1"/>
  <c r="AC88" i="45" s="1"/>
  <c r="AC89" i="45" s="1"/>
  <c r="AC90" i="45" s="1"/>
  <c r="AC91" i="45" s="1"/>
  <c r="AC92" i="45" s="1"/>
  <c r="AC93" i="45" s="1"/>
  <c r="AC94" i="45" s="1"/>
  <c r="AC95" i="45" s="1"/>
  <c r="AC96" i="45" s="1"/>
  <c r="AC97" i="45" s="1"/>
  <c r="AC98" i="45" s="1"/>
  <c r="AC99" i="45" s="1"/>
  <c r="AC100" i="45" s="1"/>
  <c r="AC101" i="45" s="1"/>
  <c r="AC102" i="45" s="1"/>
  <c r="AC103" i="45" s="1"/>
  <c r="AC104" i="45" s="1"/>
  <c r="AC105" i="45" s="1"/>
  <c r="AC106" i="45" s="1"/>
  <c r="AC107" i="45" s="1"/>
  <c r="AC108" i="45" s="1"/>
  <c r="AC109" i="45" s="1"/>
  <c r="AC110" i="45" s="1"/>
  <c r="AC111" i="45" s="1"/>
  <c r="AC112" i="45" s="1"/>
  <c r="AC113" i="45" s="1"/>
  <c r="AC114" i="45" s="1"/>
  <c r="AC115" i="45" s="1"/>
  <c r="AC116" i="45" s="1"/>
  <c r="AB17" i="45"/>
  <c r="AB18" i="45" s="1"/>
  <c r="Y17" i="45"/>
  <c r="AE17" i="45"/>
  <c r="AE18" i="45" s="1"/>
  <c r="AF17" i="45" s="1"/>
  <c r="R17" i="60" s="1"/>
  <c r="L18" i="48" l="1"/>
  <c r="M18" i="48" s="1"/>
  <c r="AB18" i="53"/>
  <c r="V18" i="53" s="1"/>
  <c r="F21" i="50"/>
  <c r="L107" i="45"/>
  <c r="T107" i="45" s="1"/>
  <c r="L91" i="45"/>
  <c r="T91" i="45" s="1"/>
  <c r="L75" i="45"/>
  <c r="T75" i="45" s="1"/>
  <c r="L63" i="45"/>
  <c r="T63" i="45" s="1"/>
  <c r="L51" i="45"/>
  <c r="T51" i="45" s="1"/>
  <c r="L39" i="45"/>
  <c r="L35" i="45"/>
  <c r="L31" i="45"/>
  <c r="L23" i="45"/>
  <c r="L114" i="45"/>
  <c r="T114" i="45" s="1"/>
  <c r="L110" i="45"/>
  <c r="T110" i="45" s="1"/>
  <c r="L106" i="45"/>
  <c r="T106" i="45" s="1"/>
  <c r="L102" i="45"/>
  <c r="T102" i="45" s="1"/>
  <c r="L98" i="45"/>
  <c r="T98" i="45" s="1"/>
  <c r="L94" i="45"/>
  <c r="T94" i="45" s="1"/>
  <c r="L90" i="45"/>
  <c r="T90" i="45" s="1"/>
  <c r="L86" i="45"/>
  <c r="T86" i="45" s="1"/>
  <c r="L82" i="45"/>
  <c r="T82" i="45" s="1"/>
  <c r="L78" i="45"/>
  <c r="T78" i="45" s="1"/>
  <c r="L74" i="45"/>
  <c r="T74" i="45" s="1"/>
  <c r="L70" i="45"/>
  <c r="T70" i="45" s="1"/>
  <c r="L66" i="45"/>
  <c r="T66" i="45" s="1"/>
  <c r="L62" i="45"/>
  <c r="T62" i="45" s="1"/>
  <c r="L58" i="45"/>
  <c r="T58" i="45" s="1"/>
  <c r="L54" i="45"/>
  <c r="T54" i="45" s="1"/>
  <c r="L50" i="45"/>
  <c r="T50" i="45" s="1"/>
  <c r="L46" i="45"/>
  <c r="L42" i="45"/>
  <c r="L38" i="45"/>
  <c r="L34" i="45"/>
  <c r="L30" i="45"/>
  <c r="L26" i="45"/>
  <c r="L22" i="45"/>
  <c r="L111" i="45"/>
  <c r="T111" i="45" s="1"/>
  <c r="L99" i="45"/>
  <c r="T99" i="45" s="1"/>
  <c r="L87" i="45"/>
  <c r="T87" i="45" s="1"/>
  <c r="L79" i="45"/>
  <c r="T79" i="45" s="1"/>
  <c r="L67" i="45"/>
  <c r="T67" i="45" s="1"/>
  <c r="L55" i="45"/>
  <c r="T55" i="45" s="1"/>
  <c r="L43" i="45"/>
  <c r="L27" i="45"/>
  <c r="K18" i="45"/>
  <c r="M113" i="45"/>
  <c r="M109" i="45"/>
  <c r="M105" i="45"/>
  <c r="M101" i="45"/>
  <c r="M97" i="45"/>
  <c r="M93" i="45"/>
  <c r="M89" i="45"/>
  <c r="M85" i="45"/>
  <c r="M81" i="45"/>
  <c r="M77" i="45"/>
  <c r="M73" i="45"/>
  <c r="M69" i="45"/>
  <c r="M65" i="45"/>
  <c r="M61" i="45"/>
  <c r="M57" i="45"/>
  <c r="M53" i="45"/>
  <c r="L33" i="45"/>
  <c r="L29" i="45"/>
  <c r="L25" i="45"/>
  <c r="L21" i="45"/>
  <c r="L115" i="45"/>
  <c r="T115" i="45" s="1"/>
  <c r="L103" i="45"/>
  <c r="T103" i="45" s="1"/>
  <c r="L95" i="45"/>
  <c r="T95" i="45" s="1"/>
  <c r="L83" i="45"/>
  <c r="T83" i="45" s="1"/>
  <c r="L71" i="45"/>
  <c r="T71" i="45" s="1"/>
  <c r="L59" i="45"/>
  <c r="T59" i="45" s="1"/>
  <c r="L47" i="45"/>
  <c r="K19" i="45"/>
  <c r="L116" i="45"/>
  <c r="T116" i="45" s="1"/>
  <c r="L112" i="45"/>
  <c r="T112" i="45" s="1"/>
  <c r="L108" i="45"/>
  <c r="T108" i="45" s="1"/>
  <c r="L104" i="45"/>
  <c r="T104" i="45" s="1"/>
  <c r="L100" i="45"/>
  <c r="T100" i="45" s="1"/>
  <c r="L96" i="45"/>
  <c r="T96" i="45" s="1"/>
  <c r="L92" i="45"/>
  <c r="T92" i="45" s="1"/>
  <c r="L88" i="45"/>
  <c r="T88" i="45" s="1"/>
  <c r="L84" i="45"/>
  <c r="T84" i="45" s="1"/>
  <c r="L80" i="45"/>
  <c r="T80" i="45" s="1"/>
  <c r="L76" i="45"/>
  <c r="T76" i="45" s="1"/>
  <c r="K72" i="45"/>
  <c r="N72" i="45" s="1"/>
  <c r="L68" i="45"/>
  <c r="T68" i="45" s="1"/>
  <c r="L64" i="45"/>
  <c r="T64" i="45" s="1"/>
  <c r="L60" i="45"/>
  <c r="T60" i="45" s="1"/>
  <c r="L56" i="45"/>
  <c r="T56" i="45" s="1"/>
  <c r="L52" i="45"/>
  <c r="T52" i="45" s="1"/>
  <c r="L48" i="45"/>
  <c r="L44" i="45"/>
  <c r="L40" i="45"/>
  <c r="K36" i="45"/>
  <c r="L32" i="45"/>
  <c r="K28" i="45"/>
  <c r="L24" i="45"/>
  <c r="K20" i="45"/>
  <c r="J19" i="48"/>
  <c r="L19" i="48" s="1"/>
  <c r="L17" i="45"/>
  <c r="T17" i="45" s="1"/>
  <c r="K17" i="45"/>
  <c r="Y18" i="45"/>
  <c r="AR19" i="48"/>
  <c r="AR20" i="48" s="1"/>
  <c r="AR21" i="48" s="1"/>
  <c r="AR22" i="48" s="1"/>
  <c r="AR23" i="48" s="1"/>
  <c r="AR24" i="48" s="1"/>
  <c r="AR25" i="48" s="1"/>
  <c r="AR26" i="48" s="1"/>
  <c r="AA19" i="48"/>
  <c r="AA20" i="48" s="1"/>
  <c r="AA21" i="48" s="1"/>
  <c r="AA22" i="48" s="1"/>
  <c r="AA23" i="48" s="1"/>
  <c r="AA24" i="48" s="1"/>
  <c r="AA25" i="48" s="1"/>
  <c r="AA26" i="48" s="1"/>
  <c r="AA27" i="48" s="1"/>
  <c r="AA28" i="48" s="1"/>
  <c r="AA29" i="48" s="1"/>
  <c r="AA30" i="48" s="1"/>
  <c r="AA31" i="48" s="1"/>
  <c r="AA32" i="48" s="1"/>
  <c r="AA33" i="48" s="1"/>
  <c r="AA34" i="48" s="1"/>
  <c r="AA35" i="48" s="1"/>
  <c r="AA36" i="48" s="1"/>
  <c r="AA37" i="48" s="1"/>
  <c r="AA38" i="48" s="1"/>
  <c r="AA39" i="48" s="1"/>
  <c r="AA40" i="48" s="1"/>
  <c r="AA41" i="48" s="1"/>
  <c r="AA42" i="48" s="1"/>
  <c r="AA43" i="48" s="1"/>
  <c r="AA44" i="48" s="1"/>
  <c r="AA45" i="48" s="1"/>
  <c r="AA46" i="48" s="1"/>
  <c r="AA47" i="48" s="1"/>
  <c r="AA48" i="48" s="1"/>
  <c r="AA49" i="48" s="1"/>
  <c r="AA50" i="48" s="1"/>
  <c r="AA51" i="48" s="1"/>
  <c r="AA52" i="48" s="1"/>
  <c r="AA53" i="48" s="1"/>
  <c r="AA54" i="48" s="1"/>
  <c r="AA55" i="48" s="1"/>
  <c r="AA56" i="48" s="1"/>
  <c r="AA57" i="48" s="1"/>
  <c r="AA58" i="48" s="1"/>
  <c r="AA59" i="48" s="1"/>
  <c r="AA60" i="48" s="1"/>
  <c r="AA61" i="48" s="1"/>
  <c r="AA62" i="48" s="1"/>
  <c r="AA63" i="48" s="1"/>
  <c r="AA64" i="48" s="1"/>
  <c r="AA65" i="48" s="1"/>
  <c r="AA66" i="48" s="1"/>
  <c r="AA67" i="48" s="1"/>
  <c r="AA68" i="48" s="1"/>
  <c r="AA69" i="48" s="1"/>
  <c r="AA70" i="48" s="1"/>
  <c r="AA71" i="48" s="1"/>
  <c r="AA72" i="48" s="1"/>
  <c r="AA73" i="48" s="1"/>
  <c r="AA74" i="48" s="1"/>
  <c r="AA75" i="48" s="1"/>
  <c r="AA76" i="48" s="1"/>
  <c r="AA77" i="48" s="1"/>
  <c r="AA78" i="48" s="1"/>
  <c r="AA79" i="48" s="1"/>
  <c r="AA80" i="48" s="1"/>
  <c r="AA81" i="48" s="1"/>
  <c r="AA82" i="48" s="1"/>
  <c r="AA83" i="48" s="1"/>
  <c r="AA84" i="48" s="1"/>
  <c r="AA85" i="48" s="1"/>
  <c r="AA86" i="48" s="1"/>
  <c r="AA87" i="48" s="1"/>
  <c r="AA88" i="48" s="1"/>
  <c r="AA89" i="48" s="1"/>
  <c r="AA90" i="48" s="1"/>
  <c r="AA91" i="48" s="1"/>
  <c r="AA92" i="48" s="1"/>
  <c r="AA93" i="48" s="1"/>
  <c r="AA94" i="48" s="1"/>
  <c r="AA95" i="48" s="1"/>
  <c r="AA96" i="48" s="1"/>
  <c r="AA97" i="48" s="1"/>
  <c r="AA98" i="48" s="1"/>
  <c r="AA99" i="48" s="1"/>
  <c r="AA100" i="48" s="1"/>
  <c r="AA101" i="48" s="1"/>
  <c r="AA102" i="48" s="1"/>
  <c r="AA103" i="48" s="1"/>
  <c r="AA104" i="48" s="1"/>
  <c r="AA105" i="48" s="1"/>
  <c r="AA106" i="48" s="1"/>
  <c r="AA107" i="48" s="1"/>
  <c r="AA108" i="48" s="1"/>
  <c r="AA109" i="48" s="1"/>
  <c r="AA110" i="48" s="1"/>
  <c r="AA111" i="48" s="1"/>
  <c r="AA112" i="48" s="1"/>
  <c r="AA113" i="48" s="1"/>
  <c r="AA114" i="48" s="1"/>
  <c r="AA115" i="48" s="1"/>
  <c r="AA116" i="48" s="1"/>
  <c r="AA117" i="48" s="1"/>
  <c r="AA118" i="48" s="1"/>
  <c r="AA119" i="48" s="1"/>
  <c r="AA120" i="48" s="1"/>
  <c r="AA121" i="48" s="1"/>
  <c r="AA122" i="48" s="1"/>
  <c r="AA123" i="48" s="1"/>
  <c r="AA124" i="48" s="1"/>
  <c r="AA125" i="48" s="1"/>
  <c r="AA126" i="48" s="1"/>
  <c r="AA127" i="48" s="1"/>
  <c r="AA128" i="48" s="1"/>
  <c r="AA129" i="48" s="1"/>
  <c r="AA130" i="48" s="1"/>
  <c r="AA131" i="48" s="1"/>
  <c r="AA132" i="48" s="1"/>
  <c r="AA133" i="48" s="1"/>
  <c r="AA134" i="48" s="1"/>
  <c r="AA135" i="48" s="1"/>
  <c r="AA136" i="48" s="1"/>
  <c r="AA137" i="48" s="1"/>
  <c r="AA138" i="48" s="1"/>
  <c r="AA139" i="48" s="1"/>
  <c r="AA140" i="48" s="1"/>
  <c r="AA141" i="48" s="1"/>
  <c r="AA142" i="48" s="1"/>
  <c r="AA143" i="48" s="1"/>
  <c r="AA144" i="48" s="1"/>
  <c r="AA145" i="48" s="1"/>
  <c r="AA146" i="48" s="1"/>
  <c r="AA147" i="48" s="1"/>
  <c r="AA148" i="48" s="1"/>
  <c r="AA149" i="48" s="1"/>
  <c r="AA150" i="48" s="1"/>
  <c r="AA151" i="48" s="1"/>
  <c r="AA152" i="48" s="1"/>
  <c r="AA153" i="48" s="1"/>
  <c r="AA154" i="48" s="1"/>
  <c r="AA155" i="48" s="1"/>
  <c r="AA156" i="48" s="1"/>
  <c r="AA157" i="48" s="1"/>
  <c r="AA158" i="48" s="1"/>
  <c r="AA159" i="48" s="1"/>
  <c r="AA160" i="48" s="1"/>
  <c r="AA161" i="48" s="1"/>
  <c r="AA162" i="48" s="1"/>
  <c r="AA163" i="48" s="1"/>
  <c r="AA164" i="48" s="1"/>
  <c r="AA165" i="48" s="1"/>
  <c r="AA166" i="48" s="1"/>
  <c r="AA167" i="48" s="1"/>
  <c r="AA168" i="48" s="1"/>
  <c r="AA169" i="48" s="1"/>
  <c r="AA170" i="48" s="1"/>
  <c r="AA171" i="48" s="1"/>
  <c r="AA172" i="48" s="1"/>
  <c r="AA173" i="48" s="1"/>
  <c r="AA174" i="48" s="1"/>
  <c r="AA175" i="48" s="1"/>
  <c r="AA176" i="48" s="1"/>
  <c r="AA177" i="48" s="1"/>
  <c r="AA178" i="48" s="1"/>
  <c r="AA179" i="48" s="1"/>
  <c r="AA180" i="48" s="1"/>
  <c r="AA181" i="48" s="1"/>
  <c r="AA182" i="48" s="1"/>
  <c r="AA183" i="48" s="1"/>
  <c r="AA184" i="48" s="1"/>
  <c r="AA185" i="48" s="1"/>
  <c r="AA186" i="48" s="1"/>
  <c r="AA187" i="48" s="1"/>
  <c r="AA188" i="48" s="1"/>
  <c r="AA189" i="48" s="1"/>
  <c r="AA190" i="48" s="1"/>
  <c r="AA191" i="48" s="1"/>
  <c r="AA192" i="48" s="1"/>
  <c r="AA193" i="48" s="1"/>
  <c r="AA194" i="48" s="1"/>
  <c r="AA195" i="48" s="1"/>
  <c r="AA196" i="48" s="1"/>
  <c r="AA197" i="48" s="1"/>
  <c r="AA198" i="48" s="1"/>
  <c r="AA199" i="48" s="1"/>
  <c r="AA200" i="48" s="1"/>
  <c r="AA201" i="48" s="1"/>
  <c r="AA202" i="48" s="1"/>
  <c r="AA203" i="48" s="1"/>
  <c r="AA204" i="48" s="1"/>
  <c r="AA205" i="48" s="1"/>
  <c r="AA206" i="48" s="1"/>
  <c r="AA207" i="48" s="1"/>
  <c r="AA208" i="48" s="1"/>
  <c r="AA209" i="48" s="1"/>
  <c r="AA210" i="48" s="1"/>
  <c r="AA211" i="48" s="1"/>
  <c r="AA212" i="48" s="1"/>
  <c r="AA213" i="48" s="1"/>
  <c r="AA214" i="48" s="1"/>
  <c r="AA215" i="48" s="1"/>
  <c r="AA216" i="48" s="1"/>
  <c r="AA217" i="48" s="1"/>
  <c r="AA218" i="48" s="1"/>
  <c r="AA219" i="48" s="1"/>
  <c r="AA220" i="48" s="1"/>
  <c r="AA221" i="48" s="1"/>
  <c r="AA222" i="48" s="1"/>
  <c r="AA223" i="48" s="1"/>
  <c r="AA224" i="48" s="1"/>
  <c r="AA225" i="48" s="1"/>
  <c r="AA226" i="48" s="1"/>
  <c r="AA227" i="48" s="1"/>
  <c r="AA228" i="48" s="1"/>
  <c r="AA229" i="48" s="1"/>
  <c r="AA230" i="48" s="1"/>
  <c r="AA231" i="48" s="1"/>
  <c r="AA232" i="48" s="1"/>
  <c r="AA233" i="48" s="1"/>
  <c r="AA234" i="48" s="1"/>
  <c r="AA235" i="48" s="1"/>
  <c r="AA236" i="48" s="1"/>
  <c r="AA237" i="48" s="1"/>
  <c r="AA238" i="48" s="1"/>
  <c r="AA239" i="48" s="1"/>
  <c r="AA240" i="48" s="1"/>
  <c r="AA241" i="48" s="1"/>
  <c r="AA242" i="48" s="1"/>
  <c r="AA243" i="48" s="1"/>
  <c r="AA244" i="48" s="1"/>
  <c r="AA245" i="48" s="1"/>
  <c r="AA246" i="48" s="1"/>
  <c r="AA247" i="48" s="1"/>
  <c r="AA248" i="48" s="1"/>
  <c r="AA249" i="48" s="1"/>
  <c r="AA250" i="48" s="1"/>
  <c r="AA251" i="48" s="1"/>
  <c r="AA252" i="48" s="1"/>
  <c r="AA253" i="48" s="1"/>
  <c r="AA254" i="48" s="1"/>
  <c r="AA255" i="48" s="1"/>
  <c r="AA256" i="48" s="1"/>
  <c r="AA257" i="48" s="1"/>
  <c r="AA258" i="48" s="1"/>
  <c r="AA259" i="48" s="1"/>
  <c r="AA260" i="48" s="1"/>
  <c r="AA261" i="48" s="1"/>
  <c r="AA262" i="48" s="1"/>
  <c r="AA263" i="48" s="1"/>
  <c r="AA264" i="48" s="1"/>
  <c r="AA265" i="48" s="1"/>
  <c r="AA266" i="48" s="1"/>
  <c r="AA267" i="48" s="1"/>
  <c r="AA268" i="48" s="1"/>
  <c r="AA269" i="48" s="1"/>
  <c r="AA270" i="48" s="1"/>
  <c r="AA271" i="48" s="1"/>
  <c r="AA272" i="48" s="1"/>
  <c r="AA273" i="48" s="1"/>
  <c r="AA274" i="48" s="1"/>
  <c r="AA275" i="48" s="1"/>
  <c r="AA276" i="48" s="1"/>
  <c r="AA277" i="48" s="1"/>
  <c r="AA278" i="48" s="1"/>
  <c r="AA279" i="48" s="1"/>
  <c r="AA280" i="48" s="1"/>
  <c r="AA281" i="48" s="1"/>
  <c r="AA282" i="48" s="1"/>
  <c r="AA283" i="48" s="1"/>
  <c r="AA284" i="48" s="1"/>
  <c r="AA285" i="48" s="1"/>
  <c r="AA286" i="48" s="1"/>
  <c r="AA287" i="48" s="1"/>
  <c r="AA288" i="48" s="1"/>
  <c r="AA289" i="48" s="1"/>
  <c r="AA290" i="48" s="1"/>
  <c r="AA291" i="48" s="1"/>
  <c r="AA292" i="48" s="1"/>
  <c r="AA293" i="48" s="1"/>
  <c r="AA294" i="48" s="1"/>
  <c r="AA295" i="48" s="1"/>
  <c r="AA296" i="48" s="1"/>
  <c r="AA297" i="48" s="1"/>
  <c r="AA298" i="48" s="1"/>
  <c r="AA299" i="48" s="1"/>
  <c r="AA300" i="48" s="1"/>
  <c r="AA301" i="48" s="1"/>
  <c r="AA302" i="48" s="1"/>
  <c r="AA303" i="48" s="1"/>
  <c r="AA304" i="48" s="1"/>
  <c r="AA305" i="48" s="1"/>
  <c r="AA306" i="48" s="1"/>
  <c r="AA307" i="48" s="1"/>
  <c r="AA308" i="48" s="1"/>
  <c r="AA309" i="48" s="1"/>
  <c r="AA310" i="48" s="1"/>
  <c r="AA311" i="48" s="1"/>
  <c r="AA312" i="48" s="1"/>
  <c r="AA313" i="48" s="1"/>
  <c r="AA314" i="48" s="1"/>
  <c r="AA315" i="48" s="1"/>
  <c r="AA316" i="48" s="1"/>
  <c r="AA317" i="48" s="1"/>
  <c r="AA318" i="48" s="1"/>
  <c r="AA319" i="48" s="1"/>
  <c r="AA320" i="48" s="1"/>
  <c r="AA321" i="48" s="1"/>
  <c r="AA322" i="48" s="1"/>
  <c r="AA323" i="48" s="1"/>
  <c r="AA324" i="48" s="1"/>
  <c r="AA325" i="48" s="1"/>
  <c r="AA326" i="48" s="1"/>
  <c r="AA327" i="48" s="1"/>
  <c r="AA328" i="48" s="1"/>
  <c r="AA329" i="48" s="1"/>
  <c r="AA330" i="48" s="1"/>
  <c r="AA331" i="48" s="1"/>
  <c r="AA332" i="48" s="1"/>
  <c r="AA333" i="48" s="1"/>
  <c r="AA334" i="48" s="1"/>
  <c r="AA335" i="48" s="1"/>
  <c r="AA336" i="48" s="1"/>
  <c r="AA337" i="48" s="1"/>
  <c r="AA338" i="48" s="1"/>
  <c r="AA339" i="48" s="1"/>
  <c r="AA340" i="48" s="1"/>
  <c r="AA341" i="48" s="1"/>
  <c r="AA342" i="48" s="1"/>
  <c r="AA343" i="48" s="1"/>
  <c r="AA344" i="48" s="1"/>
  <c r="AA345" i="48" s="1"/>
  <c r="AA346" i="48" s="1"/>
  <c r="AA347" i="48" s="1"/>
  <c r="AA348" i="48" s="1"/>
  <c r="AA349" i="48" s="1"/>
  <c r="AA350" i="48" s="1"/>
  <c r="AA351" i="48" s="1"/>
  <c r="AA352" i="48" s="1"/>
  <c r="AA353" i="48" s="1"/>
  <c r="AA354" i="48" s="1"/>
  <c r="AA355" i="48" s="1"/>
  <c r="AA356" i="48" s="1"/>
  <c r="AA357" i="48" s="1"/>
  <c r="AA358" i="48" s="1"/>
  <c r="AA359" i="48" s="1"/>
  <c r="AA360" i="48" s="1"/>
  <c r="AA361" i="48" s="1"/>
  <c r="AA362" i="48" s="1"/>
  <c r="AA363" i="48" s="1"/>
  <c r="AA364" i="48" s="1"/>
  <c r="AA365" i="48" s="1"/>
  <c r="AA366" i="48" s="1"/>
  <c r="AA367" i="48" s="1"/>
  <c r="AA368" i="48" s="1"/>
  <c r="AA369" i="48" s="1"/>
  <c r="AA370" i="48" s="1"/>
  <c r="AA371" i="48" s="1"/>
  <c r="AA372" i="48" s="1"/>
  <c r="AA373" i="48" s="1"/>
  <c r="AA374" i="48" s="1"/>
  <c r="AA375" i="48" s="1"/>
  <c r="AA376" i="48" s="1"/>
  <c r="AA377" i="48" s="1"/>
  <c r="AA378" i="48" s="1"/>
  <c r="F12" i="50"/>
  <c r="F18" i="50" s="1"/>
  <c r="AA19" i="53"/>
  <c r="S19" i="53" s="1"/>
  <c r="AQ18" i="48"/>
  <c r="AQ19" i="48" s="1"/>
  <c r="AQ20" i="48" s="1"/>
  <c r="AQ21" i="48" s="1"/>
  <c r="AQ22" i="48" s="1"/>
  <c r="AQ23" i="48" s="1"/>
  <c r="AQ24" i="48" s="1"/>
  <c r="AQ25" i="48" s="1"/>
  <c r="AQ26" i="48" s="1"/>
  <c r="AQ27" i="48" s="1"/>
  <c r="L19" i="45"/>
  <c r="L20" i="45"/>
  <c r="L18" i="45"/>
  <c r="T18" i="45" s="1"/>
  <c r="L85" i="45"/>
  <c r="T85" i="45" s="1"/>
  <c r="L81" i="45"/>
  <c r="T81" i="45" s="1"/>
  <c r="L77" i="45"/>
  <c r="T77" i="45" s="1"/>
  <c r="L73" i="45"/>
  <c r="T73" i="45" s="1"/>
  <c r="L69" i="45"/>
  <c r="T69" i="45" s="1"/>
  <c r="L65" i="45"/>
  <c r="T65" i="45" s="1"/>
  <c r="L61" i="45"/>
  <c r="T61" i="45" s="1"/>
  <c r="L57" i="45"/>
  <c r="T57" i="45" s="1"/>
  <c r="L53" i="45"/>
  <c r="T53" i="45" s="1"/>
  <c r="L49" i="45"/>
  <c r="L45" i="45"/>
  <c r="L41" i="45"/>
  <c r="L37" i="45"/>
  <c r="M76" i="45"/>
  <c r="L72" i="45"/>
  <c r="T72" i="45" s="1"/>
  <c r="L36" i="45"/>
  <c r="L28" i="45"/>
  <c r="M72" i="45"/>
  <c r="L113" i="45"/>
  <c r="T113" i="45" s="1"/>
  <c r="L109" i="45"/>
  <c r="T109" i="45" s="1"/>
  <c r="L105" i="45"/>
  <c r="T105" i="45" s="1"/>
  <c r="L101" i="45"/>
  <c r="T101" i="45" s="1"/>
  <c r="L97" i="45"/>
  <c r="T97" i="45" s="1"/>
  <c r="L93" i="45"/>
  <c r="T93" i="45" s="1"/>
  <c r="L89" i="45"/>
  <c r="T89" i="45" s="1"/>
  <c r="M112" i="45"/>
  <c r="K81" i="45"/>
  <c r="N81" i="45" s="1"/>
  <c r="M96" i="45"/>
  <c r="M56" i="45"/>
  <c r="K33" i="45"/>
  <c r="M92" i="45"/>
  <c r="M108" i="45"/>
  <c r="M88" i="45"/>
  <c r="M64" i="45"/>
  <c r="K97" i="45"/>
  <c r="N97" i="45" s="1"/>
  <c r="M104" i="45"/>
  <c r="M80" i="45"/>
  <c r="M60" i="45"/>
  <c r="K65" i="45"/>
  <c r="N65" i="45" s="1"/>
  <c r="K113" i="45"/>
  <c r="N113" i="45" s="1"/>
  <c r="K49" i="45"/>
  <c r="M116" i="45"/>
  <c r="M100" i="45"/>
  <c r="M84" i="45"/>
  <c r="M68" i="45"/>
  <c r="M52" i="45"/>
  <c r="K109" i="45"/>
  <c r="N109" i="45" s="1"/>
  <c r="K93" i="45"/>
  <c r="N93" i="45" s="1"/>
  <c r="K77" i="45"/>
  <c r="N77" i="45" s="1"/>
  <c r="K61" i="45"/>
  <c r="N61" i="45" s="1"/>
  <c r="K45" i="45"/>
  <c r="K29" i="45"/>
  <c r="M115" i="45"/>
  <c r="M111" i="45"/>
  <c r="M107" i="45"/>
  <c r="M103" i="45"/>
  <c r="M99" i="45"/>
  <c r="M95" i="45"/>
  <c r="M91" i="45"/>
  <c r="M87" i="45"/>
  <c r="M83" i="45"/>
  <c r="M79" i="45"/>
  <c r="M75" i="45"/>
  <c r="M71" i="45"/>
  <c r="M67" i="45"/>
  <c r="M63" i="45"/>
  <c r="M59" i="45"/>
  <c r="M55" i="45"/>
  <c r="M51" i="45"/>
  <c r="K105" i="45"/>
  <c r="N105" i="45" s="1"/>
  <c r="K89" i="45"/>
  <c r="N89" i="45" s="1"/>
  <c r="K73" i="45"/>
  <c r="N73" i="45" s="1"/>
  <c r="K57" i="45"/>
  <c r="N57" i="45" s="1"/>
  <c r="K41" i="45"/>
  <c r="K25" i="45"/>
  <c r="M114" i="45"/>
  <c r="M110" i="45"/>
  <c r="M106" i="45"/>
  <c r="M102" i="45"/>
  <c r="M98" i="45"/>
  <c r="M94" i="45"/>
  <c r="M90" i="45"/>
  <c r="M86" i="45"/>
  <c r="M82" i="45"/>
  <c r="M78" i="45"/>
  <c r="M74" i="45"/>
  <c r="M70" i="45"/>
  <c r="M66" i="45"/>
  <c r="M62" i="45"/>
  <c r="M58" i="45"/>
  <c r="M54" i="45"/>
  <c r="K101" i="45"/>
  <c r="N101" i="45" s="1"/>
  <c r="K85" i="45"/>
  <c r="N85" i="45" s="1"/>
  <c r="K69" i="45"/>
  <c r="N69" i="45" s="1"/>
  <c r="K53" i="45"/>
  <c r="N53" i="45" s="1"/>
  <c r="K37" i="45"/>
  <c r="K21" i="45"/>
  <c r="K112" i="45"/>
  <c r="N112" i="45" s="1"/>
  <c r="K104" i="45"/>
  <c r="N104" i="45" s="1"/>
  <c r="K96" i="45"/>
  <c r="N96" i="45" s="1"/>
  <c r="K88" i="45"/>
  <c r="N88" i="45" s="1"/>
  <c r="K80" i="45"/>
  <c r="N80" i="45" s="1"/>
  <c r="K76" i="45"/>
  <c r="N76" i="45" s="1"/>
  <c r="K64" i="45"/>
  <c r="N64" i="45" s="1"/>
  <c r="K56" i="45"/>
  <c r="N56" i="45" s="1"/>
  <c r="K48" i="45"/>
  <c r="K40" i="45"/>
  <c r="K32" i="45"/>
  <c r="K24" i="45"/>
  <c r="K115" i="45"/>
  <c r="N115" i="45" s="1"/>
  <c r="K111" i="45"/>
  <c r="N111" i="45" s="1"/>
  <c r="K107" i="45"/>
  <c r="N107" i="45" s="1"/>
  <c r="K103" i="45"/>
  <c r="N103" i="45" s="1"/>
  <c r="K99" i="45"/>
  <c r="N99" i="45" s="1"/>
  <c r="K95" i="45"/>
  <c r="N95" i="45" s="1"/>
  <c r="K91" i="45"/>
  <c r="N91" i="45" s="1"/>
  <c r="K87" i="45"/>
  <c r="N87" i="45" s="1"/>
  <c r="K83" i="45"/>
  <c r="N83" i="45" s="1"/>
  <c r="K79" i="45"/>
  <c r="N79" i="45" s="1"/>
  <c r="K75" i="45"/>
  <c r="N75" i="45" s="1"/>
  <c r="K71" i="45"/>
  <c r="N71" i="45" s="1"/>
  <c r="K67" i="45"/>
  <c r="N67" i="45" s="1"/>
  <c r="K63" i="45"/>
  <c r="N63" i="45" s="1"/>
  <c r="K59" i="45"/>
  <c r="N59" i="45" s="1"/>
  <c r="K55" i="45"/>
  <c r="N55" i="45" s="1"/>
  <c r="K51" i="45"/>
  <c r="N51" i="45" s="1"/>
  <c r="K47" i="45"/>
  <c r="K43" i="45"/>
  <c r="K39" i="45"/>
  <c r="K35" i="45"/>
  <c r="K31" i="45"/>
  <c r="K27" i="45"/>
  <c r="K23" i="45"/>
  <c r="K116" i="45"/>
  <c r="N116" i="45" s="1"/>
  <c r="K108" i="45"/>
  <c r="N108" i="45" s="1"/>
  <c r="K100" i="45"/>
  <c r="N100" i="45" s="1"/>
  <c r="K92" i="45"/>
  <c r="N92" i="45" s="1"/>
  <c r="K84" i="45"/>
  <c r="N84" i="45" s="1"/>
  <c r="K68" i="45"/>
  <c r="N68" i="45" s="1"/>
  <c r="K60" i="45"/>
  <c r="N60" i="45" s="1"/>
  <c r="K52" i="45"/>
  <c r="N52" i="45" s="1"/>
  <c r="K44" i="45"/>
  <c r="K114" i="45"/>
  <c r="N114" i="45" s="1"/>
  <c r="K110" i="45"/>
  <c r="N110" i="45" s="1"/>
  <c r="K106" i="45"/>
  <c r="N106" i="45" s="1"/>
  <c r="K102" i="45"/>
  <c r="N102" i="45" s="1"/>
  <c r="K98" i="45"/>
  <c r="N98" i="45" s="1"/>
  <c r="K94" i="45"/>
  <c r="N94" i="45" s="1"/>
  <c r="K90" i="45"/>
  <c r="N90" i="45" s="1"/>
  <c r="K86" i="45"/>
  <c r="N86" i="45" s="1"/>
  <c r="K82" i="45"/>
  <c r="N82" i="45" s="1"/>
  <c r="K78" i="45"/>
  <c r="N78" i="45" s="1"/>
  <c r="K74" i="45"/>
  <c r="N74" i="45" s="1"/>
  <c r="K70" i="45"/>
  <c r="N70" i="45" s="1"/>
  <c r="K66" i="45"/>
  <c r="N66" i="45" s="1"/>
  <c r="K62" i="45"/>
  <c r="N62" i="45" s="1"/>
  <c r="K58" i="45"/>
  <c r="N58" i="45" s="1"/>
  <c r="K54" i="45"/>
  <c r="N54" i="45" s="1"/>
  <c r="K50" i="45"/>
  <c r="N50" i="45" s="1"/>
  <c r="K46" i="45"/>
  <c r="K42" i="45"/>
  <c r="K38" i="45"/>
  <c r="K34" i="45"/>
  <c r="K30" i="45"/>
  <c r="K26" i="45"/>
  <c r="AB19" i="45"/>
  <c r="AB20" i="45" s="1"/>
  <c r="AB21" i="45" s="1"/>
  <c r="AB22" i="45" s="1"/>
  <c r="AB23" i="45" s="1"/>
  <c r="AB24" i="45" s="1"/>
  <c r="AB25" i="45" s="1"/>
  <c r="AB26" i="45" s="1"/>
  <c r="AB27" i="45" s="1"/>
  <c r="AB28" i="45" s="1"/>
  <c r="AB29" i="45" s="1"/>
  <c r="AB30" i="45" s="1"/>
  <c r="AB31" i="45" s="1"/>
  <c r="AB32" i="45" s="1"/>
  <c r="AB33" i="45" s="1"/>
  <c r="AB34" i="45" s="1"/>
  <c r="AB35" i="45" s="1"/>
  <c r="AB36" i="45" s="1"/>
  <c r="AB37" i="45" s="1"/>
  <c r="AB38" i="45" s="1"/>
  <c r="AB39" i="45" s="1"/>
  <c r="AB40" i="45" s="1"/>
  <c r="AB41" i="45" s="1"/>
  <c r="AB42" i="45" s="1"/>
  <c r="AB43" i="45" s="1"/>
  <c r="AB44" i="45" s="1"/>
  <c r="AB45" i="45" s="1"/>
  <c r="AB46" i="45" s="1"/>
  <c r="AB47" i="45" s="1"/>
  <c r="AB48" i="45" s="1"/>
  <c r="AB49" i="45" s="1"/>
  <c r="AB50" i="45" s="1"/>
  <c r="AB51" i="45" s="1"/>
  <c r="AB52" i="45" s="1"/>
  <c r="AB53" i="45" s="1"/>
  <c r="AB54" i="45" s="1"/>
  <c r="AB55" i="45" s="1"/>
  <c r="AB56" i="45" s="1"/>
  <c r="AB57" i="45" s="1"/>
  <c r="AB58" i="45" s="1"/>
  <c r="AB59" i="45" s="1"/>
  <c r="AB60" i="45" s="1"/>
  <c r="AB61" i="45" s="1"/>
  <c r="AB62" i="45" s="1"/>
  <c r="AB63" i="45" s="1"/>
  <c r="AB64" i="45" s="1"/>
  <c r="AB65" i="45" s="1"/>
  <c r="AB66" i="45" s="1"/>
  <c r="AB67" i="45" s="1"/>
  <c r="AB68" i="45" s="1"/>
  <c r="AB69" i="45" s="1"/>
  <c r="AB70" i="45" s="1"/>
  <c r="AB71" i="45" s="1"/>
  <c r="AB72" i="45" s="1"/>
  <c r="AE19" i="45"/>
  <c r="K18" i="48" l="1"/>
  <c r="T18" i="48"/>
  <c r="J20" i="48"/>
  <c r="L20" i="48" s="1"/>
  <c r="M19" i="48"/>
  <c r="S49" i="45"/>
  <c r="T49" i="45"/>
  <c r="T19" i="45"/>
  <c r="S47" i="45"/>
  <c r="T47" i="45"/>
  <c r="S48" i="45"/>
  <c r="T48" i="45"/>
  <c r="S46" i="45"/>
  <c r="T46" i="45"/>
  <c r="R113" i="45"/>
  <c r="S113" i="45"/>
  <c r="R60" i="45"/>
  <c r="S60" i="45"/>
  <c r="R97" i="45"/>
  <c r="S97" i="45"/>
  <c r="R72" i="45"/>
  <c r="S72" i="45"/>
  <c r="R61" i="45"/>
  <c r="S61" i="45"/>
  <c r="R77" i="45"/>
  <c r="S77" i="45"/>
  <c r="R56" i="45"/>
  <c r="S56" i="45"/>
  <c r="R88" i="45"/>
  <c r="S88" i="45"/>
  <c r="R104" i="45"/>
  <c r="S104" i="45"/>
  <c r="R83" i="45"/>
  <c r="S83" i="45"/>
  <c r="R67" i="45"/>
  <c r="S67" i="45"/>
  <c r="R111" i="45"/>
  <c r="S111" i="45"/>
  <c r="R50" i="45"/>
  <c r="S50" i="45"/>
  <c r="R82" i="45"/>
  <c r="S82" i="45"/>
  <c r="R101" i="45"/>
  <c r="S101" i="45"/>
  <c r="R65" i="45"/>
  <c r="S65" i="45"/>
  <c r="R81" i="45"/>
  <c r="S81" i="45"/>
  <c r="R92" i="45"/>
  <c r="S92" i="45"/>
  <c r="R95" i="45"/>
  <c r="S95" i="45"/>
  <c r="R79" i="45"/>
  <c r="S79" i="45"/>
  <c r="R54" i="45"/>
  <c r="S54" i="45"/>
  <c r="R86" i="45"/>
  <c r="S86" i="45"/>
  <c r="R102" i="45"/>
  <c r="S102" i="45"/>
  <c r="R51" i="45"/>
  <c r="S51" i="45"/>
  <c r="R89" i="45"/>
  <c r="S89" i="45"/>
  <c r="R105" i="45"/>
  <c r="S105" i="45"/>
  <c r="R53" i="45"/>
  <c r="S53" i="45"/>
  <c r="R69" i="45"/>
  <c r="S69" i="45"/>
  <c r="R85" i="45"/>
  <c r="S85" i="45"/>
  <c r="R64" i="45"/>
  <c r="S64" i="45"/>
  <c r="R80" i="45"/>
  <c r="S80" i="45"/>
  <c r="R96" i="45"/>
  <c r="S96" i="45"/>
  <c r="R112" i="45"/>
  <c r="S112" i="45"/>
  <c r="R59" i="45"/>
  <c r="S59" i="45"/>
  <c r="R103" i="45"/>
  <c r="S103" i="45"/>
  <c r="R87" i="45"/>
  <c r="S87" i="45"/>
  <c r="R58" i="45"/>
  <c r="S58" i="45"/>
  <c r="R74" i="45"/>
  <c r="S74" i="45"/>
  <c r="R90" i="45"/>
  <c r="S90" i="45"/>
  <c r="R106" i="45"/>
  <c r="S106" i="45"/>
  <c r="R63" i="45"/>
  <c r="S63" i="45"/>
  <c r="R66" i="45"/>
  <c r="S66" i="45"/>
  <c r="R98" i="45"/>
  <c r="S98" i="45"/>
  <c r="R114" i="45"/>
  <c r="S114" i="45"/>
  <c r="R91" i="45"/>
  <c r="S91" i="45"/>
  <c r="R76" i="45"/>
  <c r="S76" i="45"/>
  <c r="R108" i="45"/>
  <c r="S108" i="45"/>
  <c r="R70" i="45"/>
  <c r="S70" i="45"/>
  <c r="R107" i="45"/>
  <c r="S107" i="45"/>
  <c r="R93" i="45"/>
  <c r="S93" i="45"/>
  <c r="R109" i="45"/>
  <c r="S109" i="45"/>
  <c r="R57" i="45"/>
  <c r="S57" i="45"/>
  <c r="R73" i="45"/>
  <c r="S73" i="45"/>
  <c r="R52" i="45"/>
  <c r="S52" i="45"/>
  <c r="R68" i="45"/>
  <c r="S68" i="45"/>
  <c r="R84" i="45"/>
  <c r="S84" i="45"/>
  <c r="R100" i="45"/>
  <c r="S100" i="45"/>
  <c r="R116" i="45"/>
  <c r="S116" i="45"/>
  <c r="R71" i="45"/>
  <c r="S71" i="45"/>
  <c r="R115" i="45"/>
  <c r="S115" i="45"/>
  <c r="R55" i="45"/>
  <c r="S55" i="45"/>
  <c r="R99" i="45"/>
  <c r="S99" i="45"/>
  <c r="R62" i="45"/>
  <c r="S62" i="45"/>
  <c r="R78" i="45"/>
  <c r="S78" i="45"/>
  <c r="R94" i="45"/>
  <c r="S94" i="45"/>
  <c r="R110" i="45"/>
  <c r="S110" i="45"/>
  <c r="R75" i="45"/>
  <c r="S75" i="45"/>
  <c r="AA20" i="53"/>
  <c r="S20" i="53" s="1"/>
  <c r="O52" i="45"/>
  <c r="Q52" i="45"/>
  <c r="P52" i="45"/>
  <c r="O84" i="45"/>
  <c r="Q84" i="45"/>
  <c r="P84" i="45"/>
  <c r="O71" i="45"/>
  <c r="P71" i="45"/>
  <c r="Q71" i="45"/>
  <c r="O99" i="45"/>
  <c r="Q99" i="45"/>
  <c r="P99" i="45"/>
  <c r="O62" i="45"/>
  <c r="P62" i="45"/>
  <c r="Q62" i="45"/>
  <c r="O78" i="45"/>
  <c r="P78" i="45"/>
  <c r="Q78" i="45"/>
  <c r="O72" i="45"/>
  <c r="P72" i="45"/>
  <c r="Q72" i="45"/>
  <c r="O56" i="45"/>
  <c r="P56" i="45"/>
  <c r="Q56" i="45"/>
  <c r="O88" i="45"/>
  <c r="P88" i="45"/>
  <c r="Q88" i="45"/>
  <c r="O104" i="45"/>
  <c r="P104" i="45"/>
  <c r="Q104" i="45"/>
  <c r="O83" i="45"/>
  <c r="Q83" i="45"/>
  <c r="P83" i="45"/>
  <c r="O67" i="45"/>
  <c r="Q67" i="45"/>
  <c r="P67" i="45"/>
  <c r="O111" i="45"/>
  <c r="P111" i="45"/>
  <c r="Q111" i="45"/>
  <c r="O50" i="45"/>
  <c r="P50" i="45"/>
  <c r="Q50" i="45"/>
  <c r="O66" i="45"/>
  <c r="P66" i="45"/>
  <c r="Q66" i="45"/>
  <c r="O82" i="45"/>
  <c r="P82" i="45"/>
  <c r="Q82" i="45"/>
  <c r="O98" i="45"/>
  <c r="P98" i="45"/>
  <c r="Q98" i="45"/>
  <c r="O114" i="45"/>
  <c r="P114" i="45"/>
  <c r="Q114" i="45"/>
  <c r="O91" i="45"/>
  <c r="Q91" i="45"/>
  <c r="P91" i="45"/>
  <c r="O55" i="45"/>
  <c r="P55" i="45"/>
  <c r="Q55" i="45"/>
  <c r="O94" i="45"/>
  <c r="P94" i="45"/>
  <c r="Q94" i="45"/>
  <c r="O75" i="45"/>
  <c r="Q75" i="45"/>
  <c r="P75" i="45"/>
  <c r="O97" i="45"/>
  <c r="Q97" i="45"/>
  <c r="P97" i="45"/>
  <c r="O77" i="45"/>
  <c r="Q77" i="45"/>
  <c r="P77" i="45"/>
  <c r="O101" i="45"/>
  <c r="Q101" i="45"/>
  <c r="P101" i="45"/>
  <c r="O65" i="45"/>
  <c r="Q65" i="45"/>
  <c r="P65" i="45"/>
  <c r="O81" i="45"/>
  <c r="Q81" i="45"/>
  <c r="P81" i="45"/>
  <c r="P17" i="45"/>
  <c r="O60" i="45"/>
  <c r="Q60" i="45"/>
  <c r="P60" i="45"/>
  <c r="O76" i="45"/>
  <c r="Q76" i="45"/>
  <c r="P76" i="45"/>
  <c r="O92" i="45"/>
  <c r="Q92" i="45"/>
  <c r="P92" i="45"/>
  <c r="O108" i="45"/>
  <c r="P108" i="45"/>
  <c r="Q108" i="45"/>
  <c r="O95" i="45"/>
  <c r="P95" i="45"/>
  <c r="Q95" i="45"/>
  <c r="O79" i="45"/>
  <c r="P79" i="45"/>
  <c r="Q79" i="45"/>
  <c r="O54" i="45"/>
  <c r="P54" i="45"/>
  <c r="Q54" i="45"/>
  <c r="O70" i="45"/>
  <c r="P70" i="45"/>
  <c r="Q70" i="45"/>
  <c r="O86" i="45"/>
  <c r="P86" i="45"/>
  <c r="Q86" i="45"/>
  <c r="O102" i="45"/>
  <c r="P102" i="45"/>
  <c r="Q102" i="45"/>
  <c r="O51" i="45"/>
  <c r="Q51" i="45"/>
  <c r="P51" i="45"/>
  <c r="O107" i="45"/>
  <c r="Q107" i="45"/>
  <c r="P107" i="45"/>
  <c r="O93" i="45"/>
  <c r="Q93" i="45"/>
  <c r="P93" i="45"/>
  <c r="O109" i="45"/>
  <c r="Q109" i="45"/>
  <c r="P109" i="45"/>
  <c r="O57" i="45"/>
  <c r="Q57" i="45"/>
  <c r="P57" i="45"/>
  <c r="O73" i="45"/>
  <c r="Q73" i="45"/>
  <c r="P73" i="45"/>
  <c r="O68" i="45"/>
  <c r="Q68" i="45"/>
  <c r="P68" i="45"/>
  <c r="O100" i="45"/>
  <c r="P100" i="45"/>
  <c r="Q100" i="45"/>
  <c r="O116" i="45"/>
  <c r="P116" i="45"/>
  <c r="Q116" i="45"/>
  <c r="O115" i="45"/>
  <c r="Q115" i="45"/>
  <c r="P115" i="45"/>
  <c r="O110" i="45"/>
  <c r="P110" i="45"/>
  <c r="Q110" i="45"/>
  <c r="O113" i="45"/>
  <c r="Q113" i="45"/>
  <c r="P113" i="45"/>
  <c r="O61" i="45"/>
  <c r="Q61" i="45"/>
  <c r="P61" i="45"/>
  <c r="O89" i="45"/>
  <c r="Q89" i="45"/>
  <c r="P89" i="45"/>
  <c r="O105" i="45"/>
  <c r="Q105" i="45"/>
  <c r="P105" i="45"/>
  <c r="O53" i="45"/>
  <c r="Q53" i="45"/>
  <c r="P53" i="45"/>
  <c r="O69" i="45"/>
  <c r="Q69" i="45"/>
  <c r="P69" i="45"/>
  <c r="O85" i="45"/>
  <c r="Q85" i="45"/>
  <c r="P85" i="45"/>
  <c r="O64" i="45"/>
  <c r="P64" i="45"/>
  <c r="Q64" i="45"/>
  <c r="O80" i="45"/>
  <c r="P80" i="45"/>
  <c r="Q80" i="45"/>
  <c r="O96" i="45"/>
  <c r="P96" i="45"/>
  <c r="Q96" i="45"/>
  <c r="O112" i="45"/>
  <c r="P112" i="45"/>
  <c r="Q112" i="45"/>
  <c r="O59" i="45"/>
  <c r="Q59" i="45"/>
  <c r="P59" i="45"/>
  <c r="O103" i="45"/>
  <c r="P103" i="45"/>
  <c r="Q103" i="45"/>
  <c r="O87" i="45"/>
  <c r="P87" i="45"/>
  <c r="Q87" i="45"/>
  <c r="O58" i="45"/>
  <c r="P58" i="45"/>
  <c r="Q58" i="45"/>
  <c r="O74" i="45"/>
  <c r="P74" i="45"/>
  <c r="Q74" i="45"/>
  <c r="O90" i="45"/>
  <c r="P90" i="45"/>
  <c r="Q90" i="45"/>
  <c r="O106" i="45"/>
  <c r="P106" i="45"/>
  <c r="Q106" i="45"/>
  <c r="O63" i="45"/>
  <c r="P63" i="45"/>
  <c r="Q63" i="45"/>
  <c r="AF18" i="48"/>
  <c r="AG18" i="48" s="1"/>
  <c r="P18" i="48" s="1"/>
  <c r="Q10" i="50"/>
  <c r="AR27" i="48"/>
  <c r="W18" i="48"/>
  <c r="U17" i="45"/>
  <c r="M17" i="45" s="1"/>
  <c r="AB19" i="53"/>
  <c r="V19" i="53" s="1"/>
  <c r="AF18" i="45"/>
  <c r="R18" i="60" s="1"/>
  <c r="AB73" i="45"/>
  <c r="Y19" i="45"/>
  <c r="AE20" i="45"/>
  <c r="T20" i="45" s="1"/>
  <c r="K19" i="48" l="1"/>
  <c r="T19" i="48"/>
  <c r="J21" i="48"/>
  <c r="L21" i="48" s="1"/>
  <c r="M20" i="48"/>
  <c r="AA21" i="53"/>
  <c r="S21" i="53" s="1"/>
  <c r="AB20" i="53"/>
  <c r="V20" i="53" s="1"/>
  <c r="P18" i="45"/>
  <c r="F19" i="50"/>
  <c r="X18" i="48"/>
  <c r="AN18" i="48" s="1"/>
  <c r="Q8" i="50"/>
  <c r="AH18" i="48"/>
  <c r="AK17" i="45"/>
  <c r="AQ28" i="48"/>
  <c r="AE21" i="45"/>
  <c r="T21" i="45" s="1"/>
  <c r="AF19" i="45"/>
  <c r="R19" i="60" s="1"/>
  <c r="AB74" i="45"/>
  <c r="Y20" i="45"/>
  <c r="AL18" i="48" l="1"/>
  <c r="AF19" i="48" s="1"/>
  <c r="AG19" i="48" s="1"/>
  <c r="P19" i="48" s="1"/>
  <c r="Q18" i="48"/>
  <c r="K20" i="48"/>
  <c r="N18" i="48"/>
  <c r="T20" i="48"/>
  <c r="J22" i="48"/>
  <c r="L22" i="48" s="1"/>
  <c r="M21" i="48"/>
  <c r="AA22" i="53"/>
  <c r="S22" i="53" s="1"/>
  <c r="AB21" i="53"/>
  <c r="V21" i="53" s="1"/>
  <c r="P19" i="45"/>
  <c r="AO18" i="48"/>
  <c r="R18" i="48" s="1"/>
  <c r="Y18" i="48"/>
  <c r="AI18" i="48"/>
  <c r="AQ29" i="48"/>
  <c r="AR28" i="48"/>
  <c r="AH19" i="48"/>
  <c r="AE22" i="45"/>
  <c r="T22" i="45" s="1"/>
  <c r="AF20" i="45"/>
  <c r="R20" i="60" s="1"/>
  <c r="AB75" i="45"/>
  <c r="Y21" i="45"/>
  <c r="AJ18" i="48" l="1"/>
  <c r="AK18" i="48" s="1"/>
  <c r="V18" i="48"/>
  <c r="AL19" i="48"/>
  <c r="AF20" i="48" s="1"/>
  <c r="Q19" i="48"/>
  <c r="K21" i="48"/>
  <c r="AE18" i="48"/>
  <c r="W19" i="48" s="1"/>
  <c r="O18" i="48"/>
  <c r="T21" i="48"/>
  <c r="J23" i="48"/>
  <c r="L23" i="48" s="1"/>
  <c r="M22" i="48"/>
  <c r="P20" i="45"/>
  <c r="AA23" i="53"/>
  <c r="S23" i="53" s="1"/>
  <c r="AB22" i="53"/>
  <c r="V22" i="53" s="1"/>
  <c r="AB18" i="48"/>
  <c r="AQ30" i="48"/>
  <c r="AR29" i="48"/>
  <c r="AI19" i="48"/>
  <c r="AE23" i="45"/>
  <c r="T23" i="45" s="1"/>
  <c r="AF21" i="45"/>
  <c r="R21" i="60" s="1"/>
  <c r="AB76" i="45"/>
  <c r="Y22" i="45"/>
  <c r="AJ19" i="48" l="1"/>
  <c r="AK19" i="48" s="1"/>
  <c r="V19" i="48"/>
  <c r="K22" i="48"/>
  <c r="X19" i="48"/>
  <c r="AO19" i="48" s="1"/>
  <c r="R19" i="48" s="1"/>
  <c r="AC18" i="48"/>
  <c r="AD18" i="48" s="1"/>
  <c r="AP18" i="48" s="1"/>
  <c r="S18" i="48" s="1"/>
  <c r="U18" i="48"/>
  <c r="T22" i="48"/>
  <c r="J24" i="48"/>
  <c r="L24" i="48" s="1"/>
  <c r="M23" i="48"/>
  <c r="P21" i="45"/>
  <c r="AA24" i="53"/>
  <c r="S24" i="53" s="1"/>
  <c r="AB23" i="53"/>
  <c r="V23" i="53" s="1"/>
  <c r="AQ31" i="48"/>
  <c r="AR30" i="48"/>
  <c r="AG20" i="48"/>
  <c r="P20" i="48" s="1"/>
  <c r="AE24" i="45"/>
  <c r="T24" i="45" s="1"/>
  <c r="AF22" i="45"/>
  <c r="R22" i="60" s="1"/>
  <c r="AB77" i="45"/>
  <c r="Y23" i="45"/>
  <c r="N19" i="48" l="1"/>
  <c r="K23" i="48"/>
  <c r="AN19" i="48"/>
  <c r="Y19" i="48"/>
  <c r="AB19" i="48" s="1"/>
  <c r="T23" i="48"/>
  <c r="J25" i="48"/>
  <c r="L25" i="48" s="1"/>
  <c r="M24" i="48"/>
  <c r="P22" i="45"/>
  <c r="AA25" i="53"/>
  <c r="S25" i="53" s="1"/>
  <c r="AB24" i="53"/>
  <c r="V24" i="53" s="1"/>
  <c r="AH20" i="48"/>
  <c r="AQ32" i="48"/>
  <c r="AR31" i="48"/>
  <c r="AE25" i="45"/>
  <c r="T25" i="45" s="1"/>
  <c r="AF23" i="45"/>
  <c r="R23" i="60" s="1"/>
  <c r="AB78" i="45"/>
  <c r="Y24" i="45"/>
  <c r="AL20" i="48" l="1"/>
  <c r="Q20" i="48"/>
  <c r="O19" i="48"/>
  <c r="K24" i="48"/>
  <c r="AE19" i="48"/>
  <c r="W20" i="48" s="1"/>
  <c r="X20" i="48" s="1"/>
  <c r="N20" i="48" s="1"/>
  <c r="U19" i="48"/>
  <c r="T24" i="48"/>
  <c r="J26" i="48"/>
  <c r="L26" i="48" s="1"/>
  <c r="M25" i="48"/>
  <c r="P23" i="45"/>
  <c r="AA26" i="53"/>
  <c r="S26" i="53" s="1"/>
  <c r="AB25" i="53"/>
  <c r="V25" i="53" s="1"/>
  <c r="AC19" i="48"/>
  <c r="AD19" i="48" s="1"/>
  <c r="AP19" i="48" s="1"/>
  <c r="S19" i="48" s="1"/>
  <c r="AI20" i="48"/>
  <c r="AQ33" i="48"/>
  <c r="AR32" i="48"/>
  <c r="AF21" i="48"/>
  <c r="AE26" i="45"/>
  <c r="T26" i="45" s="1"/>
  <c r="AF24" i="45"/>
  <c r="R24" i="60" s="1"/>
  <c r="AB79" i="45"/>
  <c r="Y25" i="45"/>
  <c r="AJ20" i="48" l="1"/>
  <c r="AK20" i="48" s="1"/>
  <c r="V20" i="48"/>
  <c r="K25" i="48"/>
  <c r="AO20" i="48"/>
  <c r="R20" i="48" s="1"/>
  <c r="AN20" i="48"/>
  <c r="Y20" i="48"/>
  <c r="O20" i="48" s="1"/>
  <c r="T25" i="48"/>
  <c r="J27" i="48"/>
  <c r="L27" i="48" s="1"/>
  <c r="M26" i="48"/>
  <c r="AQ34" i="48"/>
  <c r="AR33" i="48"/>
  <c r="P24" i="45"/>
  <c r="AA27" i="53"/>
  <c r="S27" i="53" s="1"/>
  <c r="AB26" i="53"/>
  <c r="V26" i="53" s="1"/>
  <c r="AG21" i="48"/>
  <c r="P21" i="48" s="1"/>
  <c r="AE27" i="45"/>
  <c r="T27" i="45" s="1"/>
  <c r="AF25" i="45"/>
  <c r="R25" i="60" s="1"/>
  <c r="AB80" i="45"/>
  <c r="Y26" i="45"/>
  <c r="K26" i="48" l="1"/>
  <c r="AB20" i="48"/>
  <c r="AC20" i="48" s="1"/>
  <c r="AD20" i="48" s="1"/>
  <c r="AP20" i="48" s="1"/>
  <c r="S20" i="48" s="1"/>
  <c r="AE20" i="48"/>
  <c r="W21" i="48" s="1"/>
  <c r="X21" i="48" s="1"/>
  <c r="T26" i="48"/>
  <c r="M27" i="48"/>
  <c r="M8" i="50"/>
  <c r="J28" i="48"/>
  <c r="L28" i="48" s="1"/>
  <c r="P25" i="45"/>
  <c r="AA28" i="53"/>
  <c r="S28" i="53" s="1"/>
  <c r="AB27" i="53"/>
  <c r="V27" i="53" s="1"/>
  <c r="AH21" i="48"/>
  <c r="AQ35" i="48"/>
  <c r="AR34" i="48"/>
  <c r="AE28" i="45"/>
  <c r="T28" i="45" s="1"/>
  <c r="AF26" i="45"/>
  <c r="R26" i="60" s="1"/>
  <c r="AB81" i="45"/>
  <c r="Y27" i="45"/>
  <c r="AI21" i="48" l="1"/>
  <c r="Q21" i="48"/>
  <c r="U20" i="48"/>
  <c r="K27" i="48"/>
  <c r="AO21" i="48"/>
  <c r="R21" i="48" s="1"/>
  <c r="N21" i="48"/>
  <c r="T27" i="48"/>
  <c r="T8" i="50"/>
  <c r="M28" i="48"/>
  <c r="J29" i="48"/>
  <c r="L29" i="48" s="1"/>
  <c r="P26" i="45"/>
  <c r="AB28" i="53"/>
  <c r="V28" i="53" s="1"/>
  <c r="AA29" i="53"/>
  <c r="S29" i="53" s="1"/>
  <c r="AN21" i="48"/>
  <c r="Y21" i="48"/>
  <c r="O21" i="48" s="1"/>
  <c r="AL21" i="48"/>
  <c r="AF22" i="48" s="1"/>
  <c r="AG22" i="48" s="1"/>
  <c r="P22" i="48" s="1"/>
  <c r="AQ36" i="48"/>
  <c r="AR35" i="48"/>
  <c r="AE29" i="45"/>
  <c r="T29" i="45" s="1"/>
  <c r="AF27" i="45"/>
  <c r="R27" i="60" s="1"/>
  <c r="AB82" i="45"/>
  <c r="Y28" i="45"/>
  <c r="AJ21" i="48" l="1"/>
  <c r="AK21" i="48" s="1"/>
  <c r="V21" i="48"/>
  <c r="K28" i="48"/>
  <c r="T28" i="48"/>
  <c r="M29" i="48"/>
  <c r="J30" i="48"/>
  <c r="L30" i="48" s="1"/>
  <c r="P27" i="45"/>
  <c r="AA30" i="53"/>
  <c r="S30" i="53" s="1"/>
  <c r="AB29" i="53"/>
  <c r="V29" i="53" s="1"/>
  <c r="AB21" i="48"/>
  <c r="AE21" i="48"/>
  <c r="W22" i="48" s="1"/>
  <c r="AH22" i="48"/>
  <c r="AQ37" i="48"/>
  <c r="AR36" i="48"/>
  <c r="AE30" i="45"/>
  <c r="T30" i="45" s="1"/>
  <c r="AF28" i="45"/>
  <c r="R28" i="60" s="1"/>
  <c r="AB83" i="45"/>
  <c r="Y29" i="45"/>
  <c r="AL22" i="48" l="1"/>
  <c r="AF23" i="48" s="1"/>
  <c r="AG23" i="48" s="1"/>
  <c r="Q22" i="48"/>
  <c r="K29" i="48"/>
  <c r="AC21" i="48"/>
  <c r="AD21" i="48" s="1"/>
  <c r="AP21" i="48" s="1"/>
  <c r="S21" i="48" s="1"/>
  <c r="U21" i="48"/>
  <c r="T29" i="48"/>
  <c r="M30" i="48"/>
  <c r="J31" i="48"/>
  <c r="L31" i="48" s="1"/>
  <c r="P28" i="45"/>
  <c r="AA31" i="53"/>
  <c r="S31" i="53" s="1"/>
  <c r="AB30" i="53"/>
  <c r="V30" i="53" s="1"/>
  <c r="X22" i="48"/>
  <c r="N22" i="48" s="1"/>
  <c r="AI22" i="48"/>
  <c r="AQ38" i="48"/>
  <c r="AR37" i="48"/>
  <c r="AE31" i="45"/>
  <c r="T31" i="45" s="1"/>
  <c r="AF29" i="45"/>
  <c r="R29" i="60" s="1"/>
  <c r="AB84" i="45"/>
  <c r="Y30" i="45"/>
  <c r="AH23" i="48" l="1"/>
  <c r="P23" i="48"/>
  <c r="AJ22" i="48"/>
  <c r="AK22" i="48" s="1"/>
  <c r="V22" i="48"/>
  <c r="K30" i="48"/>
  <c r="T30" i="48"/>
  <c r="M31" i="48"/>
  <c r="J32" i="48"/>
  <c r="L32" i="48" s="1"/>
  <c r="P29" i="45"/>
  <c r="AA32" i="53"/>
  <c r="S32" i="53" s="1"/>
  <c r="AB31" i="53"/>
  <c r="V31" i="53" s="1"/>
  <c r="Y22" i="48"/>
  <c r="O22" i="48" s="1"/>
  <c r="AO22" i="48"/>
  <c r="R22" i="48" s="1"/>
  <c r="AN22" i="48"/>
  <c r="AQ39" i="48"/>
  <c r="AR38" i="48"/>
  <c r="AI23" i="48"/>
  <c r="AE32" i="45"/>
  <c r="T32" i="45" s="1"/>
  <c r="AF30" i="45"/>
  <c r="R30" i="60" s="1"/>
  <c r="AB85" i="45"/>
  <c r="Y31" i="45"/>
  <c r="AJ23" i="48" l="1"/>
  <c r="AK23" i="48" s="1"/>
  <c r="V23" i="48"/>
  <c r="AL23" i="48"/>
  <c r="AF24" i="48" s="1"/>
  <c r="AG24" i="48" s="1"/>
  <c r="Q23" i="48"/>
  <c r="K31" i="48"/>
  <c r="T31" i="48"/>
  <c r="M32" i="48"/>
  <c r="J33" i="48"/>
  <c r="L33" i="48" s="1"/>
  <c r="T9" i="50"/>
  <c r="P30" i="45"/>
  <c r="AA33" i="53"/>
  <c r="S33" i="53" s="1"/>
  <c r="AB32" i="53"/>
  <c r="V32" i="53" s="1"/>
  <c r="AB22" i="48"/>
  <c r="AE22" i="48"/>
  <c r="W23" i="48" s="1"/>
  <c r="AQ40" i="48"/>
  <c r="AR39" i="48"/>
  <c r="AE33" i="45"/>
  <c r="T33" i="45" s="1"/>
  <c r="AF31" i="45"/>
  <c r="R31" i="60" s="1"/>
  <c r="AB86" i="45"/>
  <c r="Y32" i="45"/>
  <c r="AH24" i="48" l="1"/>
  <c r="P24" i="48"/>
  <c r="K32" i="48"/>
  <c r="AC22" i="48"/>
  <c r="AD22" i="48" s="1"/>
  <c r="AP22" i="48" s="1"/>
  <c r="S22" i="48" s="1"/>
  <c r="U22" i="48"/>
  <c r="T32" i="48"/>
  <c r="M33" i="48"/>
  <c r="J34" i="48"/>
  <c r="L34" i="48" s="1"/>
  <c r="P31" i="45"/>
  <c r="AA34" i="53"/>
  <c r="S34" i="53" s="1"/>
  <c r="AB33" i="53"/>
  <c r="V33" i="53" s="1"/>
  <c r="X23" i="48"/>
  <c r="N23" i="48" s="1"/>
  <c r="AQ41" i="48"/>
  <c r="AR40" i="48"/>
  <c r="AE34" i="45"/>
  <c r="T34" i="45" s="1"/>
  <c r="AF32" i="45"/>
  <c r="R32" i="60" s="1"/>
  <c r="AB87" i="45"/>
  <c r="Y33" i="45"/>
  <c r="AL24" i="48" l="1"/>
  <c r="AF25" i="48" s="1"/>
  <c r="AG25" i="48" s="1"/>
  <c r="Q24" i="48"/>
  <c r="AI24" i="48"/>
  <c r="K33" i="48"/>
  <c r="T33" i="48"/>
  <c r="M34" i="48"/>
  <c r="J35" i="48"/>
  <c r="L35" i="48" s="1"/>
  <c r="P32" i="45"/>
  <c r="AA35" i="53"/>
  <c r="S35" i="53" s="1"/>
  <c r="AB34" i="53"/>
  <c r="V34" i="53" s="1"/>
  <c r="Y23" i="48"/>
  <c r="O23" i="48" s="1"/>
  <c r="AN23" i="48"/>
  <c r="AO23" i="48"/>
  <c r="R23" i="48" s="1"/>
  <c r="AQ42" i="48"/>
  <c r="AR41" i="48"/>
  <c r="AE35" i="45"/>
  <c r="T35" i="45" s="1"/>
  <c r="AF33" i="45"/>
  <c r="R33" i="60" s="1"/>
  <c r="AB88" i="45"/>
  <c r="Y34" i="45"/>
  <c r="AJ24" i="48" l="1"/>
  <c r="AK24" i="48" s="1"/>
  <c r="V24" i="48"/>
  <c r="AH25" i="48"/>
  <c r="P25" i="48"/>
  <c r="K34" i="48"/>
  <c r="T34" i="48"/>
  <c r="M35" i="48"/>
  <c r="J36" i="48"/>
  <c r="L36" i="48" s="1"/>
  <c r="T10" i="50"/>
  <c r="P33" i="45"/>
  <c r="AA36" i="53"/>
  <c r="S36" i="53" s="1"/>
  <c r="AB35" i="53"/>
  <c r="V35" i="53" s="1"/>
  <c r="AB23" i="48"/>
  <c r="AE23" i="48"/>
  <c r="W24" i="48" s="1"/>
  <c r="AQ43" i="48"/>
  <c r="AR42" i="48"/>
  <c r="AE36" i="45"/>
  <c r="T36" i="45" s="1"/>
  <c r="AF34" i="45"/>
  <c r="R34" i="60" s="1"/>
  <c r="AB89" i="45"/>
  <c r="Y35" i="45"/>
  <c r="AL25" i="48" l="1"/>
  <c r="AF26" i="48" s="1"/>
  <c r="AG26" i="48" s="1"/>
  <c r="Q25" i="48"/>
  <c r="AI25" i="48"/>
  <c r="K35" i="48"/>
  <c r="AC23" i="48"/>
  <c r="AD23" i="48" s="1"/>
  <c r="AP23" i="48" s="1"/>
  <c r="S23" i="48" s="1"/>
  <c r="U23" i="48"/>
  <c r="T35" i="48"/>
  <c r="J37" i="48"/>
  <c r="L37" i="48" s="1"/>
  <c r="M36" i="48"/>
  <c r="P34" i="45"/>
  <c r="AA37" i="53"/>
  <c r="S37" i="53" s="1"/>
  <c r="AB36" i="53"/>
  <c r="V36" i="53" s="1"/>
  <c r="X24" i="48"/>
  <c r="N24" i="48" s="1"/>
  <c r="AQ44" i="48"/>
  <c r="AR43" i="48"/>
  <c r="AE37" i="45"/>
  <c r="T37" i="45" s="1"/>
  <c r="AF35" i="45"/>
  <c r="R35" i="60" s="1"/>
  <c r="AB90" i="45"/>
  <c r="Y36" i="45"/>
  <c r="AJ25" i="48" l="1"/>
  <c r="AK25" i="48" s="1"/>
  <c r="V25" i="48"/>
  <c r="AH26" i="48"/>
  <c r="P26" i="48"/>
  <c r="K36" i="48"/>
  <c r="T36" i="48"/>
  <c r="M9" i="50"/>
  <c r="M37" i="48"/>
  <c r="J38" i="48"/>
  <c r="L38" i="48" s="1"/>
  <c r="P35" i="45"/>
  <c r="AA38" i="53"/>
  <c r="S38" i="53" s="1"/>
  <c r="AB37" i="53"/>
  <c r="V37" i="53" s="1"/>
  <c r="Y24" i="48"/>
  <c r="O24" i="48" s="1"/>
  <c r="AO24" i="48"/>
  <c r="R24" i="48" s="1"/>
  <c r="AN24" i="48"/>
  <c r="AQ45" i="48"/>
  <c r="AR44" i="48"/>
  <c r="AE38" i="45"/>
  <c r="T38" i="45" s="1"/>
  <c r="AF36" i="45"/>
  <c r="R36" i="60" s="1"/>
  <c r="AB91" i="45"/>
  <c r="Y37" i="45"/>
  <c r="AL26" i="48" l="1"/>
  <c r="AF27" i="48" s="1"/>
  <c r="AG27" i="48" s="1"/>
  <c r="Q26" i="48"/>
  <c r="AI26" i="48"/>
  <c r="K37" i="48"/>
  <c r="T37" i="48"/>
  <c r="J39" i="48"/>
  <c r="L39" i="48" s="1"/>
  <c r="M38" i="48"/>
  <c r="P36" i="45"/>
  <c r="AA39" i="53"/>
  <c r="S39" i="53" s="1"/>
  <c r="AB38" i="53"/>
  <c r="V38" i="53" s="1"/>
  <c r="AB24" i="48"/>
  <c r="AE24" i="48"/>
  <c r="W25" i="48" s="1"/>
  <c r="AQ46" i="48"/>
  <c r="AR45" i="48"/>
  <c r="AE39" i="45"/>
  <c r="T39" i="45" s="1"/>
  <c r="AF37" i="45"/>
  <c r="R37" i="60" s="1"/>
  <c r="AB92" i="45"/>
  <c r="Y38" i="45"/>
  <c r="AJ26" i="48" l="1"/>
  <c r="AK26" i="48" s="1"/>
  <c r="V26" i="48"/>
  <c r="AH27" i="48"/>
  <c r="P27" i="48"/>
  <c r="K38" i="48"/>
  <c r="AC24" i="48"/>
  <c r="AD24" i="48" s="1"/>
  <c r="AP24" i="48" s="1"/>
  <c r="S24" i="48" s="1"/>
  <c r="U24" i="48"/>
  <c r="T38" i="48"/>
  <c r="J40" i="48"/>
  <c r="L40" i="48" s="1"/>
  <c r="M39" i="48"/>
  <c r="P37" i="45"/>
  <c r="AA40" i="53"/>
  <c r="S40" i="53" s="1"/>
  <c r="AB39" i="53"/>
  <c r="V39" i="53" s="1"/>
  <c r="X25" i="48"/>
  <c r="N25" i="48" s="1"/>
  <c r="AQ47" i="48"/>
  <c r="AR46" i="48"/>
  <c r="AE40" i="45"/>
  <c r="T40" i="45" s="1"/>
  <c r="AF38" i="45"/>
  <c r="R38" i="60" s="1"/>
  <c r="AB93" i="45"/>
  <c r="AB94" i="45" s="1"/>
  <c r="AB95" i="45" s="1"/>
  <c r="AB96" i="45" s="1"/>
  <c r="AB97" i="45" s="1"/>
  <c r="AB98" i="45" s="1"/>
  <c r="AB99" i="45" s="1"/>
  <c r="AB100" i="45" s="1"/>
  <c r="AB101" i="45" s="1"/>
  <c r="AB102" i="45" s="1"/>
  <c r="AB103" i="45" s="1"/>
  <c r="AB104" i="45" s="1"/>
  <c r="AB105" i="45" s="1"/>
  <c r="AB106" i="45" s="1"/>
  <c r="AB107" i="45" s="1"/>
  <c r="AB108" i="45" s="1"/>
  <c r="AB109" i="45" s="1"/>
  <c r="AB110" i="45" s="1"/>
  <c r="AB111" i="45" s="1"/>
  <c r="AB112" i="45" s="1"/>
  <c r="AB113" i="45" s="1"/>
  <c r="AB114" i="45" s="1"/>
  <c r="AB115" i="45" s="1"/>
  <c r="AB116" i="45" s="1"/>
  <c r="Y39" i="45"/>
  <c r="AL27" i="48" l="1"/>
  <c r="AF28" i="48" s="1"/>
  <c r="Q27" i="48"/>
  <c r="AI27" i="48"/>
  <c r="K39" i="48"/>
  <c r="T39" i="48"/>
  <c r="J41" i="48"/>
  <c r="L41" i="48" s="1"/>
  <c r="M40" i="48"/>
  <c r="P38" i="45"/>
  <c r="AA41" i="53"/>
  <c r="S41" i="53" s="1"/>
  <c r="AB40" i="53"/>
  <c r="V40" i="53" s="1"/>
  <c r="Y25" i="48"/>
  <c r="O25" i="48" s="1"/>
  <c r="AN25" i="48"/>
  <c r="AO25" i="48"/>
  <c r="R25" i="48" s="1"/>
  <c r="AQ48" i="48"/>
  <c r="AR47" i="48"/>
  <c r="AE41" i="45"/>
  <c r="T41" i="45" s="1"/>
  <c r="AF39" i="45"/>
  <c r="R39" i="60" s="1"/>
  <c r="Y40" i="45"/>
  <c r="AJ27" i="48" l="1"/>
  <c r="AK27" i="48" s="1"/>
  <c r="V27" i="48"/>
  <c r="AG28" i="48"/>
  <c r="K40" i="48"/>
  <c r="T40" i="48"/>
  <c r="J42" i="48"/>
  <c r="L42" i="48" s="1"/>
  <c r="M41" i="48"/>
  <c r="P39" i="45"/>
  <c r="AA42" i="53"/>
  <c r="S42" i="53" s="1"/>
  <c r="AB41" i="53"/>
  <c r="V41" i="53" s="1"/>
  <c r="AB25" i="48"/>
  <c r="AE25" i="48"/>
  <c r="W26" i="48" s="1"/>
  <c r="AQ49" i="48"/>
  <c r="AR48" i="48"/>
  <c r="AE42" i="45"/>
  <c r="T42" i="45" s="1"/>
  <c r="AF40" i="45"/>
  <c r="R40" i="60" s="1"/>
  <c r="Y41" i="45"/>
  <c r="K43" i="10" a="1"/>
  <c r="K43" i="10" s="1"/>
  <c r="K42" i="10" a="1"/>
  <c r="K42" i="10" s="1"/>
  <c r="K41" i="10" a="1"/>
  <c r="K41" i="10" s="1"/>
  <c r="K40" i="10" a="1"/>
  <c r="K40" i="10" s="1"/>
  <c r="K38" i="10" a="1"/>
  <c r="K38" i="10"/>
  <c r="K39" i="10" a="1"/>
  <c r="K39" i="10" s="1"/>
  <c r="K20" i="36" a="1"/>
  <c r="K20" i="36" s="1"/>
  <c r="H56" i="36"/>
  <c r="H57" i="36" s="1"/>
  <c r="L16" i="36" s="1"/>
  <c r="H55" i="36"/>
  <c r="L14" i="36" s="1"/>
  <c r="H54" i="36"/>
  <c r="H48" i="36"/>
  <c r="H47" i="36"/>
  <c r="H46" i="36"/>
  <c r="H45" i="36"/>
  <c r="H44" i="36"/>
  <c r="H43" i="36"/>
  <c r="L7" i="36" s="1"/>
  <c r="H42" i="36"/>
  <c r="L6" i="36" s="1"/>
  <c r="G51" i="36"/>
  <c r="Q7" i="36" s="1"/>
  <c r="G5" i="36"/>
  <c r="H41" i="36"/>
  <c r="H16" i="36"/>
  <c r="K12" i="36" s="1"/>
  <c r="G21" i="36"/>
  <c r="Q16" i="36"/>
  <c r="O16" i="36"/>
  <c r="N16" i="36"/>
  <c r="Q15" i="36"/>
  <c r="O15" i="36"/>
  <c r="N15" i="36"/>
  <c r="L15" i="36"/>
  <c r="Q14" i="36"/>
  <c r="O14" i="36"/>
  <c r="N14" i="36"/>
  <c r="Q13" i="36"/>
  <c r="O13" i="36"/>
  <c r="N13" i="36"/>
  <c r="L13" i="36"/>
  <c r="G35" i="36"/>
  <c r="Q12" i="36"/>
  <c r="O12" i="36"/>
  <c r="N12" i="36"/>
  <c r="L12" i="36"/>
  <c r="Q11" i="36"/>
  <c r="O11" i="36"/>
  <c r="N11" i="36"/>
  <c r="L11" i="36"/>
  <c r="K11" i="36"/>
  <c r="Q10" i="36"/>
  <c r="O10" i="36"/>
  <c r="N10" i="36"/>
  <c r="L10" i="36"/>
  <c r="Q9" i="36"/>
  <c r="O9" i="36"/>
  <c r="N9" i="36"/>
  <c r="L9" i="36"/>
  <c r="Q8" i="36"/>
  <c r="O8" i="36"/>
  <c r="N8" i="36"/>
  <c r="L8" i="36"/>
  <c r="O7" i="36"/>
  <c r="N7" i="36"/>
  <c r="T6" i="36"/>
  <c r="Q6" i="36"/>
  <c r="O6" i="36"/>
  <c r="N6" i="36"/>
  <c r="K6" i="36"/>
  <c r="Q5" i="36"/>
  <c r="O5" i="36"/>
  <c r="N5" i="36"/>
  <c r="L5" i="36"/>
  <c r="K15" i="34"/>
  <c r="H26" i="10"/>
  <c r="H13" i="10"/>
  <c r="G36" i="34"/>
  <c r="G28" i="34"/>
  <c r="K20" i="34" a="1"/>
  <c r="K20" i="34" s="1"/>
  <c r="G18" i="34"/>
  <c r="Q16" i="34"/>
  <c r="O16" i="34"/>
  <c r="N16" i="34"/>
  <c r="L16" i="34"/>
  <c r="K16" i="34"/>
  <c r="Q15" i="34"/>
  <c r="O15" i="34"/>
  <c r="N15" i="34"/>
  <c r="L15" i="34"/>
  <c r="Q14" i="34"/>
  <c r="O14" i="34"/>
  <c r="N14" i="34"/>
  <c r="L14" i="34"/>
  <c r="K14" i="34"/>
  <c r="Q13" i="34"/>
  <c r="O13" i="34"/>
  <c r="N13" i="34"/>
  <c r="L13" i="34"/>
  <c r="K13" i="34"/>
  <c r="G13" i="34"/>
  <c r="Q12" i="34"/>
  <c r="O12" i="34"/>
  <c r="N12" i="34"/>
  <c r="L12" i="34"/>
  <c r="K12" i="34"/>
  <c r="Q11" i="34"/>
  <c r="O11" i="34"/>
  <c r="N11" i="34"/>
  <c r="L11" i="34"/>
  <c r="K11" i="34"/>
  <c r="Q10" i="34"/>
  <c r="O10" i="34"/>
  <c r="N10" i="34"/>
  <c r="L10" i="34"/>
  <c r="K10" i="34"/>
  <c r="Q9" i="34"/>
  <c r="O9" i="34"/>
  <c r="N9" i="34"/>
  <c r="L9" i="34"/>
  <c r="K9" i="34"/>
  <c r="Q8" i="34"/>
  <c r="O8" i="34"/>
  <c r="N8" i="34"/>
  <c r="L8" i="34"/>
  <c r="K8" i="34"/>
  <c r="Q7" i="34"/>
  <c r="O7" i="34"/>
  <c r="N7" i="34"/>
  <c r="L7" i="34"/>
  <c r="K7" i="34"/>
  <c r="T6" i="34"/>
  <c r="Q6" i="34"/>
  <c r="O6" i="34"/>
  <c r="N6" i="34"/>
  <c r="M6" i="34"/>
  <c r="L6" i="34"/>
  <c r="K6" i="34"/>
  <c r="Q5" i="34"/>
  <c r="O5" i="34"/>
  <c r="N5" i="34"/>
  <c r="L5" i="34"/>
  <c r="K5" i="34"/>
  <c r="M13" i="10"/>
  <c r="N5" i="10"/>
  <c r="N6" i="10"/>
  <c r="N7" i="10"/>
  <c r="N8" i="10"/>
  <c r="N9" i="10"/>
  <c r="N10" i="10"/>
  <c r="N11" i="10"/>
  <c r="N12" i="10"/>
  <c r="N13" i="10"/>
  <c r="N14" i="10"/>
  <c r="N15" i="10"/>
  <c r="N16" i="10"/>
  <c r="O6" i="10"/>
  <c r="O7" i="10"/>
  <c r="O8" i="10"/>
  <c r="O9" i="10"/>
  <c r="O10" i="10"/>
  <c r="O11" i="10"/>
  <c r="O12" i="10"/>
  <c r="O13" i="10"/>
  <c r="O14" i="10"/>
  <c r="O15" i="10"/>
  <c r="O16" i="10"/>
  <c r="O5" i="10"/>
  <c r="T6" i="10"/>
  <c r="L12" i="10"/>
  <c r="Q15" i="10"/>
  <c r="L5" i="10"/>
  <c r="K20" i="10" a="1"/>
  <c r="K20" i="10" s="1"/>
  <c r="L20" i="10" s="1"/>
  <c r="Q16" i="10"/>
  <c r="K5" i="10"/>
  <c r="Q6" i="10"/>
  <c r="Q8" i="10"/>
  <c r="Q9" i="10"/>
  <c r="Q10" i="10"/>
  <c r="Q11" i="10"/>
  <c r="Q12" i="10"/>
  <c r="Q13" i="10"/>
  <c r="Q14" i="10"/>
  <c r="Q5" i="10"/>
  <c r="L6" i="10"/>
  <c r="L7" i="10"/>
  <c r="L8" i="10"/>
  <c r="L9" i="10"/>
  <c r="L10" i="10"/>
  <c r="L11" i="10"/>
  <c r="L13" i="10"/>
  <c r="L14" i="10"/>
  <c r="L15" i="10"/>
  <c r="L16" i="10"/>
  <c r="K14" i="10"/>
  <c r="K6" i="10"/>
  <c r="K7" i="10"/>
  <c r="K8" i="10"/>
  <c r="K9" i="10"/>
  <c r="K10" i="10"/>
  <c r="K11" i="10"/>
  <c r="K12" i="10"/>
  <c r="K13" i="10"/>
  <c r="K15" i="10"/>
  <c r="K16" i="10"/>
  <c r="G18" i="10"/>
  <c r="E11" i="25"/>
  <c r="D2" i="25"/>
  <c r="D3" i="25"/>
  <c r="D1" i="25"/>
  <c r="F5" i="25"/>
  <c r="B9" i="25"/>
  <c r="B5" i="25"/>
  <c r="B11" i="25" s="1"/>
  <c r="G51" i="8"/>
  <c r="C5" i="8"/>
  <c r="C25" i="8"/>
  <c r="AB194" i="21"/>
  <c r="R194" i="21"/>
  <c r="AB193" i="21"/>
  <c r="R193" i="21"/>
  <c r="AB192" i="21"/>
  <c r="R192" i="21"/>
  <c r="AB191" i="21"/>
  <c r="R191" i="21"/>
  <c r="AB190" i="21"/>
  <c r="R190" i="21"/>
  <c r="AB189" i="21"/>
  <c r="R189" i="21"/>
  <c r="AB188" i="21"/>
  <c r="R188" i="21"/>
  <c r="AB187" i="21"/>
  <c r="R187" i="21"/>
  <c r="AB186" i="21"/>
  <c r="R186" i="21"/>
  <c r="AB185" i="21"/>
  <c r="R185" i="21"/>
  <c r="AB184" i="21"/>
  <c r="R184" i="21"/>
  <c r="AB183" i="21"/>
  <c r="R183" i="21"/>
  <c r="AB182" i="21"/>
  <c r="R182" i="21"/>
  <c r="AB181" i="21"/>
  <c r="R181" i="21"/>
  <c r="AB180" i="21"/>
  <c r="R180" i="21"/>
  <c r="AB179" i="21"/>
  <c r="R179" i="21"/>
  <c r="AB178" i="21"/>
  <c r="R178" i="21"/>
  <c r="AB177" i="21"/>
  <c r="R177" i="21"/>
  <c r="AB176" i="21"/>
  <c r="R176" i="21"/>
  <c r="AB175" i="21"/>
  <c r="R175" i="21"/>
  <c r="AB174" i="21"/>
  <c r="R174" i="21"/>
  <c r="AB173" i="21"/>
  <c r="R173" i="21"/>
  <c r="AB172" i="21"/>
  <c r="R172" i="21"/>
  <c r="AB171" i="21"/>
  <c r="R171" i="21"/>
  <c r="AB170" i="21"/>
  <c r="R170" i="21"/>
  <c r="AB169" i="21"/>
  <c r="R169" i="21"/>
  <c r="AB168" i="21"/>
  <c r="R168" i="21"/>
  <c r="AB167" i="21"/>
  <c r="R167" i="21"/>
  <c r="AB166" i="21"/>
  <c r="R166" i="21"/>
  <c r="AB165" i="21"/>
  <c r="R165" i="21"/>
  <c r="AB164" i="21"/>
  <c r="R164" i="21"/>
  <c r="AB163" i="21"/>
  <c r="R163" i="21"/>
  <c r="AB162" i="21"/>
  <c r="R162" i="21"/>
  <c r="AB161" i="21"/>
  <c r="R161" i="21"/>
  <c r="AB160" i="21"/>
  <c r="R160" i="21"/>
  <c r="AB159" i="21"/>
  <c r="R159" i="21"/>
  <c r="AB158" i="21"/>
  <c r="R158" i="21"/>
  <c r="AB157" i="21"/>
  <c r="R157" i="21"/>
  <c r="AB156" i="21"/>
  <c r="R156" i="21"/>
  <c r="AB155" i="21"/>
  <c r="R155" i="21"/>
  <c r="AB154" i="21"/>
  <c r="R154" i="21"/>
  <c r="AB153" i="21"/>
  <c r="R153" i="21"/>
  <c r="AB152" i="21"/>
  <c r="R152" i="21"/>
  <c r="AB151" i="21"/>
  <c r="R151" i="21"/>
  <c r="AB150" i="21"/>
  <c r="R150" i="21"/>
  <c r="AB149" i="21"/>
  <c r="R149" i="21"/>
  <c r="AB148" i="21"/>
  <c r="R148" i="21"/>
  <c r="AB147" i="21"/>
  <c r="R147" i="21"/>
  <c r="AB146" i="21"/>
  <c r="R146" i="21"/>
  <c r="AB145" i="21"/>
  <c r="R145" i="21"/>
  <c r="AB144" i="21"/>
  <c r="R144" i="21"/>
  <c r="AB143" i="21"/>
  <c r="R143" i="21"/>
  <c r="AB142" i="21"/>
  <c r="R142" i="21"/>
  <c r="AB141" i="21"/>
  <c r="R141" i="21"/>
  <c r="AB140" i="21"/>
  <c r="R140" i="21"/>
  <c r="AB139" i="21"/>
  <c r="R139" i="21"/>
  <c r="AB138" i="21"/>
  <c r="R138" i="21"/>
  <c r="AB137" i="21"/>
  <c r="R137" i="21"/>
  <c r="AB136" i="21"/>
  <c r="R136" i="21"/>
  <c r="AB135" i="21"/>
  <c r="R135" i="21"/>
  <c r="AB134" i="21"/>
  <c r="R134" i="21"/>
  <c r="AB133" i="21"/>
  <c r="R133" i="21"/>
  <c r="AB132" i="21"/>
  <c r="R132" i="21"/>
  <c r="AB131" i="21"/>
  <c r="R131" i="21"/>
  <c r="AB130" i="21"/>
  <c r="R130" i="21"/>
  <c r="AB129" i="21"/>
  <c r="R129" i="21"/>
  <c r="AB128" i="21"/>
  <c r="R128" i="21"/>
  <c r="AB127" i="21"/>
  <c r="R127" i="21"/>
  <c r="AB126" i="21"/>
  <c r="R126" i="21"/>
  <c r="AB125" i="21"/>
  <c r="R125" i="21"/>
  <c r="AB124" i="21"/>
  <c r="R124" i="21"/>
  <c r="AB123" i="21"/>
  <c r="R123" i="21"/>
  <c r="AB122" i="21"/>
  <c r="R122" i="21"/>
  <c r="AB121" i="21"/>
  <c r="R121" i="21"/>
  <c r="AB120" i="21"/>
  <c r="R120" i="21"/>
  <c r="AB119" i="21"/>
  <c r="R119" i="21"/>
  <c r="AB118" i="21"/>
  <c r="R118" i="21"/>
  <c r="AB117" i="21"/>
  <c r="R117" i="21"/>
  <c r="AB116" i="21"/>
  <c r="R116" i="21"/>
  <c r="AB115" i="21"/>
  <c r="R115" i="21"/>
  <c r="AB114" i="21"/>
  <c r="R114" i="21"/>
  <c r="AB113" i="21"/>
  <c r="R113" i="21"/>
  <c r="AB112" i="21"/>
  <c r="R112" i="21"/>
  <c r="AB111" i="21"/>
  <c r="R111" i="21"/>
  <c r="AB110" i="21"/>
  <c r="R110" i="21"/>
  <c r="AB109" i="21"/>
  <c r="R109" i="21"/>
  <c r="AB108" i="21"/>
  <c r="R108" i="21"/>
  <c r="AB107" i="21"/>
  <c r="R107" i="21"/>
  <c r="AB106" i="21"/>
  <c r="R106" i="21"/>
  <c r="AB105" i="21"/>
  <c r="R105" i="21"/>
  <c r="AB104" i="21"/>
  <c r="R104" i="21"/>
  <c r="AB103" i="21"/>
  <c r="R103" i="21"/>
  <c r="AB102" i="21"/>
  <c r="R102" i="21"/>
  <c r="AB101" i="21"/>
  <c r="R101" i="21"/>
  <c r="AB100" i="21"/>
  <c r="R100" i="21"/>
  <c r="AB99" i="21"/>
  <c r="R99" i="21"/>
  <c r="AB98" i="21"/>
  <c r="R98" i="21"/>
  <c r="AB97" i="21"/>
  <c r="R97" i="21"/>
  <c r="AB96" i="21"/>
  <c r="R96" i="21"/>
  <c r="AB95" i="21"/>
  <c r="R95" i="21"/>
  <c r="AB94" i="21"/>
  <c r="R94" i="21"/>
  <c r="AB93" i="21"/>
  <c r="R93" i="21"/>
  <c r="AB92" i="21"/>
  <c r="R92" i="21"/>
  <c r="AB91" i="21"/>
  <c r="R91" i="21"/>
  <c r="AB90" i="21"/>
  <c r="R90" i="21"/>
  <c r="AB89" i="21"/>
  <c r="R89" i="21"/>
  <c r="AB88" i="21"/>
  <c r="R88" i="21"/>
  <c r="AB87" i="21"/>
  <c r="R87" i="21"/>
  <c r="AB86" i="21"/>
  <c r="R86" i="21"/>
  <c r="AB85" i="21"/>
  <c r="R85" i="21"/>
  <c r="AB84" i="21"/>
  <c r="R84" i="21"/>
  <c r="AB83" i="21"/>
  <c r="R83" i="21"/>
  <c r="AB82" i="21"/>
  <c r="R82" i="21"/>
  <c r="AB81" i="21"/>
  <c r="R81" i="21"/>
  <c r="AB80" i="21"/>
  <c r="R80" i="21"/>
  <c r="AB79" i="21"/>
  <c r="R79" i="21"/>
  <c r="AB78" i="21"/>
  <c r="R78" i="21"/>
  <c r="AB77" i="21"/>
  <c r="R77" i="21"/>
  <c r="AB76" i="21"/>
  <c r="R76" i="21"/>
  <c r="AB75" i="21"/>
  <c r="R75" i="21"/>
  <c r="AB74" i="21"/>
  <c r="R74" i="21"/>
  <c r="AB73" i="21"/>
  <c r="R73" i="21"/>
  <c r="AB72" i="21"/>
  <c r="R72" i="21"/>
  <c r="AB71" i="21"/>
  <c r="R71" i="21"/>
  <c r="AB70" i="21"/>
  <c r="R70" i="21"/>
  <c r="AB69" i="21"/>
  <c r="R69" i="21"/>
  <c r="AB68" i="21"/>
  <c r="R68" i="21"/>
  <c r="AB67" i="21"/>
  <c r="R67" i="21"/>
  <c r="AB66" i="21"/>
  <c r="R66" i="21"/>
  <c r="AB65" i="21"/>
  <c r="R65" i="21"/>
  <c r="AB64" i="21"/>
  <c r="R64" i="21"/>
  <c r="AB63" i="21"/>
  <c r="R63" i="21"/>
  <c r="AB62" i="21"/>
  <c r="R62" i="21"/>
  <c r="AB61" i="21"/>
  <c r="R61" i="21"/>
  <c r="AB60" i="21"/>
  <c r="R60" i="21"/>
  <c r="AB59" i="21"/>
  <c r="R59" i="21"/>
  <c r="AB58" i="21"/>
  <c r="R58" i="21"/>
  <c r="AB57" i="21"/>
  <c r="R57" i="21"/>
  <c r="AB56" i="21"/>
  <c r="R56" i="21"/>
  <c r="AB55" i="21"/>
  <c r="R55" i="21"/>
  <c r="AB54" i="21"/>
  <c r="R54" i="21"/>
  <c r="AB53" i="21"/>
  <c r="R53" i="21"/>
  <c r="AB52" i="21"/>
  <c r="R52" i="21"/>
  <c r="AB51" i="21"/>
  <c r="R51" i="21"/>
  <c r="AB50" i="21"/>
  <c r="R50" i="21"/>
  <c r="AB49" i="21"/>
  <c r="R49" i="21"/>
  <c r="AB48" i="21"/>
  <c r="R48" i="21"/>
  <c r="AB47" i="21"/>
  <c r="R47" i="21"/>
  <c r="AB46" i="21"/>
  <c r="R46" i="21"/>
  <c r="AB45" i="21"/>
  <c r="R45" i="21"/>
  <c r="AB44" i="21"/>
  <c r="R44" i="21"/>
  <c r="AB43" i="21"/>
  <c r="R43" i="21"/>
  <c r="AB42" i="21"/>
  <c r="R42" i="21"/>
  <c r="AB41" i="21"/>
  <c r="R41" i="21"/>
  <c r="AB40" i="21"/>
  <c r="R40" i="21"/>
  <c r="AB39" i="21"/>
  <c r="R39" i="21"/>
  <c r="AB38" i="21"/>
  <c r="R38" i="21"/>
  <c r="AB37" i="21"/>
  <c r="R37" i="21"/>
  <c r="AB36" i="21"/>
  <c r="R36" i="21"/>
  <c r="AB35" i="21"/>
  <c r="R35" i="21"/>
  <c r="AB34" i="21"/>
  <c r="R34" i="21"/>
  <c r="AB33" i="21"/>
  <c r="R33" i="21"/>
  <c r="AB32" i="21"/>
  <c r="R32" i="21"/>
  <c r="AB31" i="21"/>
  <c r="R31" i="21"/>
  <c r="AB30" i="21"/>
  <c r="R30" i="21"/>
  <c r="AB29" i="21"/>
  <c r="R29" i="21"/>
  <c r="AB28" i="21"/>
  <c r="R28" i="21"/>
  <c r="AB27" i="21"/>
  <c r="R27" i="21"/>
  <c r="AB26" i="21"/>
  <c r="R26" i="21"/>
  <c r="AB25" i="21"/>
  <c r="R25" i="21"/>
  <c r="AB24" i="21"/>
  <c r="R24" i="21"/>
  <c r="K24" i="21"/>
  <c r="K36" i="21" s="1"/>
  <c r="K48" i="21" s="1"/>
  <c r="AB23" i="21"/>
  <c r="R23" i="21"/>
  <c r="AB22" i="21"/>
  <c r="R22" i="21"/>
  <c r="AB21" i="21"/>
  <c r="R21" i="21"/>
  <c r="K21" i="21"/>
  <c r="J21" i="21" s="1"/>
  <c r="AB20" i="21"/>
  <c r="R20" i="21"/>
  <c r="AB19" i="21"/>
  <c r="R19" i="21"/>
  <c r="AB18" i="21"/>
  <c r="Z18" i="21"/>
  <c r="R18" i="21"/>
  <c r="AB17" i="21"/>
  <c r="Z17" i="21"/>
  <c r="R17" i="21"/>
  <c r="K17" i="21"/>
  <c r="J17" i="21" s="1"/>
  <c r="AB16" i="21"/>
  <c r="Z16" i="21"/>
  <c r="R16" i="21"/>
  <c r="AB15" i="21"/>
  <c r="Z15" i="21"/>
  <c r="R15" i="21"/>
  <c r="AB14" i="21"/>
  <c r="Z14" i="21"/>
  <c r="R14" i="21"/>
  <c r="K14" i="21"/>
  <c r="K26" i="21" s="1"/>
  <c r="J14" i="21"/>
  <c r="AB13" i="21"/>
  <c r="Z13" i="21"/>
  <c r="R13" i="21"/>
  <c r="K13" i="21"/>
  <c r="K25" i="21" s="1"/>
  <c r="J25" i="21" s="1"/>
  <c r="AB12" i="21"/>
  <c r="Z12" i="21"/>
  <c r="R12" i="21"/>
  <c r="K12" i="21"/>
  <c r="J12" i="21" s="1"/>
  <c r="AB11" i="21"/>
  <c r="Z11" i="21"/>
  <c r="R11" i="21"/>
  <c r="K11" i="21"/>
  <c r="J11" i="21" s="1"/>
  <c r="B11" i="21"/>
  <c r="B12" i="21" s="1"/>
  <c r="AB10" i="21"/>
  <c r="Z10" i="21"/>
  <c r="R10" i="21"/>
  <c r="K10" i="21"/>
  <c r="K22" i="21" s="1"/>
  <c r="AB9" i="21"/>
  <c r="Z9" i="21"/>
  <c r="R9" i="21"/>
  <c r="K9" i="21"/>
  <c r="J9" i="21"/>
  <c r="AB8" i="21"/>
  <c r="Z8" i="21"/>
  <c r="R8" i="21"/>
  <c r="K8" i="21"/>
  <c r="K20" i="21" s="1"/>
  <c r="J8" i="21"/>
  <c r="AB7" i="21"/>
  <c r="Z7" i="21"/>
  <c r="R7" i="21"/>
  <c r="K7" i="21"/>
  <c r="K19" i="21" s="1"/>
  <c r="J7" i="21"/>
  <c r="C7" i="21"/>
  <c r="AB6" i="21"/>
  <c r="Z6" i="21"/>
  <c r="R6" i="21"/>
  <c r="K6" i="21"/>
  <c r="K18" i="21" s="1"/>
  <c r="J18" i="21" s="1"/>
  <c r="C6" i="21"/>
  <c r="AB5" i="21"/>
  <c r="Z5" i="21"/>
  <c r="R5" i="21"/>
  <c r="K5" i="21"/>
  <c r="J5" i="21" s="1"/>
  <c r="AB4" i="21"/>
  <c r="Z4" i="21"/>
  <c r="R4" i="21"/>
  <c r="M4" i="21"/>
  <c r="N4" i="21" s="1"/>
  <c r="T4" i="21" s="1"/>
  <c r="K4" i="21"/>
  <c r="K16" i="21" s="1"/>
  <c r="C4" i="21"/>
  <c r="C5" i="21" s="1"/>
  <c r="AH3" i="21"/>
  <c r="AB3" i="21"/>
  <c r="Z3" i="21"/>
  <c r="N3" i="21"/>
  <c r="T3" i="21" s="1"/>
  <c r="K3" i="21"/>
  <c r="J3" i="21" s="1"/>
  <c r="N25" i="8"/>
  <c r="M25" i="8"/>
  <c r="N26" i="8"/>
  <c r="M26" i="8"/>
  <c r="M24" i="8"/>
  <c r="M23" i="8"/>
  <c r="I34" i="8"/>
  <c r="N55" i="8"/>
  <c r="M55" i="8"/>
  <c r="E30" i="8"/>
  <c r="E29" i="8"/>
  <c r="E28" i="8"/>
  <c r="C30" i="8"/>
  <c r="C29" i="8"/>
  <c r="F41" i="8"/>
  <c r="N49" i="8" s="1"/>
  <c r="V6" i="8"/>
  <c r="C36" i="8"/>
  <c r="U5" i="8" s="1"/>
  <c r="U16" i="8" s="1"/>
  <c r="I4" i="8"/>
  <c r="N61" i="8" s="1"/>
  <c r="Z18" i="12"/>
  <c r="Z17" i="12"/>
  <c r="Z15" i="12"/>
  <c r="Z16" i="12"/>
  <c r="K43" i="18"/>
  <c r="K44" i="18"/>
  <c r="K45" i="18"/>
  <c r="K46" i="18"/>
  <c r="K47" i="18"/>
  <c r="K48" i="18"/>
  <c r="K49" i="18"/>
  <c r="K50" i="18"/>
  <c r="K51" i="18"/>
  <c r="K52" i="18"/>
  <c r="K53" i="18"/>
  <c r="K54" i="18"/>
  <c r="AB4" i="12"/>
  <c r="AB5" i="12"/>
  <c r="AB6" i="12"/>
  <c r="AB7" i="12"/>
  <c r="AB8" i="12"/>
  <c r="AB9" i="12"/>
  <c r="AB10" i="12"/>
  <c r="AB11" i="12"/>
  <c r="AB12" i="12"/>
  <c r="AB13" i="12"/>
  <c r="AB14" i="12"/>
  <c r="AB15" i="12"/>
  <c r="AB16" i="12"/>
  <c r="AB17" i="12"/>
  <c r="AB18" i="12"/>
  <c r="AB19" i="12"/>
  <c r="AB20" i="12"/>
  <c r="AB21" i="12"/>
  <c r="AB22" i="12"/>
  <c r="AB23" i="12"/>
  <c r="AB24" i="12"/>
  <c r="AB25" i="12"/>
  <c r="AB26" i="12"/>
  <c r="AB27" i="12"/>
  <c r="AB28" i="12"/>
  <c r="AB29" i="12"/>
  <c r="AB30" i="12"/>
  <c r="AB31" i="12"/>
  <c r="AB32" i="12"/>
  <c r="AB33" i="12"/>
  <c r="AB34" i="12"/>
  <c r="AB35" i="12"/>
  <c r="AB36" i="12"/>
  <c r="AB37" i="12"/>
  <c r="AB38" i="12"/>
  <c r="AB39" i="12"/>
  <c r="AB40" i="12"/>
  <c r="AB41" i="12"/>
  <c r="AB42" i="12"/>
  <c r="AB43" i="12"/>
  <c r="AB44" i="12"/>
  <c r="AB45" i="12"/>
  <c r="AB46" i="12"/>
  <c r="AB47" i="12"/>
  <c r="AB48" i="12"/>
  <c r="AB49" i="12"/>
  <c r="AB50" i="12"/>
  <c r="AB51" i="12"/>
  <c r="AB52" i="12"/>
  <c r="AB53" i="12"/>
  <c r="AB54" i="12"/>
  <c r="AB55" i="12"/>
  <c r="AB56" i="12"/>
  <c r="AB57" i="12"/>
  <c r="AB58" i="12"/>
  <c r="AB59" i="12"/>
  <c r="AB60" i="12"/>
  <c r="AB61" i="12"/>
  <c r="AB62" i="12"/>
  <c r="AB63" i="12"/>
  <c r="AB64" i="12"/>
  <c r="AB65" i="12"/>
  <c r="AB66" i="12"/>
  <c r="AB67" i="12"/>
  <c r="AB68" i="12"/>
  <c r="AB69" i="12"/>
  <c r="AB70" i="12"/>
  <c r="AB71" i="12"/>
  <c r="AB72" i="12"/>
  <c r="AB73" i="12"/>
  <c r="AB74" i="12"/>
  <c r="AB75" i="12"/>
  <c r="AB76" i="12"/>
  <c r="AB77" i="12"/>
  <c r="AB78" i="12"/>
  <c r="AB79" i="12"/>
  <c r="AB80" i="12"/>
  <c r="AB81" i="12"/>
  <c r="AB82" i="12"/>
  <c r="AB83" i="12"/>
  <c r="AB84" i="12"/>
  <c r="AB85" i="12"/>
  <c r="AB86" i="12"/>
  <c r="AB87" i="12"/>
  <c r="AB88" i="12"/>
  <c r="AB89" i="12"/>
  <c r="AB90" i="12"/>
  <c r="AB91" i="12"/>
  <c r="AB92" i="12"/>
  <c r="AB93" i="12"/>
  <c r="AB94" i="12"/>
  <c r="AB95" i="12"/>
  <c r="AB96" i="12"/>
  <c r="AB97" i="12"/>
  <c r="AB98" i="12"/>
  <c r="AB99" i="12"/>
  <c r="AB100" i="12"/>
  <c r="AB101" i="12"/>
  <c r="AB102" i="12"/>
  <c r="AB103" i="12"/>
  <c r="AB104" i="12"/>
  <c r="AB105" i="12"/>
  <c r="AB106" i="12"/>
  <c r="AB107" i="12"/>
  <c r="AB108" i="12"/>
  <c r="AB109" i="12"/>
  <c r="AB110" i="12"/>
  <c r="AB111" i="12"/>
  <c r="AB112" i="12"/>
  <c r="AB113" i="12"/>
  <c r="AB114" i="12"/>
  <c r="AB115" i="12"/>
  <c r="AB116" i="12"/>
  <c r="AB117" i="12"/>
  <c r="AB118" i="12"/>
  <c r="AB119" i="12"/>
  <c r="AB120" i="12"/>
  <c r="AB121" i="12"/>
  <c r="AB122" i="12"/>
  <c r="AB123" i="12"/>
  <c r="AB124" i="12"/>
  <c r="AB125" i="12"/>
  <c r="AB126" i="12"/>
  <c r="AB127" i="12"/>
  <c r="AB128" i="12"/>
  <c r="AB129" i="12"/>
  <c r="AB130" i="12"/>
  <c r="AB131" i="12"/>
  <c r="AB132" i="12"/>
  <c r="AB133" i="12"/>
  <c r="AB134" i="12"/>
  <c r="AB135" i="12"/>
  <c r="AB136" i="12"/>
  <c r="AB137" i="12"/>
  <c r="AB138" i="12"/>
  <c r="AB139" i="12"/>
  <c r="AB140" i="12"/>
  <c r="AB141" i="12"/>
  <c r="AB142" i="12"/>
  <c r="AB143" i="12"/>
  <c r="AB144" i="12"/>
  <c r="AB145" i="12"/>
  <c r="AB146" i="12"/>
  <c r="AB147" i="12"/>
  <c r="AB148" i="12"/>
  <c r="AB149" i="12"/>
  <c r="AB150" i="12"/>
  <c r="AB151" i="12"/>
  <c r="AB152" i="12"/>
  <c r="AB153" i="12"/>
  <c r="AB154" i="12"/>
  <c r="AB155" i="12"/>
  <c r="AB156" i="12"/>
  <c r="AB157" i="12"/>
  <c r="AB158" i="12"/>
  <c r="AB159" i="12"/>
  <c r="AB160" i="12"/>
  <c r="AB161" i="12"/>
  <c r="AB162" i="12"/>
  <c r="AB163" i="12"/>
  <c r="AB164" i="12"/>
  <c r="AB165" i="12"/>
  <c r="AB166" i="12"/>
  <c r="AB167" i="12"/>
  <c r="AB168" i="12"/>
  <c r="AB169" i="12"/>
  <c r="AB170" i="12"/>
  <c r="AB171" i="12"/>
  <c r="AB172" i="12"/>
  <c r="AB173" i="12"/>
  <c r="AB174" i="12"/>
  <c r="AB175" i="12"/>
  <c r="AB176" i="12"/>
  <c r="AB177" i="12"/>
  <c r="AB178" i="12"/>
  <c r="AB179" i="12"/>
  <c r="AB180" i="12"/>
  <c r="AB181" i="12"/>
  <c r="AB182" i="12"/>
  <c r="AB183" i="12"/>
  <c r="AB184" i="12"/>
  <c r="AB185" i="12"/>
  <c r="AB186" i="12"/>
  <c r="AB187" i="12"/>
  <c r="AB188" i="12"/>
  <c r="AB189" i="12"/>
  <c r="AB190" i="12"/>
  <c r="AB191" i="12"/>
  <c r="AB192" i="12"/>
  <c r="AB193" i="12"/>
  <c r="AB194" i="12"/>
  <c r="AB3" i="12"/>
  <c r="N59" i="20"/>
  <c r="M59" i="20"/>
  <c r="N58" i="20"/>
  <c r="M58" i="20"/>
  <c r="N57" i="20"/>
  <c r="M57" i="20"/>
  <c r="M56" i="20"/>
  <c r="N55" i="20"/>
  <c r="M55" i="20"/>
  <c r="N54" i="20"/>
  <c r="M54" i="20"/>
  <c r="N53" i="20"/>
  <c r="M53" i="20"/>
  <c r="M52" i="20"/>
  <c r="N51" i="20"/>
  <c r="M51" i="20"/>
  <c r="N50" i="20"/>
  <c r="M50" i="20"/>
  <c r="N49" i="20"/>
  <c r="M49" i="20"/>
  <c r="M48" i="20"/>
  <c r="N47" i="20"/>
  <c r="M47" i="20"/>
  <c r="N46" i="20"/>
  <c r="M46" i="20"/>
  <c r="N45" i="20"/>
  <c r="M45" i="20"/>
  <c r="M44" i="20"/>
  <c r="N43" i="20"/>
  <c r="M43" i="20"/>
  <c r="N42" i="20"/>
  <c r="M42" i="20"/>
  <c r="N41" i="20"/>
  <c r="M41" i="20"/>
  <c r="N40" i="20"/>
  <c r="M40" i="20"/>
  <c r="N39" i="20"/>
  <c r="M39" i="20"/>
  <c r="N38" i="20"/>
  <c r="M38" i="20"/>
  <c r="N37" i="20"/>
  <c r="M37" i="20"/>
  <c r="M36" i="20"/>
  <c r="E36" i="20"/>
  <c r="N35" i="20"/>
  <c r="M35" i="20"/>
  <c r="E35" i="20"/>
  <c r="N34" i="20"/>
  <c r="M34" i="20"/>
  <c r="E34" i="20"/>
  <c r="N33" i="20"/>
  <c r="M33" i="20"/>
  <c r="E33" i="20"/>
  <c r="M32" i="20"/>
  <c r="E32" i="20"/>
  <c r="N31" i="20"/>
  <c r="M31" i="20"/>
  <c r="E31" i="20"/>
  <c r="N30" i="20"/>
  <c r="M30" i="20"/>
  <c r="E30" i="20"/>
  <c r="N29" i="20"/>
  <c r="M29" i="20"/>
  <c r="M28" i="20"/>
  <c r="N27" i="20"/>
  <c r="M27" i="20"/>
  <c r="N26" i="20"/>
  <c r="M26" i="20"/>
  <c r="N25" i="20"/>
  <c r="M25" i="20"/>
  <c r="M24" i="20"/>
  <c r="C24" i="20"/>
  <c r="N23" i="20"/>
  <c r="M23" i="20"/>
  <c r="N22" i="20"/>
  <c r="M22" i="20"/>
  <c r="N21" i="20"/>
  <c r="M21" i="20"/>
  <c r="N20" i="20"/>
  <c r="M20" i="20"/>
  <c r="M19" i="20"/>
  <c r="N18" i="20"/>
  <c r="M18" i="20"/>
  <c r="N17" i="20"/>
  <c r="M17" i="20"/>
  <c r="N16" i="20"/>
  <c r="M16" i="20"/>
  <c r="U15" i="20"/>
  <c r="T15" i="20"/>
  <c r="M15" i="20"/>
  <c r="N14" i="20"/>
  <c r="M14" i="20"/>
  <c r="N13" i="20"/>
  <c r="M13" i="20"/>
  <c r="C13" i="20"/>
  <c r="N12" i="20"/>
  <c r="M12" i="20"/>
  <c r="I12" i="20"/>
  <c r="E12" i="20"/>
  <c r="M11" i="20"/>
  <c r="E11" i="20"/>
  <c r="N10" i="20"/>
  <c r="M10" i="20"/>
  <c r="E10" i="20"/>
  <c r="N9" i="20"/>
  <c r="M9" i="20"/>
  <c r="E9" i="20"/>
  <c r="N8" i="20"/>
  <c r="M8" i="20"/>
  <c r="E8" i="20"/>
  <c r="M7" i="20"/>
  <c r="E7" i="20"/>
  <c r="N6" i="20"/>
  <c r="M6" i="20"/>
  <c r="E6" i="20"/>
  <c r="N5" i="20"/>
  <c r="M5" i="20"/>
  <c r="E5" i="20"/>
  <c r="N4" i="20"/>
  <c r="M4" i="20"/>
  <c r="E4" i="20"/>
  <c r="C4" i="20"/>
  <c r="C25" i="20" s="1"/>
  <c r="M3" i="20"/>
  <c r="E3" i="20"/>
  <c r="Z3" i="12"/>
  <c r="K3" i="18"/>
  <c r="L54" i="18" s="1"/>
  <c r="K4" i="18"/>
  <c r="K42" i="18"/>
  <c r="K25" i="18"/>
  <c r="K41" i="18"/>
  <c r="K40" i="18"/>
  <c r="K39" i="18"/>
  <c r="K38" i="18"/>
  <c r="K37" i="18"/>
  <c r="K36" i="18"/>
  <c r="K35" i="18"/>
  <c r="K24" i="18"/>
  <c r="K26" i="18"/>
  <c r="K27" i="18"/>
  <c r="K28" i="18"/>
  <c r="K29" i="18"/>
  <c r="K30" i="18"/>
  <c r="K31" i="18"/>
  <c r="K32" i="18"/>
  <c r="K33" i="18"/>
  <c r="K34" i="18"/>
  <c r="K23" i="18"/>
  <c r="K8" i="18"/>
  <c r="K17" i="18"/>
  <c r="K18" i="18"/>
  <c r="K19" i="18"/>
  <c r="K20" i="18"/>
  <c r="K21" i="18"/>
  <c r="K22" i="18"/>
  <c r="K16" i="18"/>
  <c r="K15" i="18"/>
  <c r="K14" i="18"/>
  <c r="K12" i="18"/>
  <c r="K4" i="12"/>
  <c r="K16" i="12" s="1"/>
  <c r="K28" i="12" s="1"/>
  <c r="K40" i="12" s="1"/>
  <c r="K52" i="12" s="1"/>
  <c r="K64" i="12" s="1"/>
  <c r="K76" i="12" s="1"/>
  <c r="K5" i="12"/>
  <c r="K17" i="12" s="1"/>
  <c r="K29" i="12" s="1"/>
  <c r="K41" i="12" s="1"/>
  <c r="K53" i="12" s="1"/>
  <c r="K65" i="12" s="1"/>
  <c r="K77" i="12" s="1"/>
  <c r="K6" i="12"/>
  <c r="K18" i="12" s="1"/>
  <c r="K30" i="12" s="1"/>
  <c r="K42" i="12" s="1"/>
  <c r="K54" i="12" s="1"/>
  <c r="K66" i="12" s="1"/>
  <c r="K78" i="12" s="1"/>
  <c r="K7" i="12"/>
  <c r="J7" i="12" s="1"/>
  <c r="K8" i="12"/>
  <c r="K20" i="12" s="1"/>
  <c r="K32" i="12" s="1"/>
  <c r="K44" i="12" s="1"/>
  <c r="K56" i="12" s="1"/>
  <c r="K68" i="12" s="1"/>
  <c r="K80" i="12" s="1"/>
  <c r="K9" i="12"/>
  <c r="K21" i="12" s="1"/>
  <c r="K33" i="12" s="1"/>
  <c r="K45" i="12" s="1"/>
  <c r="K57" i="12" s="1"/>
  <c r="K69" i="12" s="1"/>
  <c r="K81" i="12" s="1"/>
  <c r="K10" i="12"/>
  <c r="K22" i="12" s="1"/>
  <c r="K34" i="12" s="1"/>
  <c r="K46" i="12" s="1"/>
  <c r="K58" i="12" s="1"/>
  <c r="K70" i="12" s="1"/>
  <c r="K82" i="12" s="1"/>
  <c r="K11" i="12"/>
  <c r="J11" i="12" s="1"/>
  <c r="K12" i="12"/>
  <c r="K24" i="12" s="1"/>
  <c r="K36" i="12" s="1"/>
  <c r="K48" i="12" s="1"/>
  <c r="K60" i="12" s="1"/>
  <c r="K72" i="12" s="1"/>
  <c r="K84" i="12" s="1"/>
  <c r="K13" i="12"/>
  <c r="K25" i="12" s="1"/>
  <c r="K37" i="12" s="1"/>
  <c r="K49" i="12" s="1"/>
  <c r="K61" i="12" s="1"/>
  <c r="K73" i="12" s="1"/>
  <c r="K85" i="12" s="1"/>
  <c r="K14" i="12"/>
  <c r="K26" i="12" s="1"/>
  <c r="K38" i="12" s="1"/>
  <c r="K50" i="12" s="1"/>
  <c r="K62" i="12" s="1"/>
  <c r="K74" i="12" s="1"/>
  <c r="K86" i="12" s="1"/>
  <c r="K3" i="12"/>
  <c r="K15" i="12" s="1"/>
  <c r="K27" i="12" s="1"/>
  <c r="K39" i="12" s="1"/>
  <c r="K51" i="12" s="1"/>
  <c r="K63" i="12" s="1"/>
  <c r="K75" i="12" s="1"/>
  <c r="B11" i="12"/>
  <c r="B12" i="12" s="1"/>
  <c r="B13" i="12" s="1"/>
  <c r="B14" i="12" s="1"/>
  <c r="B15" i="12" s="1"/>
  <c r="B16" i="12" s="1"/>
  <c r="B17" i="12" s="1"/>
  <c r="B18" i="12" s="1"/>
  <c r="B19" i="12" s="1"/>
  <c r="B20" i="12" s="1"/>
  <c r="B21" i="12" s="1"/>
  <c r="B22" i="12" s="1"/>
  <c r="B23" i="12" s="1"/>
  <c r="B24" i="12" s="1"/>
  <c r="B25" i="12" s="1"/>
  <c r="B26" i="12" s="1"/>
  <c r="K13" i="18"/>
  <c r="K6" i="18"/>
  <c r="K7" i="18"/>
  <c r="K9" i="18"/>
  <c r="K10" i="18"/>
  <c r="K11" i="18"/>
  <c r="R5" i="12"/>
  <c r="R6" i="12"/>
  <c r="R7" i="12"/>
  <c r="R8" i="12"/>
  <c r="R9" i="12"/>
  <c r="R10" i="12"/>
  <c r="R11" i="12"/>
  <c r="R12" i="12"/>
  <c r="R13" i="12"/>
  <c r="R14" i="12"/>
  <c r="R15" i="12"/>
  <c r="R16" i="12"/>
  <c r="R17" i="12"/>
  <c r="R18" i="12"/>
  <c r="R19" i="12"/>
  <c r="R20" i="12"/>
  <c r="R21" i="12"/>
  <c r="R22" i="12"/>
  <c r="R23" i="12"/>
  <c r="R24" i="12"/>
  <c r="R25" i="12"/>
  <c r="R26" i="12"/>
  <c r="R27" i="12"/>
  <c r="R28" i="12"/>
  <c r="R29" i="12"/>
  <c r="R30" i="12"/>
  <c r="R31" i="12"/>
  <c r="R32" i="12"/>
  <c r="R33" i="12"/>
  <c r="R34" i="12"/>
  <c r="R35" i="12"/>
  <c r="R36" i="12"/>
  <c r="R37" i="12"/>
  <c r="R38" i="12"/>
  <c r="R39" i="12"/>
  <c r="R40" i="12"/>
  <c r="R41" i="12"/>
  <c r="R42" i="12"/>
  <c r="R43" i="12"/>
  <c r="R44" i="12"/>
  <c r="R45" i="12"/>
  <c r="R46" i="12"/>
  <c r="R47" i="12"/>
  <c r="R48" i="12"/>
  <c r="R49" i="12"/>
  <c r="R50" i="12"/>
  <c r="R51" i="12"/>
  <c r="R52" i="12"/>
  <c r="R53" i="12"/>
  <c r="R54" i="12"/>
  <c r="R55" i="12"/>
  <c r="R56" i="12"/>
  <c r="R57" i="12"/>
  <c r="R58" i="12"/>
  <c r="R59" i="12"/>
  <c r="R60" i="12"/>
  <c r="R61" i="12"/>
  <c r="R62" i="12"/>
  <c r="R63" i="12"/>
  <c r="R64" i="12"/>
  <c r="R65" i="12"/>
  <c r="R66" i="12"/>
  <c r="R67" i="12"/>
  <c r="R68" i="12"/>
  <c r="R69" i="12"/>
  <c r="R70" i="12"/>
  <c r="R71" i="12"/>
  <c r="R72" i="12"/>
  <c r="R73" i="12"/>
  <c r="R74" i="12"/>
  <c r="R75" i="12"/>
  <c r="R76" i="12"/>
  <c r="R77" i="12"/>
  <c r="R78" i="12"/>
  <c r="R79" i="12"/>
  <c r="R80" i="12"/>
  <c r="R81" i="12"/>
  <c r="R82" i="12"/>
  <c r="R83" i="12"/>
  <c r="R84" i="12"/>
  <c r="R85" i="12"/>
  <c r="R86" i="12"/>
  <c r="R87" i="12"/>
  <c r="R88" i="12"/>
  <c r="R89" i="12"/>
  <c r="R90" i="12"/>
  <c r="R91" i="12"/>
  <c r="R92" i="12"/>
  <c r="R93" i="12"/>
  <c r="R94" i="12"/>
  <c r="R95" i="12"/>
  <c r="R96" i="12"/>
  <c r="R97" i="12"/>
  <c r="R98" i="12"/>
  <c r="R99" i="12"/>
  <c r="R100" i="12"/>
  <c r="R101" i="12"/>
  <c r="R102" i="12"/>
  <c r="R103" i="12"/>
  <c r="R104" i="12"/>
  <c r="R105" i="12"/>
  <c r="R106" i="12"/>
  <c r="R107" i="12"/>
  <c r="R108" i="12"/>
  <c r="R109" i="12"/>
  <c r="R110" i="12"/>
  <c r="R111" i="12"/>
  <c r="R112" i="12"/>
  <c r="R113" i="12"/>
  <c r="R114" i="12"/>
  <c r="R115" i="12"/>
  <c r="R116" i="12"/>
  <c r="R117" i="12"/>
  <c r="R118" i="12"/>
  <c r="R119" i="12"/>
  <c r="R120" i="12"/>
  <c r="R121" i="12"/>
  <c r="R122" i="12"/>
  <c r="R123" i="12"/>
  <c r="R124" i="12"/>
  <c r="R125" i="12"/>
  <c r="R126" i="12"/>
  <c r="R127" i="12"/>
  <c r="R128" i="12"/>
  <c r="R129" i="12"/>
  <c r="R130" i="12"/>
  <c r="R131" i="12"/>
  <c r="R132" i="12"/>
  <c r="R133" i="12"/>
  <c r="R134" i="12"/>
  <c r="R135" i="12"/>
  <c r="R136" i="12"/>
  <c r="R137" i="12"/>
  <c r="R138" i="12"/>
  <c r="R139" i="12"/>
  <c r="R140" i="12"/>
  <c r="R141" i="12"/>
  <c r="R142" i="12"/>
  <c r="R143" i="12"/>
  <c r="R144" i="12"/>
  <c r="R145" i="12"/>
  <c r="R146" i="12"/>
  <c r="R147" i="12"/>
  <c r="R148" i="12"/>
  <c r="R149" i="12"/>
  <c r="R150" i="12"/>
  <c r="R151" i="12"/>
  <c r="R152" i="12"/>
  <c r="R153" i="12"/>
  <c r="R154" i="12"/>
  <c r="R155" i="12"/>
  <c r="R156" i="12"/>
  <c r="R157" i="12"/>
  <c r="R158" i="12"/>
  <c r="R159" i="12"/>
  <c r="R160" i="12"/>
  <c r="R161" i="12"/>
  <c r="R162" i="12"/>
  <c r="R163" i="12"/>
  <c r="R164" i="12"/>
  <c r="R165" i="12"/>
  <c r="R166" i="12"/>
  <c r="R167" i="12"/>
  <c r="R168" i="12"/>
  <c r="R169" i="12"/>
  <c r="R170" i="12"/>
  <c r="R171" i="12"/>
  <c r="R172" i="12"/>
  <c r="R173" i="12"/>
  <c r="R174" i="12"/>
  <c r="R175" i="12"/>
  <c r="R176" i="12"/>
  <c r="R177" i="12"/>
  <c r="R178" i="12"/>
  <c r="R179" i="12"/>
  <c r="R180" i="12"/>
  <c r="R181" i="12"/>
  <c r="R182" i="12"/>
  <c r="R183" i="12"/>
  <c r="R184" i="12"/>
  <c r="R185" i="12"/>
  <c r="R186" i="12"/>
  <c r="R187" i="12"/>
  <c r="R188" i="12"/>
  <c r="R189" i="12"/>
  <c r="R190" i="12"/>
  <c r="R191" i="12"/>
  <c r="R192" i="12"/>
  <c r="R193" i="12"/>
  <c r="R194" i="12"/>
  <c r="R4" i="12"/>
  <c r="AH3" i="12"/>
  <c r="F4" i="13"/>
  <c r="F5" i="13" s="1"/>
  <c r="F6" i="13" s="1"/>
  <c r="F7" i="13" s="1"/>
  <c r="F8" i="13" s="1"/>
  <c r="F9" i="13" s="1"/>
  <c r="F10" i="13" s="1"/>
  <c r="F11" i="13" s="1"/>
  <c r="F12" i="13" s="1"/>
  <c r="F13" i="13" s="1"/>
  <c r="F14" i="13" s="1"/>
  <c r="F15" i="13" s="1"/>
  <c r="F16" i="13" s="1"/>
  <c r="F17" i="13" s="1"/>
  <c r="F18" i="13" s="1"/>
  <c r="F19" i="13" s="1"/>
  <c r="F20" i="13" s="1"/>
  <c r="F21" i="13" s="1"/>
  <c r="E4" i="13"/>
  <c r="E5" i="13" s="1"/>
  <c r="E6" i="13" s="1"/>
  <c r="E7" i="13" s="1"/>
  <c r="E8" i="13" s="1"/>
  <c r="E9" i="13" s="1"/>
  <c r="E10" i="13" s="1"/>
  <c r="E11" i="13" s="1"/>
  <c r="E12" i="13" s="1"/>
  <c r="E13" i="13" s="1"/>
  <c r="E14" i="13" s="1"/>
  <c r="E15" i="13" s="1"/>
  <c r="E16" i="13" s="1"/>
  <c r="E17" i="13" s="1"/>
  <c r="E18" i="13" s="1"/>
  <c r="E19" i="13" s="1"/>
  <c r="E20" i="13" s="1"/>
  <c r="E21" i="13" s="1"/>
  <c r="G3" i="13"/>
  <c r="D5" i="15"/>
  <c r="E5" i="15" s="1"/>
  <c r="D6" i="15"/>
  <c r="E6" i="15"/>
  <c r="F6" i="15" s="1"/>
  <c r="B11" i="15"/>
  <c r="D11" i="15" s="1"/>
  <c r="E11" i="15" s="1"/>
  <c r="H3" i="13"/>
  <c r="I3" i="13"/>
  <c r="M8" i="13"/>
  <c r="N3" i="12"/>
  <c r="T3" i="12" s="1"/>
  <c r="C6" i="12"/>
  <c r="C4" i="12"/>
  <c r="C5" i="12" s="1"/>
  <c r="C7" i="12"/>
  <c r="Z4" i="12"/>
  <c r="Z5" i="12"/>
  <c r="Z6" i="12"/>
  <c r="Z7" i="12"/>
  <c r="Z8" i="12"/>
  <c r="Z9" i="12"/>
  <c r="Z10" i="12"/>
  <c r="Z11" i="12"/>
  <c r="Z12" i="12"/>
  <c r="Z13" i="12"/>
  <c r="Z14" i="12"/>
  <c r="G5" i="10"/>
  <c r="G30" i="10"/>
  <c r="G67" i="10"/>
  <c r="Q7" i="10" s="1"/>
  <c r="N23" i="8"/>
  <c r="N40" i="8"/>
  <c r="N41" i="8"/>
  <c r="N44" i="8"/>
  <c r="N48" i="8"/>
  <c r="N53" i="8"/>
  <c r="N57" i="8"/>
  <c r="N58" i="8"/>
  <c r="N14" i="8"/>
  <c r="N17" i="8"/>
  <c r="N18" i="8"/>
  <c r="N20" i="8"/>
  <c r="N21" i="8"/>
  <c r="N22" i="8"/>
  <c r="N28" i="8"/>
  <c r="N29" i="8"/>
  <c r="N32" i="8"/>
  <c r="N33" i="8"/>
  <c r="N4" i="8"/>
  <c r="N6" i="8"/>
  <c r="M4" i="8"/>
  <c r="M5" i="8"/>
  <c r="M6" i="8"/>
  <c r="M7" i="8"/>
  <c r="M11" i="8"/>
  <c r="M15" i="8"/>
  <c r="M17" i="8"/>
  <c r="M18" i="8"/>
  <c r="M19" i="8"/>
  <c r="M20" i="8"/>
  <c r="M21" i="8"/>
  <c r="M22" i="8"/>
  <c r="M27" i="8"/>
  <c r="M28" i="8"/>
  <c r="M29" i="8"/>
  <c r="M31" i="8"/>
  <c r="M32" i="8"/>
  <c r="M33" i="8"/>
  <c r="M35" i="8"/>
  <c r="M36" i="8"/>
  <c r="M38" i="8"/>
  <c r="M39" i="8"/>
  <c r="M40" i="8"/>
  <c r="M41" i="8"/>
  <c r="M42" i="8"/>
  <c r="M43" i="8"/>
  <c r="M44" i="8"/>
  <c r="M45" i="8"/>
  <c r="M46" i="8"/>
  <c r="M47" i="8"/>
  <c r="M48" i="8"/>
  <c r="M50" i="8"/>
  <c r="M51" i="8"/>
  <c r="M54" i="8"/>
  <c r="M56" i="8"/>
  <c r="M57" i="8"/>
  <c r="M58" i="8"/>
  <c r="M60" i="8"/>
  <c r="M61" i="8"/>
  <c r="M63" i="8"/>
  <c r="M3" i="8"/>
  <c r="I18" i="8"/>
  <c r="N46" i="8" s="1"/>
  <c r="E21" i="8"/>
  <c r="E5" i="8"/>
  <c r="E9" i="8"/>
  <c r="E16" i="8"/>
  <c r="E27" i="8"/>
  <c r="E17" i="8"/>
  <c r="E19" i="8"/>
  <c r="E14" i="8"/>
  <c r="E15" i="8"/>
  <c r="E3" i="8"/>
  <c r="E20" i="8"/>
  <c r="E18" i="8"/>
  <c r="E6" i="8"/>
  <c r="E25" i="8"/>
  <c r="E24" i="8"/>
  <c r="E22" i="8"/>
  <c r="E23" i="8"/>
  <c r="E26" i="8"/>
  <c r="E8" i="8"/>
  <c r="E7" i="8"/>
  <c r="E10" i="8"/>
  <c r="E11" i="8"/>
  <c r="E12" i="8"/>
  <c r="E4" i="8"/>
  <c r="E13" i="8"/>
  <c r="E31" i="8"/>
  <c r="E32" i="8"/>
  <c r="E33" i="8"/>
  <c r="E34" i="8"/>
  <c r="E35" i="8"/>
  <c r="E36" i="8"/>
  <c r="I20" i="8"/>
  <c r="N45" i="8" s="1"/>
  <c r="I17" i="8"/>
  <c r="N43" i="8" s="1"/>
  <c r="AH28" i="48" l="1"/>
  <c r="P28" i="48"/>
  <c r="K41" i="48"/>
  <c r="AC25" i="48"/>
  <c r="AD25" i="48" s="1"/>
  <c r="AP25" i="48" s="1"/>
  <c r="S25" i="48" s="1"/>
  <c r="U25" i="48"/>
  <c r="T41" i="48"/>
  <c r="J43" i="48"/>
  <c r="L43" i="48" s="1"/>
  <c r="M42" i="48"/>
  <c r="K42" i="48" s="1"/>
  <c r="P40" i="45"/>
  <c r="AA43" i="53"/>
  <c r="S43" i="53" s="1"/>
  <c r="AB42" i="53"/>
  <c r="V42" i="53" s="1"/>
  <c r="X26" i="48"/>
  <c r="N26" i="48" s="1"/>
  <c r="AQ50" i="48"/>
  <c r="AR49" i="48"/>
  <c r="AE43" i="45"/>
  <c r="T43" i="45" s="1"/>
  <c r="AF41" i="45"/>
  <c r="R41" i="60" s="1"/>
  <c r="Y42" i="45"/>
  <c r="AK3" i="12"/>
  <c r="M10" i="36"/>
  <c r="K7" i="36"/>
  <c r="K8" i="36"/>
  <c r="K13" i="36"/>
  <c r="M16" i="36"/>
  <c r="K5" i="36"/>
  <c r="K10" i="36"/>
  <c r="K21" i="36" a="1"/>
  <c r="K21" i="36" s="1"/>
  <c r="K16" i="36"/>
  <c r="R16" i="36" s="1"/>
  <c r="K15" i="36"/>
  <c r="M6" i="36"/>
  <c r="R6" i="36" s="1"/>
  <c r="M8" i="36"/>
  <c r="P8" i="36" s="1"/>
  <c r="M15" i="36"/>
  <c r="M13" i="36"/>
  <c r="R13" i="36" s="1"/>
  <c r="M11" i="36"/>
  <c r="R11" i="36" s="1"/>
  <c r="L17" i="36"/>
  <c r="P16" i="36"/>
  <c r="N2" i="36"/>
  <c r="O2" i="36" s="1"/>
  <c r="Q17" i="36"/>
  <c r="P10" i="36"/>
  <c r="R10" i="36"/>
  <c r="M9" i="36"/>
  <c r="P9" i="36" s="1"/>
  <c r="M12" i="36"/>
  <c r="P12" i="36" s="1"/>
  <c r="M5" i="36"/>
  <c r="K14" i="36"/>
  <c r="M14" i="36"/>
  <c r="P14" i="36" s="1"/>
  <c r="N17" i="36"/>
  <c r="O17" i="36"/>
  <c r="M7" i="36"/>
  <c r="K9" i="36"/>
  <c r="M11" i="34"/>
  <c r="M13" i="34"/>
  <c r="R13" i="34" s="1"/>
  <c r="M8" i="34"/>
  <c r="P8" i="34" s="1"/>
  <c r="M10" i="34"/>
  <c r="R10" i="34" s="1"/>
  <c r="M12" i="34"/>
  <c r="P12" i="34" s="1"/>
  <c r="M15" i="34"/>
  <c r="R15" i="34" s="1"/>
  <c r="M5" i="34"/>
  <c r="P5" i="34" s="1"/>
  <c r="M7" i="34"/>
  <c r="R7" i="34" s="1"/>
  <c r="M9" i="34"/>
  <c r="P9" i="34" s="1"/>
  <c r="M14" i="34"/>
  <c r="P14" i="34" s="1"/>
  <c r="M16" i="34"/>
  <c r="R16" i="34" s="1"/>
  <c r="P6" i="34"/>
  <c r="N17" i="34"/>
  <c r="O17" i="34"/>
  <c r="Q17" i="34"/>
  <c r="P11" i="34"/>
  <c r="R6" i="34"/>
  <c r="R11" i="34"/>
  <c r="R8" i="34"/>
  <c r="K17" i="34"/>
  <c r="R13" i="10"/>
  <c r="N2" i="34"/>
  <c r="O2" i="34" s="1"/>
  <c r="J20" i="34"/>
  <c r="L20" i="34"/>
  <c r="L17" i="34"/>
  <c r="M20" i="34"/>
  <c r="K21" i="34" a="1"/>
  <c r="K21" i="34" s="1"/>
  <c r="N2" i="10"/>
  <c r="O2" i="10" s="1"/>
  <c r="O17" i="10"/>
  <c r="N17" i="10"/>
  <c r="M6" i="10"/>
  <c r="P6" i="10" s="1"/>
  <c r="M5" i="10"/>
  <c r="P5" i="10" s="1"/>
  <c r="K21" i="10" a="1"/>
  <c r="K21" i="10" s="1"/>
  <c r="K22" i="10" s="1" a="1"/>
  <c r="K22" i="10" s="1"/>
  <c r="K23" i="10" s="1" a="1"/>
  <c r="K23" i="10" s="1"/>
  <c r="M9" i="10"/>
  <c r="P9" i="10" s="1"/>
  <c r="L17" i="10"/>
  <c r="P13" i="10"/>
  <c r="M8" i="10"/>
  <c r="P8" i="10" s="1"/>
  <c r="M12" i="10"/>
  <c r="P12" i="10" s="1"/>
  <c r="M15" i="10"/>
  <c r="P15" i="10" s="1"/>
  <c r="M11" i="10"/>
  <c r="P11" i="10" s="1"/>
  <c r="M16" i="10"/>
  <c r="P16" i="10" s="1"/>
  <c r="M7" i="10"/>
  <c r="P7" i="10" s="1"/>
  <c r="M14" i="10"/>
  <c r="P14" i="10" s="1"/>
  <c r="M10" i="10"/>
  <c r="P10" i="10" s="1"/>
  <c r="AK4" i="21"/>
  <c r="AM3" i="12"/>
  <c r="AO3" i="12" s="1"/>
  <c r="AK3" i="21"/>
  <c r="AM3" i="21"/>
  <c r="AN3" i="21" s="1"/>
  <c r="AK301" i="21"/>
  <c r="AK15" i="21"/>
  <c r="AK26" i="21"/>
  <c r="AK35" i="21"/>
  <c r="AK58" i="21"/>
  <c r="AK67" i="21"/>
  <c r="AK102" i="21"/>
  <c r="AK115" i="21"/>
  <c r="AK166" i="21"/>
  <c r="AK257" i="21"/>
  <c r="AK10" i="21"/>
  <c r="AK25" i="21"/>
  <c r="AK57" i="21"/>
  <c r="AK77" i="21"/>
  <c r="AK99" i="21"/>
  <c r="AK163" i="21"/>
  <c r="AK198" i="21"/>
  <c r="AK241" i="21"/>
  <c r="AK262" i="21"/>
  <c r="AK39" i="21"/>
  <c r="AK42" i="21"/>
  <c r="AK51" i="21"/>
  <c r="AK71" i="21"/>
  <c r="AK74" i="21"/>
  <c r="AK83" i="21"/>
  <c r="AK121" i="21"/>
  <c r="AK134" i="21"/>
  <c r="AK147" i="21"/>
  <c r="AK185" i="21"/>
  <c r="AK203" i="21"/>
  <c r="AK225" i="21"/>
  <c r="AK246" i="21"/>
  <c r="AK267" i="21"/>
  <c r="AK298" i="21"/>
  <c r="AK14" i="21"/>
  <c r="AK16" i="21"/>
  <c r="AK55" i="21"/>
  <c r="AK89" i="21"/>
  <c r="AK153" i="21"/>
  <c r="AK179" i="21"/>
  <c r="AK214" i="21"/>
  <c r="AK235" i="21"/>
  <c r="AK282" i="21"/>
  <c r="AK22" i="21"/>
  <c r="AK45" i="21"/>
  <c r="AK54" i="21"/>
  <c r="AK86" i="21"/>
  <c r="AK137" i="21"/>
  <c r="AK150" i="21"/>
  <c r="AK219" i="21"/>
  <c r="AK290" i="21"/>
  <c r="AK5" i="21"/>
  <c r="AK29" i="21"/>
  <c r="AK38" i="21"/>
  <c r="AK41" i="21"/>
  <c r="AK61" i="21"/>
  <c r="AK70" i="21"/>
  <c r="AK73" i="21"/>
  <c r="AK105" i="21"/>
  <c r="AK118" i="21"/>
  <c r="AK131" i="21"/>
  <c r="AK169" i="21"/>
  <c r="AK182" i="21"/>
  <c r="AK209" i="21"/>
  <c r="AK230" i="21"/>
  <c r="AK251" i="21"/>
  <c r="AK274" i="21"/>
  <c r="AK53" i="21"/>
  <c r="AK63" i="21"/>
  <c r="AK66" i="21"/>
  <c r="AK69" i="21"/>
  <c r="AK79" i="21"/>
  <c r="AK82" i="21"/>
  <c r="AK85" i="21"/>
  <c r="AK95" i="21"/>
  <c r="AK98" i="21"/>
  <c r="AK101" i="21"/>
  <c r="AK111" i="21"/>
  <c r="AK114" i="21"/>
  <c r="AK117" i="21"/>
  <c r="AK127" i="21"/>
  <c r="AK130" i="21"/>
  <c r="AK133" i="21"/>
  <c r="AK143" i="21"/>
  <c r="AK146" i="21"/>
  <c r="AK149" i="21"/>
  <c r="AK159" i="21"/>
  <c r="AK162" i="21"/>
  <c r="AK165" i="21"/>
  <c r="AK175" i="21"/>
  <c r="AK178" i="21"/>
  <c r="AK181" i="21"/>
  <c r="AK191" i="21"/>
  <c r="AK194" i="21"/>
  <c r="AK199" i="21"/>
  <c r="AK205" i="21"/>
  <c r="AK210" i="21"/>
  <c r="AK215" i="21"/>
  <c r="AK221" i="21"/>
  <c r="AK226" i="21"/>
  <c r="AK231" i="21"/>
  <c r="AK237" i="21"/>
  <c r="AK242" i="21"/>
  <c r="AK247" i="21"/>
  <c r="AK253" i="21"/>
  <c r="AK258" i="21"/>
  <c r="AK263" i="21"/>
  <c r="AK269" i="21"/>
  <c r="AK277" i="21"/>
  <c r="AK285" i="21"/>
  <c r="AK293" i="21"/>
  <c r="AK300" i="21"/>
  <c r="AK296" i="21"/>
  <c r="AK292" i="21"/>
  <c r="AK288" i="21"/>
  <c r="AK284" i="21"/>
  <c r="AK280" i="21"/>
  <c r="AK276" i="21"/>
  <c r="AK272" i="21"/>
  <c r="AK268" i="21"/>
  <c r="AK264" i="21"/>
  <c r="AK260" i="21"/>
  <c r="AK256" i="21"/>
  <c r="AK252" i="21"/>
  <c r="AK248" i="21"/>
  <c r="AK244" i="21"/>
  <c r="AK240" i="21"/>
  <c r="AK236" i="21"/>
  <c r="AK232" i="21"/>
  <c r="AK228" i="21"/>
  <c r="AK224" i="21"/>
  <c r="AK220" i="21"/>
  <c r="AK216" i="21"/>
  <c r="AK212" i="21"/>
  <c r="AK208" i="21"/>
  <c r="AK204" i="21"/>
  <c r="AK200" i="21"/>
  <c r="AK196" i="21"/>
  <c r="AK192" i="21"/>
  <c r="AK188" i="21"/>
  <c r="AK184" i="21"/>
  <c r="AK180" i="21"/>
  <c r="AK176" i="21"/>
  <c r="AK172" i="21"/>
  <c r="AK168" i="21"/>
  <c r="AK164" i="21"/>
  <c r="AK160" i="21"/>
  <c r="AK156" i="21"/>
  <c r="AK152" i="21"/>
  <c r="AK148" i="21"/>
  <c r="AK144" i="21"/>
  <c r="AK140" i="21"/>
  <c r="AK136" i="21"/>
  <c r="AK132" i="21"/>
  <c r="AK128" i="21"/>
  <c r="AK124" i="21"/>
  <c r="AK120" i="21"/>
  <c r="AK116" i="21"/>
  <c r="AK112" i="21"/>
  <c r="AK108" i="21"/>
  <c r="AK104" i="21"/>
  <c r="AK100" i="21"/>
  <c r="AK96" i="21"/>
  <c r="AK92" i="21"/>
  <c r="AK88" i="21"/>
  <c r="AK84" i="21"/>
  <c r="AK80" i="21"/>
  <c r="AK76" i="21"/>
  <c r="AK72" i="21"/>
  <c r="AK68" i="21"/>
  <c r="AK64" i="21"/>
  <c r="AK60" i="21"/>
  <c r="AK56" i="21"/>
  <c r="AK52" i="21"/>
  <c r="AK48" i="21"/>
  <c r="AK44" i="21"/>
  <c r="AK40" i="21"/>
  <c r="AK36" i="21"/>
  <c r="AK32" i="21"/>
  <c r="AK28" i="21"/>
  <c r="AK24" i="21"/>
  <c r="AK23" i="21"/>
  <c r="AK18" i="21"/>
  <c r="AK17" i="21"/>
  <c r="AK12" i="21"/>
  <c r="AK9" i="21"/>
  <c r="AK7" i="21"/>
  <c r="AK299" i="21"/>
  <c r="AK295" i="21"/>
  <c r="AK291" i="21"/>
  <c r="AK287" i="21"/>
  <c r="AK283" i="21"/>
  <c r="AK279" i="21"/>
  <c r="AK275" i="21"/>
  <c r="AK271" i="21"/>
  <c r="AJ3" i="21"/>
  <c r="AK6" i="21"/>
  <c r="AK8" i="21"/>
  <c r="AK11" i="21"/>
  <c r="AK20" i="21"/>
  <c r="AK21" i="21"/>
  <c r="AK31" i="21"/>
  <c r="AK34" i="21"/>
  <c r="AK37" i="21"/>
  <c r="AK47" i="21"/>
  <c r="AK50" i="21"/>
  <c r="AK13" i="21"/>
  <c r="AK19" i="21"/>
  <c r="AK27" i="21"/>
  <c r="AK30" i="21"/>
  <c r="AK33" i="21"/>
  <c r="AK43" i="21"/>
  <c r="AK46" i="21"/>
  <c r="AK49" i="21"/>
  <c r="AK59" i="21"/>
  <c r="AK62" i="21"/>
  <c r="AK65" i="21"/>
  <c r="AK75" i="21"/>
  <c r="AK78" i="21"/>
  <c r="AK81" i="21"/>
  <c r="AK91" i="21"/>
  <c r="AK94" i="21"/>
  <c r="AK97" i="21"/>
  <c r="AK107" i="21"/>
  <c r="AK110" i="21"/>
  <c r="AK113" i="21"/>
  <c r="AK123" i="21"/>
  <c r="AK126" i="21"/>
  <c r="AK129" i="21"/>
  <c r="AK139" i="21"/>
  <c r="AK142" i="21"/>
  <c r="AK145" i="21"/>
  <c r="AK155" i="21"/>
  <c r="AK158" i="21"/>
  <c r="AK161" i="21"/>
  <c r="AK171" i="21"/>
  <c r="AK174" i="21"/>
  <c r="AK177" i="21"/>
  <c r="AK187" i="21"/>
  <c r="AK190" i="21"/>
  <c r="AK193" i="21"/>
  <c r="AK195" i="21"/>
  <c r="AK201" i="21"/>
  <c r="AK206" i="21"/>
  <c r="AK211" i="21"/>
  <c r="AK217" i="21"/>
  <c r="AK222" i="21"/>
  <c r="AK227" i="21"/>
  <c r="AK233" i="21"/>
  <c r="AK238" i="21"/>
  <c r="AK243" i="21"/>
  <c r="AK249" i="21"/>
  <c r="AK254" i="21"/>
  <c r="AK259" i="21"/>
  <c r="AK265" i="21"/>
  <c r="AK270" i="21"/>
  <c r="AK278" i="21"/>
  <c r="AK286" i="21"/>
  <c r="AK294" i="21"/>
  <c r="AK302" i="21"/>
  <c r="AK87" i="21"/>
  <c r="AK90" i="21"/>
  <c r="AK93" i="21"/>
  <c r="AK103" i="21"/>
  <c r="AK106" i="21"/>
  <c r="AK109" i="21"/>
  <c r="AK119" i="21"/>
  <c r="AK122" i="21"/>
  <c r="AK125" i="21"/>
  <c r="AK135" i="21"/>
  <c r="AK138" i="21"/>
  <c r="AK141" i="21"/>
  <c r="AK151" i="21"/>
  <c r="AK154" i="21"/>
  <c r="AK157" i="21"/>
  <c r="AK167" i="21"/>
  <c r="AK170" i="21"/>
  <c r="AK173" i="21"/>
  <c r="AK183" i="21"/>
  <c r="AK186" i="21"/>
  <c r="AK189" i="21"/>
  <c r="AK197" i="21"/>
  <c r="AK202" i="21"/>
  <c r="AK207" i="21"/>
  <c r="AK213" i="21"/>
  <c r="AK218" i="21"/>
  <c r="AK223" i="21"/>
  <c r="AK229" i="21"/>
  <c r="AK234" i="21"/>
  <c r="AK239" i="21"/>
  <c r="AK245" i="21"/>
  <c r="AK250" i="21"/>
  <c r="AK255" i="21"/>
  <c r="AK261" i="21"/>
  <c r="AK266" i="21"/>
  <c r="AK273" i="21"/>
  <c r="AK281" i="21"/>
  <c r="AK289" i="21"/>
  <c r="AK297" i="21"/>
  <c r="AH4" i="21"/>
  <c r="AI3" i="21" s="1"/>
  <c r="M5" i="21"/>
  <c r="M6" i="21" s="1"/>
  <c r="M7" i="21" s="1"/>
  <c r="K37" i="21"/>
  <c r="J37" i="21" s="1"/>
  <c r="K15" i="21"/>
  <c r="J15" i="21" s="1"/>
  <c r="J10" i="21"/>
  <c r="J13" i="21"/>
  <c r="K28" i="21"/>
  <c r="J16" i="21"/>
  <c r="K31" i="21"/>
  <c r="J19" i="21"/>
  <c r="J26" i="21"/>
  <c r="K38" i="21"/>
  <c r="N6" i="21"/>
  <c r="T6" i="21" s="1"/>
  <c r="J22" i="21"/>
  <c r="K34" i="21"/>
  <c r="B13" i="21"/>
  <c r="K60" i="21"/>
  <c r="J48" i="21"/>
  <c r="K29" i="21"/>
  <c r="K30" i="21"/>
  <c r="K49" i="21"/>
  <c r="J4" i="21"/>
  <c r="K27" i="21"/>
  <c r="J36" i="21"/>
  <c r="K32" i="21"/>
  <c r="J20" i="21"/>
  <c r="K23" i="21"/>
  <c r="K33" i="21"/>
  <c r="J6" i="21"/>
  <c r="J24" i="21"/>
  <c r="V15" i="8"/>
  <c r="N24" i="8"/>
  <c r="M10" i="8"/>
  <c r="N34" i="8"/>
  <c r="N9" i="8"/>
  <c r="N59" i="8"/>
  <c r="M59" i="8"/>
  <c r="M34" i="8"/>
  <c r="M30" i="8"/>
  <c r="M14" i="8"/>
  <c r="M49" i="8"/>
  <c r="M13" i="8"/>
  <c r="M9" i="8"/>
  <c r="N8" i="8"/>
  <c r="N52" i="8"/>
  <c r="M52" i="8"/>
  <c r="M12" i="8"/>
  <c r="M8" i="8"/>
  <c r="N38" i="8"/>
  <c r="N12" i="8"/>
  <c r="N63" i="8"/>
  <c r="N50" i="8"/>
  <c r="M62" i="8"/>
  <c r="M53" i="8"/>
  <c r="M37" i="8"/>
  <c r="N13" i="8"/>
  <c r="N37" i="8"/>
  <c r="N30" i="8"/>
  <c r="N10" i="8"/>
  <c r="N62" i="8"/>
  <c r="N54" i="8"/>
  <c r="J12" i="12"/>
  <c r="J8" i="12"/>
  <c r="J4" i="12"/>
  <c r="J14" i="12"/>
  <c r="C29" i="20"/>
  <c r="N28" i="20"/>
  <c r="R8" i="20" s="1"/>
  <c r="N19" i="20"/>
  <c r="R6" i="20" s="1"/>
  <c r="N56" i="20"/>
  <c r="R14" i="20" s="1"/>
  <c r="N52" i="20"/>
  <c r="R13" i="20" s="1"/>
  <c r="N48" i="20"/>
  <c r="R12" i="20" s="1"/>
  <c r="N44" i="20"/>
  <c r="R11" i="20" s="1"/>
  <c r="N24" i="20"/>
  <c r="R7" i="20" s="1"/>
  <c r="N11" i="20"/>
  <c r="R4" i="20" s="1"/>
  <c r="N7" i="20"/>
  <c r="R3" i="20" s="1"/>
  <c r="N36" i="20"/>
  <c r="R10" i="20" s="1"/>
  <c r="N32" i="20"/>
  <c r="R9" i="20" s="1"/>
  <c r="N15" i="20"/>
  <c r="R5" i="20" s="1"/>
  <c r="N3" i="20"/>
  <c r="J6" i="12"/>
  <c r="J10" i="12"/>
  <c r="J5" i="12"/>
  <c r="J9" i="12"/>
  <c r="J13" i="12"/>
  <c r="J3" i="12"/>
  <c r="K94" i="12"/>
  <c r="J82" i="12"/>
  <c r="K97" i="12"/>
  <c r="J85" i="12"/>
  <c r="K93" i="12"/>
  <c r="J81" i="12"/>
  <c r="K89" i="12"/>
  <c r="J77" i="12"/>
  <c r="K98" i="12"/>
  <c r="J86" i="12"/>
  <c r="J78" i="12"/>
  <c r="K90" i="12"/>
  <c r="J84" i="12"/>
  <c r="K96" i="12"/>
  <c r="K92" i="12"/>
  <c r="J80" i="12"/>
  <c r="J76" i="12"/>
  <c r="K88" i="12"/>
  <c r="K23" i="12"/>
  <c r="K35" i="12" s="1"/>
  <c r="K47" i="12" s="1"/>
  <c r="K59" i="12" s="1"/>
  <c r="K71" i="12" s="1"/>
  <c r="K83" i="12" s="1"/>
  <c r="K95" i="12" s="1"/>
  <c r="K19" i="12"/>
  <c r="K31" i="12" s="1"/>
  <c r="K43" i="12" s="1"/>
  <c r="K55" i="12" s="1"/>
  <c r="K67" i="12" s="1"/>
  <c r="K79" i="12" s="1"/>
  <c r="K91" i="12" s="1"/>
  <c r="K87" i="12"/>
  <c r="J75" i="12"/>
  <c r="AK258" i="12"/>
  <c r="AK190" i="12"/>
  <c r="AK174" i="12"/>
  <c r="AK158" i="12"/>
  <c r="AK142" i="12"/>
  <c r="AK126" i="12"/>
  <c r="AK110" i="12"/>
  <c r="AK94" i="12"/>
  <c r="AK78" i="12"/>
  <c r="AK62" i="12"/>
  <c r="AK46" i="12"/>
  <c r="AK30" i="12"/>
  <c r="AK14" i="12"/>
  <c r="AK298" i="12"/>
  <c r="AK282" i="12"/>
  <c r="AK266" i="12"/>
  <c r="AK186" i="12"/>
  <c r="AK170" i="12"/>
  <c r="AK154" i="12"/>
  <c r="AK138" i="12"/>
  <c r="AK122" i="12"/>
  <c r="AK106" i="12"/>
  <c r="AK90" i="12"/>
  <c r="AK74" i="12"/>
  <c r="AK58" i="12"/>
  <c r="AK42" i="12"/>
  <c r="AK26" i="12"/>
  <c r="AK10" i="12"/>
  <c r="AK294" i="12"/>
  <c r="AK278" i="12"/>
  <c r="AK262" i="12"/>
  <c r="AK182" i="12"/>
  <c r="AK166" i="12"/>
  <c r="AK150" i="12"/>
  <c r="AK134" i="12"/>
  <c r="AK118" i="12"/>
  <c r="AK102" i="12"/>
  <c r="AK86" i="12"/>
  <c r="AK70" i="12"/>
  <c r="AK54" i="12"/>
  <c r="AK38" i="12"/>
  <c r="AK22" i="12"/>
  <c r="AK6" i="12"/>
  <c r="AK290" i="12"/>
  <c r="AK274" i="12"/>
  <c r="AK196" i="12"/>
  <c r="AK200" i="12"/>
  <c r="AK204" i="12"/>
  <c r="AK208" i="12"/>
  <c r="AK212" i="12"/>
  <c r="AK216" i="12"/>
  <c r="AK220" i="12"/>
  <c r="AK224" i="12"/>
  <c r="AK228" i="12"/>
  <c r="AK232" i="12"/>
  <c r="AK236" i="12"/>
  <c r="AK240" i="12"/>
  <c r="AK244" i="12"/>
  <c r="AK248" i="12"/>
  <c r="AK252" i="12"/>
  <c r="AK256" i="12"/>
  <c r="AK260" i="12"/>
  <c r="AK264" i="12"/>
  <c r="AK268" i="12"/>
  <c r="AK272" i="12"/>
  <c r="AK276" i="12"/>
  <c r="AK280" i="12"/>
  <c r="AK284" i="12"/>
  <c r="AK288" i="12"/>
  <c r="AK292" i="12"/>
  <c r="AK296" i="12"/>
  <c r="AK300" i="12"/>
  <c r="AK4" i="12"/>
  <c r="AK8" i="12"/>
  <c r="AK12" i="12"/>
  <c r="AK16" i="12"/>
  <c r="AK20" i="12"/>
  <c r="AK24" i="12"/>
  <c r="AK28" i="12"/>
  <c r="AK32" i="12"/>
  <c r="AK36" i="12"/>
  <c r="AK40" i="12"/>
  <c r="AK44" i="12"/>
  <c r="AK48" i="12"/>
  <c r="AK52" i="12"/>
  <c r="AK56" i="12"/>
  <c r="AK60" i="12"/>
  <c r="AK64" i="12"/>
  <c r="AK68" i="12"/>
  <c r="AK72" i="12"/>
  <c r="AK76" i="12"/>
  <c r="AK80" i="12"/>
  <c r="AK84" i="12"/>
  <c r="AK88" i="12"/>
  <c r="AK92" i="12"/>
  <c r="AK96" i="12"/>
  <c r="AK100" i="12"/>
  <c r="AK104" i="12"/>
  <c r="AK108" i="12"/>
  <c r="AK112" i="12"/>
  <c r="AK116" i="12"/>
  <c r="AK120" i="12"/>
  <c r="AK124" i="12"/>
  <c r="AK128" i="12"/>
  <c r="AK132" i="12"/>
  <c r="AK136" i="12"/>
  <c r="AK140" i="12"/>
  <c r="AK144" i="12"/>
  <c r="AK148" i="12"/>
  <c r="AK152" i="12"/>
  <c r="AK156" i="12"/>
  <c r="AK160" i="12"/>
  <c r="AK164" i="12"/>
  <c r="AK168" i="12"/>
  <c r="AK172" i="12"/>
  <c r="AK176" i="12"/>
  <c r="AK180" i="12"/>
  <c r="AK184" i="12"/>
  <c r="AK188" i="12"/>
  <c r="AK192" i="12"/>
  <c r="AK185" i="12"/>
  <c r="AK194" i="12"/>
  <c r="AK202" i="12"/>
  <c r="AK206" i="12"/>
  <c r="AK210" i="12"/>
  <c r="AK218" i="12"/>
  <c r="AK226" i="12"/>
  <c r="AK234" i="12"/>
  <c r="AK242" i="12"/>
  <c r="AK197" i="12"/>
  <c r="AK201" i="12"/>
  <c r="AK205" i="12"/>
  <c r="AK209" i="12"/>
  <c r="AK213" i="12"/>
  <c r="AK217" i="12"/>
  <c r="AK221" i="12"/>
  <c r="AK225" i="12"/>
  <c r="AK229" i="12"/>
  <c r="AK233" i="12"/>
  <c r="AK237" i="12"/>
  <c r="AK241" i="12"/>
  <c r="AK245" i="12"/>
  <c r="AK249" i="12"/>
  <c r="AK253" i="12"/>
  <c r="AK257" i="12"/>
  <c r="AK261" i="12"/>
  <c r="AK265" i="12"/>
  <c r="AK269" i="12"/>
  <c r="AK273" i="12"/>
  <c r="AK277" i="12"/>
  <c r="AK281" i="12"/>
  <c r="AK285" i="12"/>
  <c r="AK289" i="12"/>
  <c r="AK293" i="12"/>
  <c r="AK297" i="12"/>
  <c r="AK301" i="12"/>
  <c r="AK5" i="12"/>
  <c r="AK9" i="12"/>
  <c r="AK13" i="12"/>
  <c r="AK17" i="12"/>
  <c r="AK21" i="12"/>
  <c r="AK25" i="12"/>
  <c r="AK29" i="12"/>
  <c r="AK33" i="12"/>
  <c r="AK37" i="12"/>
  <c r="AK41" i="12"/>
  <c r="AK45" i="12"/>
  <c r="AK49" i="12"/>
  <c r="AK53" i="12"/>
  <c r="AK57" i="12"/>
  <c r="AK61" i="12"/>
  <c r="AK65" i="12"/>
  <c r="AK69" i="12"/>
  <c r="AK73" i="12"/>
  <c r="AK77" i="12"/>
  <c r="AK81" i="12"/>
  <c r="AK85" i="12"/>
  <c r="AK89" i="12"/>
  <c r="AK93" i="12"/>
  <c r="AK97" i="12"/>
  <c r="AK101" i="12"/>
  <c r="AK105" i="12"/>
  <c r="AK109" i="12"/>
  <c r="AK113" i="12"/>
  <c r="AK117" i="12"/>
  <c r="AK121" i="12"/>
  <c r="AK125" i="12"/>
  <c r="AK129" i="12"/>
  <c r="AK133" i="12"/>
  <c r="AK137" i="12"/>
  <c r="AK141" i="12"/>
  <c r="AK145" i="12"/>
  <c r="AK149" i="12"/>
  <c r="AK153" i="12"/>
  <c r="AK157" i="12"/>
  <c r="AK161" i="12"/>
  <c r="AK165" i="12"/>
  <c r="AK169" i="12"/>
  <c r="AK173" i="12"/>
  <c r="AK177" i="12"/>
  <c r="AK181" i="12"/>
  <c r="AK189" i="12"/>
  <c r="AK198" i="12"/>
  <c r="AK214" i="12"/>
  <c r="AK222" i="12"/>
  <c r="AK230" i="12"/>
  <c r="AK238" i="12"/>
  <c r="AK246" i="12"/>
  <c r="AK254" i="12"/>
  <c r="AK195" i="12"/>
  <c r="AK199" i="12"/>
  <c r="AK203" i="12"/>
  <c r="AK207" i="12"/>
  <c r="AK211" i="12"/>
  <c r="AK215" i="12"/>
  <c r="AK219" i="12"/>
  <c r="AK223" i="12"/>
  <c r="AK227" i="12"/>
  <c r="AK231" i="12"/>
  <c r="AK235" i="12"/>
  <c r="AK239" i="12"/>
  <c r="AK243" i="12"/>
  <c r="AK247" i="12"/>
  <c r="AK251" i="12"/>
  <c r="AK255" i="12"/>
  <c r="AK259" i="12"/>
  <c r="AK263" i="12"/>
  <c r="AK267" i="12"/>
  <c r="AK271" i="12"/>
  <c r="AK275" i="12"/>
  <c r="AK279" i="12"/>
  <c r="AK283" i="12"/>
  <c r="AK287" i="12"/>
  <c r="AK291" i="12"/>
  <c r="AK295" i="12"/>
  <c r="AK299" i="12"/>
  <c r="AK7" i="12"/>
  <c r="AK11" i="12"/>
  <c r="AK15" i="12"/>
  <c r="AK19" i="12"/>
  <c r="AK23" i="12"/>
  <c r="AK27" i="12"/>
  <c r="AK31" i="12"/>
  <c r="AK35" i="12"/>
  <c r="AK39" i="12"/>
  <c r="AK43" i="12"/>
  <c r="AK47" i="12"/>
  <c r="AK51" i="12"/>
  <c r="AK55" i="12"/>
  <c r="AK59" i="12"/>
  <c r="AK63" i="12"/>
  <c r="AK67" i="12"/>
  <c r="AK71" i="12"/>
  <c r="AK75" i="12"/>
  <c r="AK79" i="12"/>
  <c r="AK83" i="12"/>
  <c r="AK87" i="12"/>
  <c r="AK91" i="12"/>
  <c r="AK95" i="12"/>
  <c r="AK99" i="12"/>
  <c r="AK103" i="12"/>
  <c r="AK107" i="12"/>
  <c r="AK111" i="12"/>
  <c r="AK115" i="12"/>
  <c r="AK119" i="12"/>
  <c r="AK123" i="12"/>
  <c r="AK127" i="12"/>
  <c r="AK131" i="12"/>
  <c r="AK135" i="12"/>
  <c r="AK139" i="12"/>
  <c r="AK143" i="12"/>
  <c r="AK147" i="12"/>
  <c r="AK151" i="12"/>
  <c r="AK155" i="12"/>
  <c r="AK159" i="12"/>
  <c r="AK163" i="12"/>
  <c r="AK167" i="12"/>
  <c r="AK171" i="12"/>
  <c r="AK175" i="12"/>
  <c r="AK179" i="12"/>
  <c r="AK183" i="12"/>
  <c r="AK187" i="12"/>
  <c r="AK191" i="12"/>
  <c r="AK193" i="12"/>
  <c r="AK178" i="12"/>
  <c r="AK162" i="12"/>
  <c r="AK146" i="12"/>
  <c r="AK130" i="12"/>
  <c r="AK114" i="12"/>
  <c r="AK98" i="12"/>
  <c r="AK82" i="12"/>
  <c r="AK66" i="12"/>
  <c r="AK50" i="12"/>
  <c r="AK34" i="12"/>
  <c r="AK18" i="12"/>
  <c r="AK302" i="12"/>
  <c r="AK286" i="12"/>
  <c r="AK270" i="12"/>
  <c r="AK250" i="12"/>
  <c r="AH4" i="12"/>
  <c r="J3" i="13"/>
  <c r="G4" i="13"/>
  <c r="H5" i="13"/>
  <c r="I4" i="13"/>
  <c r="H4" i="13"/>
  <c r="F5" i="15"/>
  <c r="E7" i="15"/>
  <c r="G11" i="15" s="1"/>
  <c r="I6" i="13"/>
  <c r="I5" i="13"/>
  <c r="AJ3" i="12"/>
  <c r="J32" i="12"/>
  <c r="J48" i="12"/>
  <c r="J44" i="12"/>
  <c r="J72" i="12"/>
  <c r="J56" i="12"/>
  <c r="J40" i="12"/>
  <c r="J24" i="12"/>
  <c r="J60" i="12"/>
  <c r="J28" i="12"/>
  <c r="J68" i="12"/>
  <c r="J52" i="12"/>
  <c r="J36" i="12"/>
  <c r="J20" i="12"/>
  <c r="J64" i="12"/>
  <c r="J16" i="12"/>
  <c r="J73" i="12"/>
  <c r="J69" i="12"/>
  <c r="J65" i="12"/>
  <c r="J61" i="12"/>
  <c r="J57" i="12"/>
  <c r="J53" i="12"/>
  <c r="J49" i="12"/>
  <c r="J45" i="12"/>
  <c r="J41" i="12"/>
  <c r="J37" i="12"/>
  <c r="J33" i="12"/>
  <c r="J29" i="12"/>
  <c r="J25" i="12"/>
  <c r="J21" i="12"/>
  <c r="J17" i="12"/>
  <c r="J63" i="12"/>
  <c r="J51" i="12"/>
  <c r="J39" i="12"/>
  <c r="J27" i="12"/>
  <c r="J15" i="12"/>
  <c r="J74" i="12"/>
  <c r="J70" i="12"/>
  <c r="J66" i="12"/>
  <c r="J62" i="12"/>
  <c r="J58" i="12"/>
  <c r="J54" i="12"/>
  <c r="J50" i="12"/>
  <c r="J46" i="12"/>
  <c r="J42" i="12"/>
  <c r="J38" i="12"/>
  <c r="J34" i="12"/>
  <c r="J30" i="12"/>
  <c r="J26" i="12"/>
  <c r="J22" i="12"/>
  <c r="J18" i="12"/>
  <c r="M4" i="12"/>
  <c r="Q28" i="48" l="1"/>
  <c r="AL28" i="48"/>
  <c r="AF29" i="48" s="1"/>
  <c r="AI28" i="48"/>
  <c r="T42" i="48"/>
  <c r="J44" i="48"/>
  <c r="L44" i="48" s="1"/>
  <c r="M43" i="48"/>
  <c r="K43" i="48" s="1"/>
  <c r="P41" i="45"/>
  <c r="AA44" i="53"/>
  <c r="S44" i="53" s="1"/>
  <c r="AB43" i="53"/>
  <c r="V43" i="53" s="1"/>
  <c r="Y26" i="48"/>
  <c r="O26" i="48" s="1"/>
  <c r="AO26" i="48"/>
  <c r="R26" i="48" s="1"/>
  <c r="AN26" i="48"/>
  <c r="AQ51" i="48"/>
  <c r="AR50" i="48"/>
  <c r="AE44" i="45"/>
  <c r="T44" i="45" s="1"/>
  <c r="AF42" i="45"/>
  <c r="R42" i="60" s="1"/>
  <c r="Y43" i="45"/>
  <c r="R15" i="36"/>
  <c r="P6" i="36"/>
  <c r="R8" i="36"/>
  <c r="P13" i="36"/>
  <c r="P15" i="36"/>
  <c r="K22" i="36" a="1"/>
  <c r="K22" i="36" s="1"/>
  <c r="P11" i="36"/>
  <c r="R9" i="36"/>
  <c r="R14" i="36"/>
  <c r="K17" i="36"/>
  <c r="P5" i="36"/>
  <c r="M17" i="36"/>
  <c r="R12" i="36"/>
  <c r="P7" i="36"/>
  <c r="R7" i="36"/>
  <c r="R5" i="36"/>
  <c r="P13" i="34"/>
  <c r="P15" i="34"/>
  <c r="R9" i="34"/>
  <c r="P10" i="34"/>
  <c r="R5" i="34"/>
  <c r="P7" i="34"/>
  <c r="R12" i="34"/>
  <c r="R14" i="34"/>
  <c r="M17" i="34"/>
  <c r="P16" i="34"/>
  <c r="R14" i="10"/>
  <c r="R6" i="10"/>
  <c r="R11" i="10"/>
  <c r="R8" i="10"/>
  <c r="R10" i="10"/>
  <c r="R9" i="10"/>
  <c r="R15" i="10"/>
  <c r="R16" i="10"/>
  <c r="R7" i="10"/>
  <c r="R12" i="10"/>
  <c r="R5" i="10"/>
  <c r="O20" i="34"/>
  <c r="N20" i="34"/>
  <c r="K22" i="34" a="1"/>
  <c r="K22" i="34" s="1"/>
  <c r="J21" i="34"/>
  <c r="M21" i="34"/>
  <c r="L21" i="34"/>
  <c r="P17" i="10"/>
  <c r="K24" i="10" a="1"/>
  <c r="K24" i="10" s="1"/>
  <c r="L24" i="10" s="1"/>
  <c r="M17" i="10"/>
  <c r="Q17" i="10"/>
  <c r="AO3" i="21"/>
  <c r="AQ3" i="21" s="1"/>
  <c r="AJ4" i="21" s="1"/>
  <c r="AM4" i="21" s="1"/>
  <c r="AH5" i="21"/>
  <c r="AH6" i="21" s="1"/>
  <c r="AH7" i="21" s="1"/>
  <c r="AH8" i="21" s="1"/>
  <c r="AH9" i="21" s="1"/>
  <c r="AH10" i="21" s="1"/>
  <c r="AH11" i="21" s="1"/>
  <c r="AH12" i="21" s="1"/>
  <c r="AH13" i="21" s="1"/>
  <c r="AH14" i="21" s="1"/>
  <c r="AH15" i="21" s="1"/>
  <c r="AH16" i="21" s="1"/>
  <c r="AH17" i="21" s="1"/>
  <c r="AH18" i="21" s="1"/>
  <c r="AH19" i="21" s="1"/>
  <c r="AH20" i="21" s="1"/>
  <c r="AH21" i="21" s="1"/>
  <c r="AH22" i="21" s="1"/>
  <c r="AH23" i="21" s="1"/>
  <c r="AH24" i="21" s="1"/>
  <c r="AH25" i="21" s="1"/>
  <c r="AH26" i="21" s="1"/>
  <c r="AH27" i="21" s="1"/>
  <c r="AH28" i="21" s="1"/>
  <c r="AH29" i="21" s="1"/>
  <c r="AH30" i="21" s="1"/>
  <c r="AH31" i="21" s="1"/>
  <c r="AH32" i="21" s="1"/>
  <c r="AH33" i="21" s="1"/>
  <c r="AH34" i="21" s="1"/>
  <c r="AH35" i="21" s="1"/>
  <c r="AH36" i="21" s="1"/>
  <c r="AH37" i="21" s="1"/>
  <c r="AH38" i="21" s="1"/>
  <c r="AH39" i="21" s="1"/>
  <c r="AH40" i="21" s="1"/>
  <c r="AH41" i="21" s="1"/>
  <c r="AH42" i="21" s="1"/>
  <c r="AH43" i="21" s="1"/>
  <c r="AH44" i="21" s="1"/>
  <c r="AH45" i="21" s="1"/>
  <c r="AH46" i="21" s="1"/>
  <c r="AH47" i="21" s="1"/>
  <c r="AH48" i="21" s="1"/>
  <c r="AH49" i="21" s="1"/>
  <c r="AH50" i="21" s="1"/>
  <c r="AH51" i="21" s="1"/>
  <c r="AH52" i="21" s="1"/>
  <c r="AH53" i="21" s="1"/>
  <c r="AH54" i="21" s="1"/>
  <c r="AH55" i="21" s="1"/>
  <c r="AH56" i="21" s="1"/>
  <c r="AH57" i="21" s="1"/>
  <c r="AH58" i="21" s="1"/>
  <c r="AH59" i="21" s="1"/>
  <c r="AH60" i="21" s="1"/>
  <c r="AH61" i="21" s="1"/>
  <c r="AH62" i="21" s="1"/>
  <c r="AH63" i="21" s="1"/>
  <c r="AH64" i="21" s="1"/>
  <c r="AH65" i="21" s="1"/>
  <c r="AH66" i="21" s="1"/>
  <c r="AH67" i="21" s="1"/>
  <c r="AH68" i="21" s="1"/>
  <c r="AH69" i="21" s="1"/>
  <c r="AH70" i="21" s="1"/>
  <c r="AH71" i="21" s="1"/>
  <c r="AH72" i="21" s="1"/>
  <c r="AH73" i="21" s="1"/>
  <c r="AH74" i="21" s="1"/>
  <c r="AH75" i="21" s="1"/>
  <c r="AH76" i="21" s="1"/>
  <c r="AH77" i="21" s="1"/>
  <c r="AH78" i="21" s="1"/>
  <c r="AH79" i="21" s="1"/>
  <c r="AH80" i="21" s="1"/>
  <c r="AH81" i="21" s="1"/>
  <c r="AH82" i="21" s="1"/>
  <c r="AH83" i="21" s="1"/>
  <c r="AH84" i="21" s="1"/>
  <c r="AH85" i="21" s="1"/>
  <c r="AH86" i="21" s="1"/>
  <c r="AH87" i="21" s="1"/>
  <c r="AH88" i="21" s="1"/>
  <c r="AH89" i="21" s="1"/>
  <c r="AH90" i="21" s="1"/>
  <c r="AH91" i="21" s="1"/>
  <c r="AH92" i="21" s="1"/>
  <c r="AH93" i="21" s="1"/>
  <c r="AH94" i="21" s="1"/>
  <c r="AH95" i="21" s="1"/>
  <c r="AH96" i="21" s="1"/>
  <c r="AH97" i="21" s="1"/>
  <c r="AH98" i="21" s="1"/>
  <c r="AH99" i="21" s="1"/>
  <c r="AH100" i="21" s="1"/>
  <c r="AH101" i="21" s="1"/>
  <c r="AH102" i="21" s="1"/>
  <c r="AH103" i="21" s="1"/>
  <c r="AH104" i="21" s="1"/>
  <c r="AH105" i="21" s="1"/>
  <c r="AH106" i="21" s="1"/>
  <c r="AH107" i="21" s="1"/>
  <c r="AH108" i="21" s="1"/>
  <c r="AH109" i="21" s="1"/>
  <c r="AH110" i="21" s="1"/>
  <c r="AH111" i="21" s="1"/>
  <c r="AH112" i="21" s="1"/>
  <c r="AH113" i="21" s="1"/>
  <c r="AH114" i="21" s="1"/>
  <c r="AH115" i="21" s="1"/>
  <c r="AH116" i="21" s="1"/>
  <c r="AH117" i="21" s="1"/>
  <c r="AH118" i="21" s="1"/>
  <c r="AH119" i="21" s="1"/>
  <c r="AH120" i="21" s="1"/>
  <c r="AH121" i="21" s="1"/>
  <c r="AH122" i="21" s="1"/>
  <c r="AH123" i="21" s="1"/>
  <c r="AH124" i="21" s="1"/>
  <c r="AH125" i="21" s="1"/>
  <c r="AH126" i="21" s="1"/>
  <c r="AH127" i="21" s="1"/>
  <c r="AH128" i="21" s="1"/>
  <c r="AH129" i="21" s="1"/>
  <c r="AH130" i="21" s="1"/>
  <c r="AH131" i="21" s="1"/>
  <c r="AH132" i="21" s="1"/>
  <c r="AH133" i="21" s="1"/>
  <c r="AH134" i="21" s="1"/>
  <c r="AH135" i="21" s="1"/>
  <c r="AH136" i="21" s="1"/>
  <c r="AH137" i="21" s="1"/>
  <c r="AH138" i="21" s="1"/>
  <c r="AH139" i="21" s="1"/>
  <c r="AH140" i="21" s="1"/>
  <c r="AH141" i="21" s="1"/>
  <c r="AH142" i="21" s="1"/>
  <c r="AH143" i="21" s="1"/>
  <c r="AH144" i="21" s="1"/>
  <c r="AH145" i="21" s="1"/>
  <c r="AH146" i="21" s="1"/>
  <c r="AH147" i="21" s="1"/>
  <c r="AH148" i="21" s="1"/>
  <c r="AH149" i="21" s="1"/>
  <c r="AH150" i="21" s="1"/>
  <c r="AH151" i="21" s="1"/>
  <c r="AH152" i="21" s="1"/>
  <c r="AH153" i="21" s="1"/>
  <c r="AH154" i="21" s="1"/>
  <c r="AH155" i="21" s="1"/>
  <c r="AH156" i="21" s="1"/>
  <c r="AH157" i="21" s="1"/>
  <c r="AH158" i="21" s="1"/>
  <c r="AH159" i="21" s="1"/>
  <c r="AH160" i="21" s="1"/>
  <c r="AH161" i="21" s="1"/>
  <c r="AH162" i="21" s="1"/>
  <c r="AH163" i="21" s="1"/>
  <c r="AH164" i="21" s="1"/>
  <c r="AH165" i="21" s="1"/>
  <c r="AH166" i="21" s="1"/>
  <c r="AH167" i="21" s="1"/>
  <c r="AH168" i="21" s="1"/>
  <c r="AH169" i="21" s="1"/>
  <c r="AH170" i="21" s="1"/>
  <c r="AH171" i="21" s="1"/>
  <c r="AH172" i="21" s="1"/>
  <c r="AH173" i="21" s="1"/>
  <c r="AH174" i="21" s="1"/>
  <c r="AH175" i="21" s="1"/>
  <c r="AH176" i="21" s="1"/>
  <c r="AH177" i="21" s="1"/>
  <c r="AH178" i="21" s="1"/>
  <c r="AH179" i="21" s="1"/>
  <c r="AH180" i="21" s="1"/>
  <c r="AH181" i="21" s="1"/>
  <c r="AH182" i="21" s="1"/>
  <c r="AH183" i="21" s="1"/>
  <c r="AH184" i="21" s="1"/>
  <c r="AH185" i="21" s="1"/>
  <c r="AH186" i="21" s="1"/>
  <c r="AH187" i="21" s="1"/>
  <c r="AH188" i="21" s="1"/>
  <c r="AH189" i="21" s="1"/>
  <c r="AH190" i="21" s="1"/>
  <c r="AH191" i="21" s="1"/>
  <c r="AH192" i="21" s="1"/>
  <c r="AH193" i="21" s="1"/>
  <c r="AH194" i="21" s="1"/>
  <c r="AH195" i="21" s="1"/>
  <c r="AH196" i="21" s="1"/>
  <c r="AH197" i="21" s="1"/>
  <c r="AH198" i="21" s="1"/>
  <c r="AH199" i="21" s="1"/>
  <c r="AH200" i="21" s="1"/>
  <c r="AH201" i="21" s="1"/>
  <c r="AH202" i="21" s="1"/>
  <c r="AH203" i="21" s="1"/>
  <c r="AH204" i="21" s="1"/>
  <c r="AH205" i="21" s="1"/>
  <c r="AH206" i="21" s="1"/>
  <c r="AH207" i="21" s="1"/>
  <c r="AH208" i="21" s="1"/>
  <c r="AH209" i="21" s="1"/>
  <c r="AH210" i="21" s="1"/>
  <c r="AH211" i="21" s="1"/>
  <c r="AH212" i="21" s="1"/>
  <c r="AH213" i="21" s="1"/>
  <c r="AH214" i="21" s="1"/>
  <c r="AH215" i="21" s="1"/>
  <c r="AH216" i="21" s="1"/>
  <c r="AH217" i="21" s="1"/>
  <c r="AH218" i="21" s="1"/>
  <c r="AH219" i="21" s="1"/>
  <c r="AH220" i="21" s="1"/>
  <c r="AH221" i="21" s="1"/>
  <c r="AH222" i="21" s="1"/>
  <c r="AH223" i="21" s="1"/>
  <c r="AH224" i="21" s="1"/>
  <c r="AH225" i="21" s="1"/>
  <c r="AH226" i="21" s="1"/>
  <c r="AH227" i="21" s="1"/>
  <c r="AH228" i="21" s="1"/>
  <c r="AH229" i="21" s="1"/>
  <c r="AH230" i="21" s="1"/>
  <c r="AH231" i="21" s="1"/>
  <c r="AH232" i="21" s="1"/>
  <c r="AH233" i="21" s="1"/>
  <c r="AH234" i="21" s="1"/>
  <c r="AH235" i="21" s="1"/>
  <c r="AH236" i="21" s="1"/>
  <c r="AH237" i="21" s="1"/>
  <c r="AH238" i="21" s="1"/>
  <c r="AH239" i="21" s="1"/>
  <c r="AH240" i="21" s="1"/>
  <c r="AH241" i="21" s="1"/>
  <c r="AH242" i="21" s="1"/>
  <c r="AH243" i="21" s="1"/>
  <c r="AH244" i="21" s="1"/>
  <c r="AH245" i="21" s="1"/>
  <c r="AH246" i="21" s="1"/>
  <c r="AH247" i="21" s="1"/>
  <c r="AH248" i="21" s="1"/>
  <c r="AH249" i="21" s="1"/>
  <c r="AH250" i="21" s="1"/>
  <c r="AH251" i="21" s="1"/>
  <c r="AH252" i="21" s="1"/>
  <c r="AH253" i="21" s="1"/>
  <c r="AH254" i="21" s="1"/>
  <c r="AH255" i="21" s="1"/>
  <c r="AH256" i="21" s="1"/>
  <c r="AH257" i="21" s="1"/>
  <c r="AH258" i="21" s="1"/>
  <c r="AH259" i="21" s="1"/>
  <c r="AH260" i="21" s="1"/>
  <c r="AH261" i="21" s="1"/>
  <c r="AH262" i="21" s="1"/>
  <c r="AH263" i="21" s="1"/>
  <c r="AH264" i="21" s="1"/>
  <c r="AH265" i="21" s="1"/>
  <c r="AH266" i="21" s="1"/>
  <c r="AH267" i="21" s="1"/>
  <c r="AH268" i="21" s="1"/>
  <c r="AH269" i="21" s="1"/>
  <c r="AH270" i="21" s="1"/>
  <c r="AH271" i="21" s="1"/>
  <c r="AH272" i="21" s="1"/>
  <c r="AH273" i="21" s="1"/>
  <c r="AH274" i="21" s="1"/>
  <c r="AH275" i="21" s="1"/>
  <c r="AH276" i="21" s="1"/>
  <c r="AH277" i="21" s="1"/>
  <c r="AH278" i="21" s="1"/>
  <c r="AH279" i="21" s="1"/>
  <c r="AH280" i="21" s="1"/>
  <c r="AH281" i="21" s="1"/>
  <c r="AH282" i="21" s="1"/>
  <c r="AH283" i="21" s="1"/>
  <c r="AH284" i="21" s="1"/>
  <c r="AH285" i="21" s="1"/>
  <c r="AH286" i="21" s="1"/>
  <c r="AH287" i="21" s="1"/>
  <c r="AH288" i="21" s="1"/>
  <c r="AH289" i="21" s="1"/>
  <c r="AH290" i="21" s="1"/>
  <c r="AH291" i="21" s="1"/>
  <c r="AH292" i="21" s="1"/>
  <c r="AH293" i="21" s="1"/>
  <c r="AH294" i="21" s="1"/>
  <c r="AH295" i="21" s="1"/>
  <c r="AH296" i="21" s="1"/>
  <c r="AH297" i="21" s="1"/>
  <c r="AH298" i="21" s="1"/>
  <c r="AH299" i="21" s="1"/>
  <c r="AH300" i="21" s="1"/>
  <c r="AH301" i="21" s="1"/>
  <c r="AH302" i="21" s="1"/>
  <c r="N5" i="21"/>
  <c r="T5" i="21" s="1"/>
  <c r="J30" i="21"/>
  <c r="K42" i="21"/>
  <c r="J33" i="21"/>
  <c r="K45" i="21"/>
  <c r="K39" i="21"/>
  <c r="J27" i="21"/>
  <c r="J29" i="21"/>
  <c r="K41" i="21"/>
  <c r="K50" i="21"/>
  <c r="J38" i="21"/>
  <c r="K43" i="21"/>
  <c r="J31" i="21"/>
  <c r="K44" i="21"/>
  <c r="J32" i="21"/>
  <c r="K35" i="21"/>
  <c r="J23" i="21"/>
  <c r="J49" i="21"/>
  <c r="K61" i="21"/>
  <c r="K72" i="21"/>
  <c r="J60" i="21"/>
  <c r="B14" i="21"/>
  <c r="K46" i="21"/>
  <c r="J34" i="21"/>
  <c r="N7" i="21"/>
  <c r="T7" i="21" s="1"/>
  <c r="M8" i="21"/>
  <c r="K40" i="21"/>
  <c r="J28" i="21"/>
  <c r="R15" i="20"/>
  <c r="J55" i="12"/>
  <c r="J59" i="12"/>
  <c r="J47" i="12"/>
  <c r="J71" i="12"/>
  <c r="J23" i="12"/>
  <c r="J35" i="12"/>
  <c r="J91" i="12"/>
  <c r="K103" i="12"/>
  <c r="J43" i="12"/>
  <c r="J95" i="12"/>
  <c r="K107" i="12"/>
  <c r="K104" i="12"/>
  <c r="J92" i="12"/>
  <c r="J89" i="12"/>
  <c r="K101" i="12"/>
  <c r="K109" i="12"/>
  <c r="J97" i="12"/>
  <c r="J79" i="12"/>
  <c r="J31" i="12"/>
  <c r="J88" i="12"/>
  <c r="K100" i="12"/>
  <c r="K108" i="12"/>
  <c r="J96" i="12"/>
  <c r="K102" i="12"/>
  <c r="J90" i="12"/>
  <c r="J19" i="12"/>
  <c r="J67" i="12"/>
  <c r="J83" i="12"/>
  <c r="K110" i="12"/>
  <c r="J98" i="12"/>
  <c r="J93" i="12"/>
  <c r="K105" i="12"/>
  <c r="K106" i="12"/>
  <c r="J94" i="12"/>
  <c r="J87" i="12"/>
  <c r="K99" i="12"/>
  <c r="AP3" i="12"/>
  <c r="AH5" i="12"/>
  <c r="AH6" i="12" s="1"/>
  <c r="AH7" i="12" s="1"/>
  <c r="AH8" i="12" s="1"/>
  <c r="AH9" i="12" s="1"/>
  <c r="AH10" i="12" s="1"/>
  <c r="AH11" i="12" s="1"/>
  <c r="AH12" i="12" s="1"/>
  <c r="AH13" i="12" s="1"/>
  <c r="AH14" i="12" s="1"/>
  <c r="AH15" i="12" s="1"/>
  <c r="AH16" i="12" s="1"/>
  <c r="AH17" i="12" s="1"/>
  <c r="AH18" i="12" s="1"/>
  <c r="AH19" i="12" s="1"/>
  <c r="AH20" i="12" s="1"/>
  <c r="AH21" i="12" s="1"/>
  <c r="AH22" i="12" s="1"/>
  <c r="AH23" i="12" s="1"/>
  <c r="AH24" i="12" s="1"/>
  <c r="AH25" i="12" s="1"/>
  <c r="AH26" i="12" s="1"/>
  <c r="AH27" i="12" s="1"/>
  <c r="AH28" i="12" s="1"/>
  <c r="AH29" i="12" s="1"/>
  <c r="AH30" i="12" s="1"/>
  <c r="AH31" i="12" s="1"/>
  <c r="AH32" i="12" s="1"/>
  <c r="AH33" i="12" s="1"/>
  <c r="AH34" i="12" s="1"/>
  <c r="AH35" i="12" s="1"/>
  <c r="AH36" i="12" s="1"/>
  <c r="AH37" i="12" s="1"/>
  <c r="AH38" i="12" s="1"/>
  <c r="AH39" i="12" s="1"/>
  <c r="AH40" i="12" s="1"/>
  <c r="AH41" i="12" s="1"/>
  <c r="AH42" i="12" s="1"/>
  <c r="AH43" i="12" s="1"/>
  <c r="AH44" i="12" s="1"/>
  <c r="AH45" i="12" s="1"/>
  <c r="AH46" i="12" s="1"/>
  <c r="AH47" i="12" s="1"/>
  <c r="AH48" i="12" s="1"/>
  <c r="AH49" i="12" s="1"/>
  <c r="AH50" i="12" s="1"/>
  <c r="AH51" i="12" s="1"/>
  <c r="AH52" i="12" s="1"/>
  <c r="AH53" i="12" s="1"/>
  <c r="AH54" i="12" s="1"/>
  <c r="AH55" i="12" s="1"/>
  <c r="AH56" i="12" s="1"/>
  <c r="AH57" i="12" s="1"/>
  <c r="AH58" i="12" s="1"/>
  <c r="AH59" i="12" s="1"/>
  <c r="AH60" i="12" s="1"/>
  <c r="AH61" i="12" s="1"/>
  <c r="AH62" i="12" s="1"/>
  <c r="AH63" i="12" s="1"/>
  <c r="AH64" i="12" s="1"/>
  <c r="AH65" i="12" s="1"/>
  <c r="AH66" i="12" s="1"/>
  <c r="AH67" i="12" s="1"/>
  <c r="AH68" i="12" s="1"/>
  <c r="AH69" i="12" s="1"/>
  <c r="AH70" i="12" s="1"/>
  <c r="AH71" i="12" s="1"/>
  <c r="AH72" i="12" s="1"/>
  <c r="AH73" i="12" s="1"/>
  <c r="AH74" i="12" s="1"/>
  <c r="AH75" i="12" s="1"/>
  <c r="AH76" i="12" s="1"/>
  <c r="AH77" i="12" s="1"/>
  <c r="AH78" i="12" s="1"/>
  <c r="AH79" i="12" s="1"/>
  <c r="AH80" i="12" s="1"/>
  <c r="AH81" i="12" s="1"/>
  <c r="AH82" i="12" s="1"/>
  <c r="AH83" i="12" s="1"/>
  <c r="AH84" i="12" s="1"/>
  <c r="AH85" i="12" s="1"/>
  <c r="AH86" i="12" s="1"/>
  <c r="AH87" i="12" s="1"/>
  <c r="AH88" i="12" s="1"/>
  <c r="AH89" i="12" s="1"/>
  <c r="AH90" i="12" s="1"/>
  <c r="AH91" i="12" s="1"/>
  <c r="AH92" i="12" s="1"/>
  <c r="AH93" i="12" s="1"/>
  <c r="AH94" i="12" s="1"/>
  <c r="AH95" i="12" s="1"/>
  <c r="AH96" i="12" s="1"/>
  <c r="AH97" i="12" s="1"/>
  <c r="AH98" i="12" s="1"/>
  <c r="AH99" i="12" s="1"/>
  <c r="AH100" i="12" s="1"/>
  <c r="AH101" i="12" s="1"/>
  <c r="AH102" i="12" s="1"/>
  <c r="AH103" i="12" s="1"/>
  <c r="AH104" i="12" s="1"/>
  <c r="AH105" i="12" s="1"/>
  <c r="AH106" i="12" s="1"/>
  <c r="AH107" i="12" s="1"/>
  <c r="AH108" i="12" s="1"/>
  <c r="AH109" i="12" s="1"/>
  <c r="AH110" i="12" s="1"/>
  <c r="AH111" i="12" s="1"/>
  <c r="AH112" i="12" s="1"/>
  <c r="AH113" i="12" s="1"/>
  <c r="AH114" i="12" s="1"/>
  <c r="AH115" i="12" s="1"/>
  <c r="AH116" i="12" s="1"/>
  <c r="AH117" i="12" s="1"/>
  <c r="AH118" i="12" s="1"/>
  <c r="AH119" i="12" s="1"/>
  <c r="AH120" i="12" s="1"/>
  <c r="AH121" i="12" s="1"/>
  <c r="AH122" i="12" s="1"/>
  <c r="AH123" i="12" s="1"/>
  <c r="AH124" i="12" s="1"/>
  <c r="AH125" i="12" s="1"/>
  <c r="AH126" i="12" s="1"/>
  <c r="AH127" i="12" s="1"/>
  <c r="AH128" i="12" s="1"/>
  <c r="AH129" i="12" s="1"/>
  <c r="AH130" i="12" s="1"/>
  <c r="AH131" i="12" s="1"/>
  <c r="AH132" i="12" s="1"/>
  <c r="AH133" i="12" s="1"/>
  <c r="AH134" i="12" s="1"/>
  <c r="AH135" i="12" s="1"/>
  <c r="AH136" i="12" s="1"/>
  <c r="AH137" i="12" s="1"/>
  <c r="AH138" i="12" s="1"/>
  <c r="AH139" i="12" s="1"/>
  <c r="AH140" i="12" s="1"/>
  <c r="AH141" i="12" s="1"/>
  <c r="AH142" i="12" s="1"/>
  <c r="AH143" i="12" s="1"/>
  <c r="AH144" i="12" s="1"/>
  <c r="AH145" i="12" s="1"/>
  <c r="AH146" i="12" s="1"/>
  <c r="AH147" i="12" s="1"/>
  <c r="AH148" i="12" s="1"/>
  <c r="AH149" i="12" s="1"/>
  <c r="AH150" i="12" s="1"/>
  <c r="AH151" i="12" s="1"/>
  <c r="AH152" i="12" s="1"/>
  <c r="AH153" i="12" s="1"/>
  <c r="AH154" i="12" s="1"/>
  <c r="AH155" i="12" s="1"/>
  <c r="AH156" i="12" s="1"/>
  <c r="AH157" i="12" s="1"/>
  <c r="AH158" i="12" s="1"/>
  <c r="AH159" i="12" s="1"/>
  <c r="AH160" i="12" s="1"/>
  <c r="AH161" i="12" s="1"/>
  <c r="AH162" i="12" s="1"/>
  <c r="AH163" i="12" s="1"/>
  <c r="AH164" i="12" s="1"/>
  <c r="AH165" i="12" s="1"/>
  <c r="AH166" i="12" s="1"/>
  <c r="AH167" i="12" s="1"/>
  <c r="AH168" i="12" s="1"/>
  <c r="AH169" i="12" s="1"/>
  <c r="AH170" i="12" s="1"/>
  <c r="AH171" i="12" s="1"/>
  <c r="AH172" i="12" s="1"/>
  <c r="AH173" i="12" s="1"/>
  <c r="AH174" i="12" s="1"/>
  <c r="AH175" i="12" s="1"/>
  <c r="AH176" i="12" s="1"/>
  <c r="AH177" i="12" s="1"/>
  <c r="AH178" i="12" s="1"/>
  <c r="AH179" i="12" s="1"/>
  <c r="AH180" i="12" s="1"/>
  <c r="AH181" i="12" s="1"/>
  <c r="AH182" i="12" s="1"/>
  <c r="AH183" i="12" s="1"/>
  <c r="AH184" i="12" s="1"/>
  <c r="AH185" i="12" s="1"/>
  <c r="AH186" i="12" s="1"/>
  <c r="AH187" i="12" s="1"/>
  <c r="AH188" i="12" s="1"/>
  <c r="AH189" i="12" s="1"/>
  <c r="AH190" i="12" s="1"/>
  <c r="AH191" i="12" s="1"/>
  <c r="AH192" i="12" s="1"/>
  <c r="AH193" i="12" s="1"/>
  <c r="AH194" i="12" s="1"/>
  <c r="AH195" i="12" s="1"/>
  <c r="AH196" i="12" s="1"/>
  <c r="AH197" i="12" s="1"/>
  <c r="AH198" i="12" s="1"/>
  <c r="AH199" i="12" s="1"/>
  <c r="AH200" i="12" s="1"/>
  <c r="AH201" i="12" s="1"/>
  <c r="AH202" i="12" s="1"/>
  <c r="AH203" i="12" s="1"/>
  <c r="AH204" i="12" s="1"/>
  <c r="AH205" i="12" s="1"/>
  <c r="AH206" i="12" s="1"/>
  <c r="AH207" i="12" s="1"/>
  <c r="AH208" i="12" s="1"/>
  <c r="AH209" i="12" s="1"/>
  <c r="AH210" i="12" s="1"/>
  <c r="AH211" i="12" s="1"/>
  <c r="AH212" i="12" s="1"/>
  <c r="AH213" i="12" s="1"/>
  <c r="AH214" i="12" s="1"/>
  <c r="AH215" i="12" s="1"/>
  <c r="AH216" i="12" s="1"/>
  <c r="AH217" i="12" s="1"/>
  <c r="AH218" i="12" s="1"/>
  <c r="AH219" i="12" s="1"/>
  <c r="AH220" i="12" s="1"/>
  <c r="AH221" i="12" s="1"/>
  <c r="AH222" i="12" s="1"/>
  <c r="AH223" i="12" s="1"/>
  <c r="AH224" i="12" s="1"/>
  <c r="AH225" i="12" s="1"/>
  <c r="AH226" i="12" s="1"/>
  <c r="AH227" i="12" s="1"/>
  <c r="AH228" i="12" s="1"/>
  <c r="AH229" i="12" s="1"/>
  <c r="AH230" i="12" s="1"/>
  <c r="AH231" i="12" s="1"/>
  <c r="AH232" i="12" s="1"/>
  <c r="AH233" i="12" s="1"/>
  <c r="AH234" i="12" s="1"/>
  <c r="AH235" i="12" s="1"/>
  <c r="AH236" i="12" s="1"/>
  <c r="AH237" i="12" s="1"/>
  <c r="AH238" i="12" s="1"/>
  <c r="AH239" i="12" s="1"/>
  <c r="AH240" i="12" s="1"/>
  <c r="AH241" i="12" s="1"/>
  <c r="AH242" i="12" s="1"/>
  <c r="AH243" i="12" s="1"/>
  <c r="AH244" i="12" s="1"/>
  <c r="AH245" i="12" s="1"/>
  <c r="AH246" i="12" s="1"/>
  <c r="AH247" i="12" s="1"/>
  <c r="AH248" i="12" s="1"/>
  <c r="AH249" i="12" s="1"/>
  <c r="AH250" i="12" s="1"/>
  <c r="AH251" i="12" s="1"/>
  <c r="AH252" i="12" s="1"/>
  <c r="AH253" i="12" s="1"/>
  <c r="AH254" i="12" s="1"/>
  <c r="AH255" i="12" s="1"/>
  <c r="AH256" i="12" s="1"/>
  <c r="AH257" i="12" s="1"/>
  <c r="AH258" i="12" s="1"/>
  <c r="AH259" i="12" s="1"/>
  <c r="AH260" i="12" s="1"/>
  <c r="AH261" i="12" s="1"/>
  <c r="AH262" i="12" s="1"/>
  <c r="AH263" i="12" s="1"/>
  <c r="AH264" i="12" s="1"/>
  <c r="AH265" i="12" s="1"/>
  <c r="AH266" i="12" s="1"/>
  <c r="AH267" i="12" s="1"/>
  <c r="AH268" i="12" s="1"/>
  <c r="AH269" i="12" s="1"/>
  <c r="AH270" i="12" s="1"/>
  <c r="AH271" i="12" s="1"/>
  <c r="AH272" i="12" s="1"/>
  <c r="AH273" i="12" s="1"/>
  <c r="AH274" i="12" s="1"/>
  <c r="AH275" i="12" s="1"/>
  <c r="AH276" i="12" s="1"/>
  <c r="AH277" i="12" s="1"/>
  <c r="AH278" i="12" s="1"/>
  <c r="AH279" i="12" s="1"/>
  <c r="AH280" i="12" s="1"/>
  <c r="AH281" i="12" s="1"/>
  <c r="AH282" i="12" s="1"/>
  <c r="AH283" i="12" s="1"/>
  <c r="AH284" i="12" s="1"/>
  <c r="AH285" i="12" s="1"/>
  <c r="AH286" i="12" s="1"/>
  <c r="AH287" i="12" s="1"/>
  <c r="AH288" i="12" s="1"/>
  <c r="AH289" i="12" s="1"/>
  <c r="AH290" i="12" s="1"/>
  <c r="AH291" i="12" s="1"/>
  <c r="AH292" i="12" s="1"/>
  <c r="AH293" i="12" s="1"/>
  <c r="AH294" i="12" s="1"/>
  <c r="AH295" i="12" s="1"/>
  <c r="AH296" i="12" s="1"/>
  <c r="AH297" i="12" s="1"/>
  <c r="AH298" i="12" s="1"/>
  <c r="AH299" i="12" s="1"/>
  <c r="AH300" i="12" s="1"/>
  <c r="AH301" i="12" s="1"/>
  <c r="AH302" i="12" s="1"/>
  <c r="AI3" i="12"/>
  <c r="AN3" i="12"/>
  <c r="J5" i="13"/>
  <c r="J4" i="13"/>
  <c r="G5" i="13"/>
  <c r="N4" i="12"/>
  <c r="T4" i="12" s="1"/>
  <c r="M5" i="12"/>
  <c r="AG29" i="48" l="1"/>
  <c r="AJ28" i="48"/>
  <c r="AK28" i="48" s="1"/>
  <c r="V28" i="48"/>
  <c r="T43" i="48"/>
  <c r="J45" i="48"/>
  <c r="L45" i="48" s="1"/>
  <c r="M44" i="48"/>
  <c r="K44" i="48" s="1"/>
  <c r="P42" i="45"/>
  <c r="AA45" i="53"/>
  <c r="S45" i="53" s="1"/>
  <c r="AB44" i="53"/>
  <c r="V44" i="53" s="1"/>
  <c r="AB26" i="48"/>
  <c r="AE26" i="48"/>
  <c r="W27" i="48" s="1"/>
  <c r="AQ52" i="48"/>
  <c r="AR51" i="48"/>
  <c r="AE45" i="45"/>
  <c r="T45" i="45" s="1"/>
  <c r="AF43" i="45"/>
  <c r="R43" i="60" s="1"/>
  <c r="Y44" i="45"/>
  <c r="K23" i="36" a="1"/>
  <c r="K23" i="36" s="1"/>
  <c r="R17" i="36"/>
  <c r="P17" i="36"/>
  <c r="R17" i="34"/>
  <c r="P17" i="34"/>
  <c r="R17" i="10"/>
  <c r="K23" i="34" a="1"/>
  <c r="K23" i="34" s="1"/>
  <c r="O21" i="34"/>
  <c r="N21" i="34"/>
  <c r="L22" i="34"/>
  <c r="M22" i="34"/>
  <c r="J22" i="34"/>
  <c r="K25" i="10" a="1"/>
  <c r="K25" i="10" s="1"/>
  <c r="AI4" i="21"/>
  <c r="AI5" i="21" s="1"/>
  <c r="AI6" i="21" s="1"/>
  <c r="AI7" i="21" s="1"/>
  <c r="AI8" i="21" s="1"/>
  <c r="AI9" i="21" s="1"/>
  <c r="AI10" i="21" s="1"/>
  <c r="AI11" i="21" s="1"/>
  <c r="AI12" i="21" s="1"/>
  <c r="AI13" i="21" s="1"/>
  <c r="AI14" i="21" s="1"/>
  <c r="AI15" i="21" s="1"/>
  <c r="AI16" i="21" s="1"/>
  <c r="AI17" i="21" s="1"/>
  <c r="AI18" i="21" s="1"/>
  <c r="AI19" i="21" s="1"/>
  <c r="AI20" i="21" s="1"/>
  <c r="AI21" i="21" s="1"/>
  <c r="AI22" i="21" s="1"/>
  <c r="AI23" i="21" s="1"/>
  <c r="AI24" i="21" s="1"/>
  <c r="AI25" i="21" s="1"/>
  <c r="AI26" i="21" s="1"/>
  <c r="AI27" i="21" s="1"/>
  <c r="AI28" i="21" s="1"/>
  <c r="AI29" i="21" s="1"/>
  <c r="AI30" i="21" s="1"/>
  <c r="AI31" i="21" s="1"/>
  <c r="AI32" i="21" s="1"/>
  <c r="AI33" i="21" s="1"/>
  <c r="AI34" i="21" s="1"/>
  <c r="AI35" i="21" s="1"/>
  <c r="AI36" i="21" s="1"/>
  <c r="AI37" i="21" s="1"/>
  <c r="AI38" i="21" s="1"/>
  <c r="AI39" i="21" s="1"/>
  <c r="AI40" i="21" s="1"/>
  <c r="AI41" i="21" s="1"/>
  <c r="AI42" i="21" s="1"/>
  <c r="AI43" i="21" s="1"/>
  <c r="AI44" i="21" s="1"/>
  <c r="AI45" i="21" s="1"/>
  <c r="AI46" i="21" s="1"/>
  <c r="AI47" i="21" s="1"/>
  <c r="AI48" i="21" s="1"/>
  <c r="AI49" i="21" s="1"/>
  <c r="AI50" i="21" s="1"/>
  <c r="AI51" i="21" s="1"/>
  <c r="AI52" i="21" s="1"/>
  <c r="AI53" i="21" s="1"/>
  <c r="AI54" i="21" s="1"/>
  <c r="AI55" i="21" s="1"/>
  <c r="AI56" i="21" s="1"/>
  <c r="AI57" i="21" s="1"/>
  <c r="AI58" i="21" s="1"/>
  <c r="AI59" i="21" s="1"/>
  <c r="AI60" i="21" s="1"/>
  <c r="AI61" i="21" s="1"/>
  <c r="AI62" i="21" s="1"/>
  <c r="AI63" i="21" s="1"/>
  <c r="AI64" i="21" s="1"/>
  <c r="AI65" i="21" s="1"/>
  <c r="AI66" i="21" s="1"/>
  <c r="AI67" i="21" s="1"/>
  <c r="AI68" i="21" s="1"/>
  <c r="AI69" i="21" s="1"/>
  <c r="AI70" i="21" s="1"/>
  <c r="AI71" i="21" s="1"/>
  <c r="AI72" i="21" s="1"/>
  <c r="AI73" i="21" s="1"/>
  <c r="AI74" i="21" s="1"/>
  <c r="AI75" i="21" s="1"/>
  <c r="AI76" i="21" s="1"/>
  <c r="AI77" i="21" s="1"/>
  <c r="AI78" i="21" s="1"/>
  <c r="AI79" i="21" s="1"/>
  <c r="AI80" i="21" s="1"/>
  <c r="AI81" i="21" s="1"/>
  <c r="AI82" i="21" s="1"/>
  <c r="AI83" i="21" s="1"/>
  <c r="AI84" i="21" s="1"/>
  <c r="AI85" i="21" s="1"/>
  <c r="AI86" i="21" s="1"/>
  <c r="AI87" i="21" s="1"/>
  <c r="AI88" i="21" s="1"/>
  <c r="AI89" i="21" s="1"/>
  <c r="AI90" i="21" s="1"/>
  <c r="AI91" i="21" s="1"/>
  <c r="AI92" i="21" s="1"/>
  <c r="AI93" i="21" s="1"/>
  <c r="AI94" i="21" s="1"/>
  <c r="AI95" i="21" s="1"/>
  <c r="AI96" i="21" s="1"/>
  <c r="AI97" i="21" s="1"/>
  <c r="AI98" i="21" s="1"/>
  <c r="AI99" i="21" s="1"/>
  <c r="AI100" i="21" s="1"/>
  <c r="AI101" i="21" s="1"/>
  <c r="AI102" i="21" s="1"/>
  <c r="AI103" i="21" s="1"/>
  <c r="AI104" i="21" s="1"/>
  <c r="AI105" i="21" s="1"/>
  <c r="AI106" i="21" s="1"/>
  <c r="AI107" i="21" s="1"/>
  <c r="AI108" i="21" s="1"/>
  <c r="AI109" i="21" s="1"/>
  <c r="AI110" i="21" s="1"/>
  <c r="AI111" i="21" s="1"/>
  <c r="AI112" i="21" s="1"/>
  <c r="AI113" i="21" s="1"/>
  <c r="AI114" i="21" s="1"/>
  <c r="AI115" i="21" s="1"/>
  <c r="AI116" i="21" s="1"/>
  <c r="AI117" i="21" s="1"/>
  <c r="AI118" i="21" s="1"/>
  <c r="AI119" i="21" s="1"/>
  <c r="AI120" i="21" s="1"/>
  <c r="AI121" i="21" s="1"/>
  <c r="AI122" i="21" s="1"/>
  <c r="AI123" i="21" s="1"/>
  <c r="AI124" i="21" s="1"/>
  <c r="AI125" i="21" s="1"/>
  <c r="AI126" i="21" s="1"/>
  <c r="AI127" i="21" s="1"/>
  <c r="AI128" i="21" s="1"/>
  <c r="AI129" i="21" s="1"/>
  <c r="AI130" i="21" s="1"/>
  <c r="AI131" i="21" s="1"/>
  <c r="AI132" i="21" s="1"/>
  <c r="AI133" i="21" s="1"/>
  <c r="AI134" i="21" s="1"/>
  <c r="AI135" i="21" s="1"/>
  <c r="AI136" i="21" s="1"/>
  <c r="AI137" i="21" s="1"/>
  <c r="AI138" i="21" s="1"/>
  <c r="AI139" i="21" s="1"/>
  <c r="AI140" i="21" s="1"/>
  <c r="AI141" i="21" s="1"/>
  <c r="AI142" i="21" s="1"/>
  <c r="AI143" i="21" s="1"/>
  <c r="AI144" i="21" s="1"/>
  <c r="AI145" i="21" s="1"/>
  <c r="AI146" i="21" s="1"/>
  <c r="AI147" i="21" s="1"/>
  <c r="AI148" i="21" s="1"/>
  <c r="AI149" i="21" s="1"/>
  <c r="AI150" i="21" s="1"/>
  <c r="AI151" i="21" s="1"/>
  <c r="AI152" i="21" s="1"/>
  <c r="AI153" i="21" s="1"/>
  <c r="AI154" i="21" s="1"/>
  <c r="AI155" i="21" s="1"/>
  <c r="AI156" i="21" s="1"/>
  <c r="AI157" i="21" s="1"/>
  <c r="AI158" i="21" s="1"/>
  <c r="AI159" i="21" s="1"/>
  <c r="AI160" i="21" s="1"/>
  <c r="AI161" i="21" s="1"/>
  <c r="AI162" i="21" s="1"/>
  <c r="AI163" i="21" s="1"/>
  <c r="AI164" i="21" s="1"/>
  <c r="AI165" i="21" s="1"/>
  <c r="AI166" i="21" s="1"/>
  <c r="AI167" i="21" s="1"/>
  <c r="AI168" i="21" s="1"/>
  <c r="AI169" i="21" s="1"/>
  <c r="AI170" i="21" s="1"/>
  <c r="AI171" i="21" s="1"/>
  <c r="AI172" i="21" s="1"/>
  <c r="AI173" i="21" s="1"/>
  <c r="AI174" i="21" s="1"/>
  <c r="AI175" i="21" s="1"/>
  <c r="AI176" i="21" s="1"/>
  <c r="AI177" i="21" s="1"/>
  <c r="AI178" i="21" s="1"/>
  <c r="AI179" i="21" s="1"/>
  <c r="AI180" i="21" s="1"/>
  <c r="AI181" i="21" s="1"/>
  <c r="AI182" i="21" s="1"/>
  <c r="AI183" i="21" s="1"/>
  <c r="AI184" i="21" s="1"/>
  <c r="AI185" i="21" s="1"/>
  <c r="AI186" i="21" s="1"/>
  <c r="AI187" i="21" s="1"/>
  <c r="AI188" i="21" s="1"/>
  <c r="AI189" i="21" s="1"/>
  <c r="AI190" i="21" s="1"/>
  <c r="AI191" i="21" s="1"/>
  <c r="AI192" i="21" s="1"/>
  <c r="AI193" i="21" s="1"/>
  <c r="AI194" i="21" s="1"/>
  <c r="AI195" i="21" s="1"/>
  <c r="AI196" i="21" s="1"/>
  <c r="AI197" i="21" s="1"/>
  <c r="AI198" i="21" s="1"/>
  <c r="AI199" i="21" s="1"/>
  <c r="AI200" i="21" s="1"/>
  <c r="AI201" i="21" s="1"/>
  <c r="AI202" i="21" s="1"/>
  <c r="AI203" i="21" s="1"/>
  <c r="AI204" i="21" s="1"/>
  <c r="AI205" i="21" s="1"/>
  <c r="AI206" i="21" s="1"/>
  <c r="AI207" i="21" s="1"/>
  <c r="AI208" i="21" s="1"/>
  <c r="AI209" i="21" s="1"/>
  <c r="AI210" i="21" s="1"/>
  <c r="AI211" i="21" s="1"/>
  <c r="AI212" i="21" s="1"/>
  <c r="AI213" i="21" s="1"/>
  <c r="AI214" i="21" s="1"/>
  <c r="AI215" i="21" s="1"/>
  <c r="AI216" i="21" s="1"/>
  <c r="AI217" i="21" s="1"/>
  <c r="AI218" i="21" s="1"/>
  <c r="AI219" i="21" s="1"/>
  <c r="AI220" i="21" s="1"/>
  <c r="AI221" i="21" s="1"/>
  <c r="AI222" i="21" s="1"/>
  <c r="AI223" i="21" s="1"/>
  <c r="AI224" i="21" s="1"/>
  <c r="AI225" i="21" s="1"/>
  <c r="AI226" i="21" s="1"/>
  <c r="AI227" i="21" s="1"/>
  <c r="AI228" i="21" s="1"/>
  <c r="AI229" i="21" s="1"/>
  <c r="AI230" i="21" s="1"/>
  <c r="AI231" i="21" s="1"/>
  <c r="AI232" i="21" s="1"/>
  <c r="AI233" i="21" s="1"/>
  <c r="AI234" i="21" s="1"/>
  <c r="AI235" i="21" s="1"/>
  <c r="AI236" i="21" s="1"/>
  <c r="AI237" i="21" s="1"/>
  <c r="AI238" i="21" s="1"/>
  <c r="AI239" i="21" s="1"/>
  <c r="AI240" i="21" s="1"/>
  <c r="AI241" i="21" s="1"/>
  <c r="AI242" i="21" s="1"/>
  <c r="AI243" i="21" s="1"/>
  <c r="AI244" i="21" s="1"/>
  <c r="AI245" i="21" s="1"/>
  <c r="AI246" i="21" s="1"/>
  <c r="AI247" i="21" s="1"/>
  <c r="AI248" i="21" s="1"/>
  <c r="AI249" i="21" s="1"/>
  <c r="AI250" i="21" s="1"/>
  <c r="AI251" i="21" s="1"/>
  <c r="AI252" i="21" s="1"/>
  <c r="AI253" i="21" s="1"/>
  <c r="AI254" i="21" s="1"/>
  <c r="AI255" i="21" s="1"/>
  <c r="AI256" i="21" s="1"/>
  <c r="AI257" i="21" s="1"/>
  <c r="AI258" i="21" s="1"/>
  <c r="AI259" i="21" s="1"/>
  <c r="AI260" i="21" s="1"/>
  <c r="AI261" i="21" s="1"/>
  <c r="AI262" i="21" s="1"/>
  <c r="AI263" i="21" s="1"/>
  <c r="AI264" i="21" s="1"/>
  <c r="AI265" i="21" s="1"/>
  <c r="AI266" i="21" s="1"/>
  <c r="AI267" i="21" s="1"/>
  <c r="AI268" i="21" s="1"/>
  <c r="AI269" i="21" s="1"/>
  <c r="AI270" i="21" s="1"/>
  <c r="AI271" i="21" s="1"/>
  <c r="AI272" i="21" s="1"/>
  <c r="AI273" i="21" s="1"/>
  <c r="AI274" i="21" s="1"/>
  <c r="AI275" i="21" s="1"/>
  <c r="AI276" i="21" s="1"/>
  <c r="AI277" i="21" s="1"/>
  <c r="AI278" i="21" s="1"/>
  <c r="AI279" i="21" s="1"/>
  <c r="AI280" i="21" s="1"/>
  <c r="AI281" i="21" s="1"/>
  <c r="AI282" i="21" s="1"/>
  <c r="AI283" i="21" s="1"/>
  <c r="AI284" i="21" s="1"/>
  <c r="AI285" i="21" s="1"/>
  <c r="AI286" i="21" s="1"/>
  <c r="AI287" i="21" s="1"/>
  <c r="AI288" i="21" s="1"/>
  <c r="AI289" i="21" s="1"/>
  <c r="AI290" i="21" s="1"/>
  <c r="AI291" i="21" s="1"/>
  <c r="AI292" i="21" s="1"/>
  <c r="AI293" i="21" s="1"/>
  <c r="AI294" i="21" s="1"/>
  <c r="AI295" i="21" s="1"/>
  <c r="AI296" i="21" s="1"/>
  <c r="AI297" i="21" s="1"/>
  <c r="AI298" i="21" s="1"/>
  <c r="AI299" i="21" s="1"/>
  <c r="AI300" i="21" s="1"/>
  <c r="AI301" i="21" s="1"/>
  <c r="AI302" i="21" s="1"/>
  <c r="AP3" i="21"/>
  <c r="U20" i="21"/>
  <c r="U19" i="21"/>
  <c r="U16" i="21"/>
  <c r="U10" i="21"/>
  <c r="U7" i="21"/>
  <c r="U6" i="21"/>
  <c r="W6" i="21" s="1"/>
  <c r="U3" i="21"/>
  <c r="W3" i="21" s="1"/>
  <c r="U18" i="21"/>
  <c r="U15" i="21"/>
  <c r="U13" i="21"/>
  <c r="U11" i="21"/>
  <c r="U8" i="21"/>
  <c r="U4" i="21"/>
  <c r="W4" i="21" s="1"/>
  <c r="U194" i="21"/>
  <c r="U193" i="21"/>
  <c r="U192" i="21"/>
  <c r="U191" i="21"/>
  <c r="U190" i="21"/>
  <c r="U189" i="21"/>
  <c r="U188" i="21"/>
  <c r="U187" i="21"/>
  <c r="U186" i="21"/>
  <c r="U185" i="21"/>
  <c r="U184" i="21"/>
  <c r="U183" i="21"/>
  <c r="U182" i="21"/>
  <c r="U181" i="21"/>
  <c r="U180" i="21"/>
  <c r="U179" i="21"/>
  <c r="U178" i="21"/>
  <c r="U177" i="21"/>
  <c r="U176" i="21"/>
  <c r="U175" i="21"/>
  <c r="U174" i="21"/>
  <c r="U173" i="21"/>
  <c r="U172" i="21"/>
  <c r="U171" i="21"/>
  <c r="U170" i="21"/>
  <c r="U169" i="21"/>
  <c r="U168" i="21"/>
  <c r="U167" i="21"/>
  <c r="U166" i="21"/>
  <c r="U165" i="21"/>
  <c r="U164" i="21"/>
  <c r="U163" i="21"/>
  <c r="U162" i="21"/>
  <c r="U161" i="21"/>
  <c r="U160" i="21"/>
  <c r="U159" i="21"/>
  <c r="U158" i="21"/>
  <c r="U157" i="21"/>
  <c r="U156" i="21"/>
  <c r="U155" i="21"/>
  <c r="U154" i="21"/>
  <c r="U153" i="21"/>
  <c r="U152" i="21"/>
  <c r="U151" i="21"/>
  <c r="U150" i="21"/>
  <c r="U149" i="21"/>
  <c r="U148" i="21"/>
  <c r="U147" i="21"/>
  <c r="U146" i="21"/>
  <c r="U145" i="21"/>
  <c r="U144" i="21"/>
  <c r="U143" i="21"/>
  <c r="U142" i="21"/>
  <c r="U141" i="21"/>
  <c r="U140" i="21"/>
  <c r="U139" i="21"/>
  <c r="U138" i="21"/>
  <c r="U137" i="21"/>
  <c r="U136" i="21"/>
  <c r="U135" i="21"/>
  <c r="U134" i="21"/>
  <c r="U133" i="21"/>
  <c r="U132" i="21"/>
  <c r="U131" i="21"/>
  <c r="U130" i="21"/>
  <c r="U129" i="21"/>
  <c r="U128" i="21"/>
  <c r="U127" i="21"/>
  <c r="U126" i="21"/>
  <c r="U125" i="21"/>
  <c r="U124" i="21"/>
  <c r="U123" i="21"/>
  <c r="U5" i="21"/>
  <c r="U14" i="21"/>
  <c r="U12" i="21"/>
  <c r="U122" i="21"/>
  <c r="U121" i="21"/>
  <c r="U120" i="21"/>
  <c r="U119" i="21"/>
  <c r="U118" i="21"/>
  <c r="U117" i="21"/>
  <c r="U116" i="21"/>
  <c r="U115" i="21"/>
  <c r="U114" i="21"/>
  <c r="U113" i="21"/>
  <c r="U111" i="21"/>
  <c r="U110" i="21"/>
  <c r="U109" i="21"/>
  <c r="U108" i="21"/>
  <c r="U107" i="21"/>
  <c r="U106" i="21"/>
  <c r="U105" i="21"/>
  <c r="U104" i="21"/>
  <c r="U103" i="21"/>
  <c r="U102" i="21"/>
  <c r="U101" i="21"/>
  <c r="U100" i="21"/>
  <c r="U99" i="21"/>
  <c r="U98" i="21"/>
  <c r="U97" i="21"/>
  <c r="U96" i="21"/>
  <c r="U95" i="21"/>
  <c r="U94" i="21"/>
  <c r="U93" i="21"/>
  <c r="U92" i="21"/>
  <c r="U91" i="21"/>
  <c r="U90" i="21"/>
  <c r="U89" i="21"/>
  <c r="U88" i="21"/>
  <c r="U87" i="21"/>
  <c r="U85" i="21"/>
  <c r="U83" i="21"/>
  <c r="U82" i="21"/>
  <c r="U80" i="21"/>
  <c r="U77" i="21"/>
  <c r="U75" i="21"/>
  <c r="U73" i="21"/>
  <c r="U71" i="21"/>
  <c r="U70" i="21"/>
  <c r="U68" i="21"/>
  <c r="U66" i="21"/>
  <c r="U64" i="21"/>
  <c r="U62" i="21"/>
  <c r="U60" i="21"/>
  <c r="U58" i="21"/>
  <c r="U46" i="21"/>
  <c r="U43" i="21"/>
  <c r="U41" i="21"/>
  <c r="U39" i="21"/>
  <c r="U37" i="21"/>
  <c r="U35" i="21"/>
  <c r="U33" i="21"/>
  <c r="U31" i="21"/>
  <c r="U29" i="21"/>
  <c r="U27" i="21"/>
  <c r="U25" i="21"/>
  <c r="U9" i="21"/>
  <c r="U23" i="21"/>
  <c r="U17" i="21"/>
  <c r="U112" i="21"/>
  <c r="U86" i="21"/>
  <c r="U84" i="21"/>
  <c r="U81" i="21"/>
  <c r="U79" i="21"/>
  <c r="U78" i="21"/>
  <c r="U76" i="21"/>
  <c r="U74" i="21"/>
  <c r="U72" i="21"/>
  <c r="U69" i="21"/>
  <c r="U67" i="21"/>
  <c r="U65" i="21"/>
  <c r="U63" i="21"/>
  <c r="U61" i="21"/>
  <c r="U59" i="21"/>
  <c r="U57" i="21"/>
  <c r="U56" i="21"/>
  <c r="U55" i="21"/>
  <c r="U54" i="21"/>
  <c r="U53" i="21"/>
  <c r="U52" i="21"/>
  <c r="U51" i="21"/>
  <c r="U50" i="21"/>
  <c r="U49" i="21"/>
  <c r="U48" i="21"/>
  <c r="U47" i="21"/>
  <c r="U45" i="21"/>
  <c r="U44" i="21"/>
  <c r="U42" i="21"/>
  <c r="U40" i="21"/>
  <c r="U38" i="21"/>
  <c r="U36" i="21"/>
  <c r="U34" i="21"/>
  <c r="U32" i="21"/>
  <c r="U30" i="21"/>
  <c r="U28" i="21"/>
  <c r="U26" i="21"/>
  <c r="U24" i="21"/>
  <c r="U22" i="21"/>
  <c r="U21" i="21"/>
  <c r="W7" i="21"/>
  <c r="W5" i="21"/>
  <c r="K56" i="21"/>
  <c r="J44" i="21"/>
  <c r="J43" i="21"/>
  <c r="K55" i="21"/>
  <c r="J39" i="21"/>
  <c r="K51" i="21"/>
  <c r="AO4" i="21"/>
  <c r="AN4" i="21"/>
  <c r="K73" i="21"/>
  <c r="J61" i="21"/>
  <c r="J35" i="21"/>
  <c r="K47" i="21"/>
  <c r="K62" i="21"/>
  <c r="J50" i="21"/>
  <c r="J45" i="21"/>
  <c r="K57" i="21"/>
  <c r="K54" i="21"/>
  <c r="J42" i="21"/>
  <c r="K52" i="21"/>
  <c r="J40" i="21"/>
  <c r="K58" i="21"/>
  <c r="J46" i="21"/>
  <c r="B15" i="21"/>
  <c r="N8" i="21"/>
  <c r="T8" i="21" s="1"/>
  <c r="M9" i="21"/>
  <c r="K84" i="21"/>
  <c r="J72" i="21"/>
  <c r="K53" i="21"/>
  <c r="J41" i="21"/>
  <c r="J106" i="12"/>
  <c r="K118" i="12"/>
  <c r="J110" i="12"/>
  <c r="K122" i="12"/>
  <c r="K112" i="12"/>
  <c r="J100" i="12"/>
  <c r="J105" i="12"/>
  <c r="K117" i="12"/>
  <c r="K114" i="12"/>
  <c r="J102" i="12"/>
  <c r="J109" i="12"/>
  <c r="K121" i="12"/>
  <c r="J104" i="12"/>
  <c r="K116" i="12"/>
  <c r="J103" i="12"/>
  <c r="K115" i="12"/>
  <c r="K120" i="12"/>
  <c r="J108" i="12"/>
  <c r="K113" i="12"/>
  <c r="J101" i="12"/>
  <c r="J107" i="12"/>
  <c r="K119" i="12"/>
  <c r="J99" i="12"/>
  <c r="K111" i="12"/>
  <c r="AQ3" i="12"/>
  <c r="AJ4" i="12" s="1"/>
  <c r="AM4" i="12" s="1"/>
  <c r="AN4" i="12" s="1"/>
  <c r="AI4" i="12"/>
  <c r="AI5" i="12" s="1"/>
  <c r="AI6" i="12" s="1"/>
  <c r="AI7" i="12" s="1"/>
  <c r="AI8" i="12" s="1"/>
  <c r="AI9" i="12" s="1"/>
  <c r="AI10" i="12" s="1"/>
  <c r="AI11" i="12" s="1"/>
  <c r="AI12" i="12" s="1"/>
  <c r="AI13" i="12" s="1"/>
  <c r="AI14" i="12" s="1"/>
  <c r="AI15" i="12" s="1"/>
  <c r="AI16" i="12" s="1"/>
  <c r="AI17" i="12" s="1"/>
  <c r="AI18" i="12" s="1"/>
  <c r="AI19" i="12" s="1"/>
  <c r="AI20" i="12" s="1"/>
  <c r="AI21" i="12" s="1"/>
  <c r="AI22" i="12" s="1"/>
  <c r="AI23" i="12" s="1"/>
  <c r="AI24" i="12" s="1"/>
  <c r="AI25" i="12" s="1"/>
  <c r="AI26" i="12" s="1"/>
  <c r="AI27" i="12" s="1"/>
  <c r="AI28" i="12" s="1"/>
  <c r="AI29" i="12" s="1"/>
  <c r="AI30" i="12" s="1"/>
  <c r="AI31" i="12" s="1"/>
  <c r="AI32" i="12" s="1"/>
  <c r="AI33" i="12" s="1"/>
  <c r="AI34" i="12" s="1"/>
  <c r="AI35" i="12" s="1"/>
  <c r="AI36" i="12" s="1"/>
  <c r="AI37" i="12" s="1"/>
  <c r="AI38" i="12" s="1"/>
  <c r="AI39" i="12" s="1"/>
  <c r="AI40" i="12" s="1"/>
  <c r="AI41" i="12" s="1"/>
  <c r="AI42" i="12" s="1"/>
  <c r="AI43" i="12" s="1"/>
  <c r="AI44" i="12" s="1"/>
  <c r="AI45" i="12" s="1"/>
  <c r="AI46" i="12" s="1"/>
  <c r="AI47" i="12" s="1"/>
  <c r="AI48" i="12" s="1"/>
  <c r="AI49" i="12" s="1"/>
  <c r="AI50" i="12" s="1"/>
  <c r="AI51" i="12" s="1"/>
  <c r="AI52" i="12" s="1"/>
  <c r="AI53" i="12" s="1"/>
  <c r="AI54" i="12" s="1"/>
  <c r="AI55" i="12" s="1"/>
  <c r="AI56" i="12" s="1"/>
  <c r="AI57" i="12" s="1"/>
  <c r="AI58" i="12" s="1"/>
  <c r="AI59" i="12" s="1"/>
  <c r="AI60" i="12" s="1"/>
  <c r="AI61" i="12" s="1"/>
  <c r="AI62" i="12" s="1"/>
  <c r="AI63" i="12" s="1"/>
  <c r="AI64" i="12" s="1"/>
  <c r="AI65" i="12" s="1"/>
  <c r="AI66" i="12" s="1"/>
  <c r="AI67" i="12" s="1"/>
  <c r="AI68" i="12" s="1"/>
  <c r="AI69" i="12" s="1"/>
  <c r="AI70" i="12" s="1"/>
  <c r="AI71" i="12" s="1"/>
  <c r="AI72" i="12" s="1"/>
  <c r="AI73" i="12" s="1"/>
  <c r="AI74" i="12" s="1"/>
  <c r="AI75" i="12" s="1"/>
  <c r="AI76" i="12" s="1"/>
  <c r="AI77" i="12" s="1"/>
  <c r="AI78" i="12" s="1"/>
  <c r="AI79" i="12" s="1"/>
  <c r="AI80" i="12" s="1"/>
  <c r="AI81" i="12" s="1"/>
  <c r="AI82" i="12" s="1"/>
  <c r="AI83" i="12" s="1"/>
  <c r="AI84" i="12" s="1"/>
  <c r="AI85" i="12" s="1"/>
  <c r="AI86" i="12" s="1"/>
  <c r="AI87" i="12" s="1"/>
  <c r="AI88" i="12" s="1"/>
  <c r="AI89" i="12" s="1"/>
  <c r="AI90" i="12" s="1"/>
  <c r="AI91" i="12" s="1"/>
  <c r="AI92" i="12" s="1"/>
  <c r="AI93" i="12" s="1"/>
  <c r="AI94" i="12" s="1"/>
  <c r="AI95" i="12" s="1"/>
  <c r="AI96" i="12" s="1"/>
  <c r="AI97" i="12" s="1"/>
  <c r="AI98" i="12" s="1"/>
  <c r="AI99" i="12" s="1"/>
  <c r="AI100" i="12" s="1"/>
  <c r="AI101" i="12" s="1"/>
  <c r="AI102" i="12" s="1"/>
  <c r="AI103" i="12" s="1"/>
  <c r="AI104" i="12" s="1"/>
  <c r="AI105" i="12" s="1"/>
  <c r="AI106" i="12" s="1"/>
  <c r="AI107" i="12" s="1"/>
  <c r="AI108" i="12" s="1"/>
  <c r="AI109" i="12" s="1"/>
  <c r="AI110" i="12" s="1"/>
  <c r="AI111" i="12" s="1"/>
  <c r="AI112" i="12" s="1"/>
  <c r="AI113" i="12" s="1"/>
  <c r="AI114" i="12" s="1"/>
  <c r="AI115" i="12" s="1"/>
  <c r="AI116" i="12" s="1"/>
  <c r="AI117" i="12" s="1"/>
  <c r="AI118" i="12" s="1"/>
  <c r="AI119" i="12" s="1"/>
  <c r="AI120" i="12" s="1"/>
  <c r="AI121" i="12" s="1"/>
  <c r="AI122" i="12" s="1"/>
  <c r="AI123" i="12" s="1"/>
  <c r="AI124" i="12" s="1"/>
  <c r="AI125" i="12" s="1"/>
  <c r="AI126" i="12" s="1"/>
  <c r="AI127" i="12" s="1"/>
  <c r="AI128" i="12" s="1"/>
  <c r="AI129" i="12" s="1"/>
  <c r="AI130" i="12" s="1"/>
  <c r="AI131" i="12" s="1"/>
  <c r="AI132" i="12" s="1"/>
  <c r="AI133" i="12" s="1"/>
  <c r="AI134" i="12" s="1"/>
  <c r="AI135" i="12" s="1"/>
  <c r="AI136" i="12" s="1"/>
  <c r="AI137" i="12" s="1"/>
  <c r="AI138" i="12" s="1"/>
  <c r="AI139" i="12" s="1"/>
  <c r="AI140" i="12" s="1"/>
  <c r="AI141" i="12" s="1"/>
  <c r="AI142" i="12" s="1"/>
  <c r="AI143" i="12" s="1"/>
  <c r="AI144" i="12" s="1"/>
  <c r="AI145" i="12" s="1"/>
  <c r="AI146" i="12" s="1"/>
  <c r="AI147" i="12" s="1"/>
  <c r="AI148" i="12" s="1"/>
  <c r="AI149" i="12" s="1"/>
  <c r="AI150" i="12" s="1"/>
  <c r="AI151" i="12" s="1"/>
  <c r="AI152" i="12" s="1"/>
  <c r="AI153" i="12" s="1"/>
  <c r="AI154" i="12" s="1"/>
  <c r="AI155" i="12" s="1"/>
  <c r="AI156" i="12" s="1"/>
  <c r="AI157" i="12" s="1"/>
  <c r="AI158" i="12" s="1"/>
  <c r="AI159" i="12" s="1"/>
  <c r="AI160" i="12" s="1"/>
  <c r="AI161" i="12" s="1"/>
  <c r="AI162" i="12" s="1"/>
  <c r="AI163" i="12" s="1"/>
  <c r="AI164" i="12" s="1"/>
  <c r="AI165" i="12" s="1"/>
  <c r="AI166" i="12" s="1"/>
  <c r="AI167" i="12" s="1"/>
  <c r="AI168" i="12" s="1"/>
  <c r="AI169" i="12" s="1"/>
  <c r="AI170" i="12" s="1"/>
  <c r="AI171" i="12" s="1"/>
  <c r="AI172" i="12" s="1"/>
  <c r="AI173" i="12" s="1"/>
  <c r="AI174" i="12" s="1"/>
  <c r="AI175" i="12" s="1"/>
  <c r="AI176" i="12" s="1"/>
  <c r="AI177" i="12" s="1"/>
  <c r="AI178" i="12" s="1"/>
  <c r="AI179" i="12" s="1"/>
  <c r="AI180" i="12" s="1"/>
  <c r="AI181" i="12" s="1"/>
  <c r="AI182" i="12" s="1"/>
  <c r="AI183" i="12" s="1"/>
  <c r="AI184" i="12" s="1"/>
  <c r="AI185" i="12" s="1"/>
  <c r="AI186" i="12" s="1"/>
  <c r="AI187" i="12" s="1"/>
  <c r="AI188" i="12" s="1"/>
  <c r="AI189" i="12" s="1"/>
  <c r="AI190" i="12" s="1"/>
  <c r="AI191" i="12" s="1"/>
  <c r="AI192" i="12" s="1"/>
  <c r="AI193" i="12" s="1"/>
  <c r="AI194" i="12" s="1"/>
  <c r="AI195" i="12" s="1"/>
  <c r="AI196" i="12" s="1"/>
  <c r="AI197" i="12" s="1"/>
  <c r="AI198" i="12" s="1"/>
  <c r="AI199" i="12" s="1"/>
  <c r="AI200" i="12" s="1"/>
  <c r="AI201" i="12" s="1"/>
  <c r="AI202" i="12" s="1"/>
  <c r="AI203" i="12" s="1"/>
  <c r="AI204" i="12" s="1"/>
  <c r="AI205" i="12" s="1"/>
  <c r="AI206" i="12" s="1"/>
  <c r="AI207" i="12" s="1"/>
  <c r="AI208" i="12" s="1"/>
  <c r="AI209" i="12" s="1"/>
  <c r="AI210" i="12" s="1"/>
  <c r="AI211" i="12" s="1"/>
  <c r="AI212" i="12" s="1"/>
  <c r="AI213" i="12" s="1"/>
  <c r="AI214" i="12" s="1"/>
  <c r="AI215" i="12" s="1"/>
  <c r="AI216" i="12" s="1"/>
  <c r="AI217" i="12" s="1"/>
  <c r="AI218" i="12" s="1"/>
  <c r="AI219" i="12" s="1"/>
  <c r="AI220" i="12" s="1"/>
  <c r="AI221" i="12" s="1"/>
  <c r="AI222" i="12" s="1"/>
  <c r="AI223" i="12" s="1"/>
  <c r="AI224" i="12" s="1"/>
  <c r="AI225" i="12" s="1"/>
  <c r="AI226" i="12" s="1"/>
  <c r="AI227" i="12" s="1"/>
  <c r="AI228" i="12" s="1"/>
  <c r="AI229" i="12" s="1"/>
  <c r="AI230" i="12" s="1"/>
  <c r="AI231" i="12" s="1"/>
  <c r="AI232" i="12" s="1"/>
  <c r="AI233" i="12" s="1"/>
  <c r="AI234" i="12" s="1"/>
  <c r="AI235" i="12" s="1"/>
  <c r="AI236" i="12" s="1"/>
  <c r="AI237" i="12" s="1"/>
  <c r="AI238" i="12" s="1"/>
  <c r="AI239" i="12" s="1"/>
  <c r="AI240" i="12" s="1"/>
  <c r="AI241" i="12" s="1"/>
  <c r="AI242" i="12" s="1"/>
  <c r="AI243" i="12" s="1"/>
  <c r="AI244" i="12" s="1"/>
  <c r="AI245" i="12" s="1"/>
  <c r="AI246" i="12" s="1"/>
  <c r="AI247" i="12" s="1"/>
  <c r="AI248" i="12" s="1"/>
  <c r="AI249" i="12" s="1"/>
  <c r="AI250" i="12" s="1"/>
  <c r="AI251" i="12" s="1"/>
  <c r="AI252" i="12" s="1"/>
  <c r="AI253" i="12" s="1"/>
  <c r="AI254" i="12" s="1"/>
  <c r="AI255" i="12" s="1"/>
  <c r="AI256" i="12" s="1"/>
  <c r="AI257" i="12" s="1"/>
  <c r="AI258" i="12" s="1"/>
  <c r="AI259" i="12" s="1"/>
  <c r="AI260" i="12" s="1"/>
  <c r="AI261" i="12" s="1"/>
  <c r="AI262" i="12" s="1"/>
  <c r="AI263" i="12" s="1"/>
  <c r="AI264" i="12" s="1"/>
  <c r="AI265" i="12" s="1"/>
  <c r="AI266" i="12" s="1"/>
  <c r="AI267" i="12" s="1"/>
  <c r="AI268" i="12" s="1"/>
  <c r="AI269" i="12" s="1"/>
  <c r="AI270" i="12" s="1"/>
  <c r="AI271" i="12" s="1"/>
  <c r="AI272" i="12" s="1"/>
  <c r="AI273" i="12" s="1"/>
  <c r="AI274" i="12" s="1"/>
  <c r="AI275" i="12" s="1"/>
  <c r="AI276" i="12" s="1"/>
  <c r="AI277" i="12" s="1"/>
  <c r="AI278" i="12" s="1"/>
  <c r="AI279" i="12" s="1"/>
  <c r="AI280" i="12" s="1"/>
  <c r="AI281" i="12" s="1"/>
  <c r="AI282" i="12" s="1"/>
  <c r="AI283" i="12" s="1"/>
  <c r="AI284" i="12" s="1"/>
  <c r="AI285" i="12" s="1"/>
  <c r="AI286" i="12" s="1"/>
  <c r="AI287" i="12" s="1"/>
  <c r="AI288" i="12" s="1"/>
  <c r="AI289" i="12" s="1"/>
  <c r="AI290" i="12" s="1"/>
  <c r="AI291" i="12" s="1"/>
  <c r="AI292" i="12" s="1"/>
  <c r="AI293" i="12" s="1"/>
  <c r="AI294" i="12" s="1"/>
  <c r="AI295" i="12" s="1"/>
  <c r="AI296" i="12" s="1"/>
  <c r="AI297" i="12" s="1"/>
  <c r="AI298" i="12" s="1"/>
  <c r="AI299" i="12" s="1"/>
  <c r="AI300" i="12" s="1"/>
  <c r="AI301" i="12" s="1"/>
  <c r="AI302" i="12" s="1"/>
  <c r="G6" i="13"/>
  <c r="G7" i="13"/>
  <c r="U191" i="12"/>
  <c r="U187" i="12"/>
  <c r="U183" i="12"/>
  <c r="U194" i="12"/>
  <c r="U190" i="12"/>
  <c r="U186" i="12"/>
  <c r="U193" i="12"/>
  <c r="U189" i="12"/>
  <c r="U185" i="12"/>
  <c r="U192" i="12"/>
  <c r="U188" i="12"/>
  <c r="U184" i="12"/>
  <c r="U4" i="12"/>
  <c r="U8" i="12"/>
  <c r="U12" i="12"/>
  <c r="U16" i="12"/>
  <c r="U20" i="12"/>
  <c r="U24" i="12"/>
  <c r="U28" i="12"/>
  <c r="U32" i="12"/>
  <c r="U36" i="12"/>
  <c r="U40" i="12"/>
  <c r="U44" i="12"/>
  <c r="U48" i="12"/>
  <c r="U52" i="12"/>
  <c r="U56" i="12"/>
  <c r="U60" i="12"/>
  <c r="U64" i="12"/>
  <c r="U68" i="12"/>
  <c r="U72" i="12"/>
  <c r="U76" i="12"/>
  <c r="U80" i="12"/>
  <c r="U84" i="12"/>
  <c r="U88" i="12"/>
  <c r="U92" i="12"/>
  <c r="U96" i="12"/>
  <c r="U100" i="12"/>
  <c r="U104" i="12"/>
  <c r="U108" i="12"/>
  <c r="U112" i="12"/>
  <c r="U116" i="12"/>
  <c r="U120" i="12"/>
  <c r="U124" i="12"/>
  <c r="U128" i="12"/>
  <c r="U132" i="12"/>
  <c r="U136" i="12"/>
  <c r="U140" i="12"/>
  <c r="U144" i="12"/>
  <c r="U148" i="12"/>
  <c r="U152" i="12"/>
  <c r="U156" i="12"/>
  <c r="U160" i="12"/>
  <c r="U164" i="12"/>
  <c r="U168" i="12"/>
  <c r="U172" i="12"/>
  <c r="U176" i="12"/>
  <c r="U180" i="12"/>
  <c r="U10" i="12"/>
  <c r="U18" i="12"/>
  <c r="U5" i="12"/>
  <c r="U9" i="12"/>
  <c r="U13" i="12"/>
  <c r="U17" i="12"/>
  <c r="U21" i="12"/>
  <c r="U25" i="12"/>
  <c r="U29" i="12"/>
  <c r="U33" i="12"/>
  <c r="U37" i="12"/>
  <c r="U41" i="12"/>
  <c r="U45" i="12"/>
  <c r="U49" i="12"/>
  <c r="U53" i="12"/>
  <c r="U57" i="12"/>
  <c r="U61" i="12"/>
  <c r="U65" i="12"/>
  <c r="U69" i="12"/>
  <c r="U73" i="12"/>
  <c r="U77" i="12"/>
  <c r="U81" i="12"/>
  <c r="U85" i="12"/>
  <c r="U89" i="12"/>
  <c r="U93" i="12"/>
  <c r="U97" i="12"/>
  <c r="U101" i="12"/>
  <c r="U105" i="12"/>
  <c r="U109" i="12"/>
  <c r="U113" i="12"/>
  <c r="U117" i="12"/>
  <c r="U121" i="12"/>
  <c r="U125" i="12"/>
  <c r="U129" i="12"/>
  <c r="U133" i="12"/>
  <c r="U137" i="12"/>
  <c r="U141" i="12"/>
  <c r="U145" i="12"/>
  <c r="U149" i="12"/>
  <c r="U153" i="12"/>
  <c r="U157" i="12"/>
  <c r="U161" i="12"/>
  <c r="U165" i="12"/>
  <c r="U169" i="12"/>
  <c r="U173" i="12"/>
  <c r="U177" i="12"/>
  <c r="U181" i="12"/>
  <c r="U6" i="12"/>
  <c r="U14" i="12"/>
  <c r="U19" i="12"/>
  <c r="U27" i="12"/>
  <c r="U35" i="12"/>
  <c r="U43" i="12"/>
  <c r="U51" i="12"/>
  <c r="U59" i="12"/>
  <c r="U67" i="12"/>
  <c r="U75" i="12"/>
  <c r="U83" i="12"/>
  <c r="U91" i="12"/>
  <c r="U99" i="12"/>
  <c r="U107" i="12"/>
  <c r="U115" i="12"/>
  <c r="U123" i="12"/>
  <c r="U131" i="12"/>
  <c r="U139" i="12"/>
  <c r="U147" i="12"/>
  <c r="U155" i="12"/>
  <c r="U163" i="12"/>
  <c r="U171" i="12"/>
  <c r="U179" i="12"/>
  <c r="U7" i="12"/>
  <c r="U22" i="12"/>
  <c r="U30" i="12"/>
  <c r="U38" i="12"/>
  <c r="U46" i="12"/>
  <c r="U54" i="12"/>
  <c r="U62" i="12"/>
  <c r="U70" i="12"/>
  <c r="U78" i="12"/>
  <c r="U86" i="12"/>
  <c r="U94" i="12"/>
  <c r="U102" i="12"/>
  <c r="U110" i="12"/>
  <c r="U118" i="12"/>
  <c r="U126" i="12"/>
  <c r="U134" i="12"/>
  <c r="U142" i="12"/>
  <c r="U150" i="12"/>
  <c r="U158" i="12"/>
  <c r="U166" i="12"/>
  <c r="U174" i="12"/>
  <c r="U182" i="12"/>
  <c r="U11" i="12"/>
  <c r="U23" i="12"/>
  <c r="U31" i="12"/>
  <c r="U39" i="12"/>
  <c r="U47" i="12"/>
  <c r="U55" i="12"/>
  <c r="U63" i="12"/>
  <c r="U71" i="12"/>
  <c r="U79" i="12"/>
  <c r="U87" i="12"/>
  <c r="U95" i="12"/>
  <c r="U103" i="12"/>
  <c r="U111" i="12"/>
  <c r="U119" i="12"/>
  <c r="U127" i="12"/>
  <c r="U135" i="12"/>
  <c r="U143" i="12"/>
  <c r="U151" i="12"/>
  <c r="U159" i="12"/>
  <c r="U167" i="12"/>
  <c r="U175" i="12"/>
  <c r="U3" i="12"/>
  <c r="U15" i="12"/>
  <c r="U26" i="12"/>
  <c r="U34" i="12"/>
  <c r="U42" i="12"/>
  <c r="U50" i="12"/>
  <c r="U58" i="12"/>
  <c r="U66" i="12"/>
  <c r="U74" i="12"/>
  <c r="U82" i="12"/>
  <c r="U90" i="12"/>
  <c r="U98" i="12"/>
  <c r="U106" i="12"/>
  <c r="U114" i="12"/>
  <c r="U122" i="12"/>
  <c r="U130" i="12"/>
  <c r="U138" i="12"/>
  <c r="U146" i="12"/>
  <c r="U154" i="12"/>
  <c r="U162" i="12"/>
  <c r="U170" i="12"/>
  <c r="U178" i="12"/>
  <c r="M6" i="12"/>
  <c r="N5" i="12"/>
  <c r="T5" i="12" s="1"/>
  <c r="AH29" i="48" l="1"/>
  <c r="P29" i="48"/>
  <c r="AC26" i="48"/>
  <c r="AD26" i="48" s="1"/>
  <c r="AP26" i="48" s="1"/>
  <c r="S26" i="48" s="1"/>
  <c r="U26" i="48"/>
  <c r="T44" i="48"/>
  <c r="J46" i="48"/>
  <c r="L46" i="48" s="1"/>
  <c r="M45" i="48"/>
  <c r="K45" i="48" s="1"/>
  <c r="P43" i="45"/>
  <c r="AA46" i="53"/>
  <c r="S46" i="53" s="1"/>
  <c r="AB45" i="53"/>
  <c r="V45" i="53" s="1"/>
  <c r="X27" i="48"/>
  <c r="N27" i="48" s="1"/>
  <c r="AQ53" i="48"/>
  <c r="AR52" i="48"/>
  <c r="AE46" i="45"/>
  <c r="AF44" i="45"/>
  <c r="R44" i="60" s="1"/>
  <c r="Y45" i="45"/>
  <c r="K24" i="36" a="1"/>
  <c r="K24" i="36" s="1"/>
  <c r="K25" i="36" s="1" a="1"/>
  <c r="K25" i="36" s="1"/>
  <c r="J23" i="34"/>
  <c r="M23" i="34"/>
  <c r="L23" i="34"/>
  <c r="K24" i="34" a="1"/>
  <c r="K24" i="34" s="1"/>
  <c r="O22" i="34"/>
  <c r="N22" i="34"/>
  <c r="L25" i="10"/>
  <c r="K26" i="10" a="1"/>
  <c r="K26" i="10" s="1"/>
  <c r="K27" i="10" s="1" a="1"/>
  <c r="K27" i="10" s="1"/>
  <c r="K70" i="21"/>
  <c r="J58" i="21"/>
  <c r="J57" i="21"/>
  <c r="K69" i="21"/>
  <c r="W8" i="21"/>
  <c r="K96" i="21"/>
  <c r="J84" i="21"/>
  <c r="K85" i="21"/>
  <c r="J73" i="21"/>
  <c r="AQ4" i="21"/>
  <c r="AJ5" i="21" s="1"/>
  <c r="AP4" i="21"/>
  <c r="K64" i="21"/>
  <c r="J52" i="21"/>
  <c r="K59" i="21"/>
  <c r="J47" i="21"/>
  <c r="K63" i="21"/>
  <c r="J51" i="21"/>
  <c r="K66" i="21"/>
  <c r="J54" i="21"/>
  <c r="K74" i="21"/>
  <c r="J62" i="21"/>
  <c r="K67" i="21"/>
  <c r="J55" i="21"/>
  <c r="J53" i="21"/>
  <c r="K65" i="21"/>
  <c r="N9" i="21"/>
  <c r="T9" i="21" s="1"/>
  <c r="W9" i="21" s="1"/>
  <c r="M10" i="21"/>
  <c r="B16" i="21"/>
  <c r="K68" i="21"/>
  <c r="J56" i="21"/>
  <c r="K133" i="12"/>
  <c r="J121" i="12"/>
  <c r="K125" i="12"/>
  <c r="J113" i="12"/>
  <c r="K129" i="12"/>
  <c r="J117" i="12"/>
  <c r="J119" i="12"/>
  <c r="K131" i="12"/>
  <c r="K128" i="12"/>
  <c r="J116" i="12"/>
  <c r="K130" i="12"/>
  <c r="J118" i="12"/>
  <c r="J115" i="12"/>
  <c r="K127" i="12"/>
  <c r="K134" i="12"/>
  <c r="J122" i="12"/>
  <c r="K132" i="12"/>
  <c r="J120" i="12"/>
  <c r="J114" i="12"/>
  <c r="K126" i="12"/>
  <c r="K124" i="12"/>
  <c r="J112" i="12"/>
  <c r="J111" i="12"/>
  <c r="K123" i="12"/>
  <c r="AO4" i="12"/>
  <c r="G8" i="13"/>
  <c r="M7" i="12"/>
  <c r="N6" i="12"/>
  <c r="T6" i="12" s="1"/>
  <c r="V16" i="8"/>
  <c r="T3" i="8"/>
  <c r="T16" i="8" s="1"/>
  <c r="I15" i="8"/>
  <c r="C4" i="8"/>
  <c r="N36" i="8"/>
  <c r="C16" i="8"/>
  <c r="Q29" i="48" l="1"/>
  <c r="AI29" i="48"/>
  <c r="AL29" i="48"/>
  <c r="AF30" i="48" s="1"/>
  <c r="AG30" i="48" s="1"/>
  <c r="T45" i="48"/>
  <c r="J47" i="48"/>
  <c r="L47" i="48" s="1"/>
  <c r="M46" i="48"/>
  <c r="K46" i="48" s="1"/>
  <c r="P44" i="45"/>
  <c r="AA47" i="53"/>
  <c r="S47" i="53" s="1"/>
  <c r="AB46" i="53"/>
  <c r="V46" i="53" s="1"/>
  <c r="Y27" i="48"/>
  <c r="O27" i="48" s="1"/>
  <c r="AN27" i="48"/>
  <c r="AO27" i="48"/>
  <c r="R27" i="48" s="1"/>
  <c r="AQ54" i="48"/>
  <c r="AR53" i="48"/>
  <c r="AE47" i="45"/>
  <c r="AF45" i="45"/>
  <c r="R45" i="60" s="1"/>
  <c r="Y46" i="45"/>
  <c r="K26" i="36" a="1"/>
  <c r="K26" i="36" s="1"/>
  <c r="K27" i="36" s="1" a="1"/>
  <c r="K27" i="36" s="1"/>
  <c r="K28" i="36" s="1" a="1"/>
  <c r="K28" i="36" s="1"/>
  <c r="K29" i="36" s="1" a="1"/>
  <c r="K29" i="36" s="1"/>
  <c r="M24" i="34"/>
  <c r="L24" i="34"/>
  <c r="J24" i="34"/>
  <c r="K25" i="34" a="1"/>
  <c r="K25" i="34" s="1"/>
  <c r="K26" i="34" s="1" a="1"/>
  <c r="K26" i="34" s="1"/>
  <c r="O23" i="34"/>
  <c r="N23" i="34"/>
  <c r="K28" i="10" a="1"/>
  <c r="K28" i="10" s="1"/>
  <c r="K29" i="10" s="1" a="1"/>
  <c r="K29" i="10" s="1"/>
  <c r="N10" i="21"/>
  <c r="T10" i="21" s="1"/>
  <c r="W10" i="21" s="1"/>
  <c r="M11" i="21"/>
  <c r="K80" i="21"/>
  <c r="J68" i="21"/>
  <c r="K79" i="21"/>
  <c r="J67" i="21"/>
  <c r="K78" i="21"/>
  <c r="J66" i="21"/>
  <c r="K76" i="21"/>
  <c r="J64" i="21"/>
  <c r="AM5" i="21"/>
  <c r="J65" i="21"/>
  <c r="K77" i="21"/>
  <c r="K82" i="21"/>
  <c r="J70" i="21"/>
  <c r="B17" i="21"/>
  <c r="K86" i="21"/>
  <c r="J74" i="21"/>
  <c r="K75" i="21"/>
  <c r="J63" i="21"/>
  <c r="K71" i="21"/>
  <c r="J59" i="21"/>
  <c r="J85" i="21"/>
  <c r="K97" i="21"/>
  <c r="K108" i="21"/>
  <c r="J96" i="21"/>
  <c r="K81" i="21"/>
  <c r="J69" i="21"/>
  <c r="C27" i="8"/>
  <c r="K138" i="12"/>
  <c r="J126" i="12"/>
  <c r="K146" i="12"/>
  <c r="J134" i="12"/>
  <c r="J130" i="12"/>
  <c r="K142" i="12"/>
  <c r="K137" i="12"/>
  <c r="J125" i="12"/>
  <c r="J131" i="12"/>
  <c r="K143" i="12"/>
  <c r="J127" i="12"/>
  <c r="K139" i="12"/>
  <c r="K136" i="12"/>
  <c r="J124" i="12"/>
  <c r="J132" i="12"/>
  <c r="K144" i="12"/>
  <c r="J128" i="12"/>
  <c r="K140" i="12"/>
  <c r="K141" i="12"/>
  <c r="J129" i="12"/>
  <c r="K145" i="12"/>
  <c r="J133" i="12"/>
  <c r="J123" i="12"/>
  <c r="K135" i="12"/>
  <c r="AP4" i="12"/>
  <c r="AQ4" i="12"/>
  <c r="AJ5" i="12" s="1"/>
  <c r="AM5" i="12" s="1"/>
  <c r="G9" i="13"/>
  <c r="N7" i="12"/>
  <c r="T7" i="12" s="1"/>
  <c r="M8" i="12"/>
  <c r="N5" i="8"/>
  <c r="N42" i="8"/>
  <c r="AH30" i="48" l="1"/>
  <c r="P30" i="48"/>
  <c r="AJ29" i="48"/>
  <c r="AK29" i="48" s="1"/>
  <c r="V29" i="48"/>
  <c r="AI30" i="48"/>
  <c r="T46" i="48"/>
  <c r="M10" i="50"/>
  <c r="M47" i="48"/>
  <c r="K47" i="48" s="1"/>
  <c r="J48" i="48"/>
  <c r="L48" i="48" s="1"/>
  <c r="P45" i="45"/>
  <c r="AA48" i="53"/>
  <c r="S48" i="53" s="1"/>
  <c r="AB47" i="53"/>
  <c r="V47" i="53" s="1"/>
  <c r="AB27" i="48"/>
  <c r="AE27" i="48"/>
  <c r="W28" i="48" s="1"/>
  <c r="AQ55" i="48"/>
  <c r="AR54" i="48"/>
  <c r="AE48" i="45"/>
  <c r="AF46" i="45"/>
  <c r="R46" i="60" s="1"/>
  <c r="Y47" i="45"/>
  <c r="Y48" i="45" s="1"/>
  <c r="K30" i="36" a="1"/>
  <c r="K30" i="36" s="1"/>
  <c r="K31" i="36" s="1" a="1"/>
  <c r="K31" i="36" s="1"/>
  <c r="K32" i="36" s="1" a="1"/>
  <c r="K32" i="36" s="1"/>
  <c r="K33" i="36" s="1" a="1"/>
  <c r="K33" i="36" s="1"/>
  <c r="K34" i="36" s="1" a="1"/>
  <c r="K34" i="36" s="1"/>
  <c r="K35" i="36" s="1" a="1"/>
  <c r="K35" i="36" s="1"/>
  <c r="K36" i="36" s="1" a="1"/>
  <c r="K36" i="36" s="1"/>
  <c r="K37" i="36" s="1" a="1"/>
  <c r="K37" i="36" s="1"/>
  <c r="K38" i="36" s="1" a="1"/>
  <c r="K38" i="36" s="1"/>
  <c r="K39" i="36" s="1" a="1"/>
  <c r="K39" i="36" s="1"/>
  <c r="K40" i="36" s="1" a="1"/>
  <c r="K40" i="36" s="1"/>
  <c r="L26" i="34"/>
  <c r="J26" i="34"/>
  <c r="M26" i="34"/>
  <c r="K27" i="34" a="1"/>
  <c r="K27" i="34" s="1"/>
  <c r="M25" i="34"/>
  <c r="L25" i="34"/>
  <c r="J25" i="34"/>
  <c r="N24" i="34"/>
  <c r="O24" i="34"/>
  <c r="K30" i="10" a="1"/>
  <c r="K30" i="10" s="1"/>
  <c r="K31" i="10" s="1" a="1"/>
  <c r="K31" i="10" s="1"/>
  <c r="K32" i="10" s="1" a="1"/>
  <c r="K32" i="10" s="1"/>
  <c r="K33" i="10" s="1" a="1"/>
  <c r="K33" i="10" s="1"/>
  <c r="K34" i="10" s="1" a="1"/>
  <c r="K34" i="10" s="1"/>
  <c r="K35" i="10" s="1" a="1"/>
  <c r="K35" i="10" s="1"/>
  <c r="K36" i="10" s="1" a="1"/>
  <c r="K36" i="10" s="1"/>
  <c r="L29" i="10"/>
  <c r="AO5" i="21"/>
  <c r="AN5" i="21"/>
  <c r="J79" i="21"/>
  <c r="K91" i="21"/>
  <c r="N11" i="21"/>
  <c r="T11" i="21" s="1"/>
  <c r="M12" i="21"/>
  <c r="J97" i="21"/>
  <c r="K109" i="21"/>
  <c r="K83" i="21"/>
  <c r="J71" i="21"/>
  <c r="K98" i="21"/>
  <c r="J86" i="21"/>
  <c r="B18" i="21"/>
  <c r="K89" i="21"/>
  <c r="J77" i="21"/>
  <c r="K87" i="21"/>
  <c r="J75" i="21"/>
  <c r="K88" i="21"/>
  <c r="J76" i="21"/>
  <c r="K92" i="21"/>
  <c r="J80" i="21"/>
  <c r="J81" i="21"/>
  <c r="K93" i="21"/>
  <c r="K120" i="21"/>
  <c r="J108" i="21"/>
  <c r="K94" i="21"/>
  <c r="J82" i="21"/>
  <c r="K90" i="21"/>
  <c r="J78" i="21"/>
  <c r="C30" i="20"/>
  <c r="C31" i="20" s="1"/>
  <c r="K156" i="12"/>
  <c r="J144" i="12"/>
  <c r="J139" i="12"/>
  <c r="K151" i="12"/>
  <c r="J141" i="12"/>
  <c r="K153" i="12"/>
  <c r="J137" i="12"/>
  <c r="K149" i="12"/>
  <c r="K158" i="12"/>
  <c r="J146" i="12"/>
  <c r="K152" i="12"/>
  <c r="J140" i="12"/>
  <c r="J143" i="12"/>
  <c r="K155" i="12"/>
  <c r="K154" i="12"/>
  <c r="J142" i="12"/>
  <c r="K157" i="12"/>
  <c r="J145" i="12"/>
  <c r="J136" i="12"/>
  <c r="K148" i="12"/>
  <c r="K150" i="12"/>
  <c r="J138" i="12"/>
  <c r="J135" i="12"/>
  <c r="K147" i="12"/>
  <c r="M7" i="13"/>
  <c r="M9" i="13" s="1"/>
  <c r="AO5" i="12"/>
  <c r="AN5" i="12"/>
  <c r="G10" i="13"/>
  <c r="N8" i="12"/>
  <c r="T8" i="12" s="1"/>
  <c r="M9" i="12"/>
  <c r="C31" i="8"/>
  <c r="N11" i="8"/>
  <c r="R5" i="8" s="1"/>
  <c r="N19" i="8"/>
  <c r="R7" i="8" s="1"/>
  <c r="N31" i="8"/>
  <c r="R9" i="8" s="1"/>
  <c r="N60" i="8"/>
  <c r="N3" i="8"/>
  <c r="R3" i="8" s="1"/>
  <c r="N7" i="8"/>
  <c r="R4" i="8" s="1"/>
  <c r="N15" i="8"/>
  <c r="R6" i="8" s="1"/>
  <c r="N27" i="8"/>
  <c r="R8" i="8" s="1"/>
  <c r="N35" i="8"/>
  <c r="R10" i="8" s="1"/>
  <c r="N39" i="8"/>
  <c r="R11" i="8" s="1"/>
  <c r="N47" i="8"/>
  <c r="R12" i="8" s="1"/>
  <c r="N51" i="8"/>
  <c r="R13" i="8" s="1"/>
  <c r="N56" i="8"/>
  <c r="R14" i="8" s="1"/>
  <c r="AJ30" i="48" l="1"/>
  <c r="AK30" i="48" s="1"/>
  <c r="V30" i="48"/>
  <c r="AL30" i="48"/>
  <c r="AF31" i="48" s="1"/>
  <c r="AG31" i="48" s="1"/>
  <c r="Q30" i="48"/>
  <c r="AC27" i="48"/>
  <c r="AD27" i="48" s="1"/>
  <c r="AP27" i="48" s="1"/>
  <c r="S27" i="48" s="1"/>
  <c r="U27" i="48"/>
  <c r="T47" i="48"/>
  <c r="J49" i="48"/>
  <c r="L49" i="48" s="1"/>
  <c r="M48" i="48"/>
  <c r="K48" i="48" s="1"/>
  <c r="P46" i="45"/>
  <c r="AA49" i="53"/>
  <c r="S49" i="53" s="1"/>
  <c r="AB48" i="53"/>
  <c r="V48" i="53" s="1"/>
  <c r="X28" i="48"/>
  <c r="N28" i="48" s="1"/>
  <c r="AQ56" i="48"/>
  <c r="AR55" i="48"/>
  <c r="AE49" i="45"/>
  <c r="AF47" i="45"/>
  <c r="R47" i="60" s="1"/>
  <c r="N25" i="34"/>
  <c r="O25" i="34"/>
  <c r="L27" i="34"/>
  <c r="J27" i="34"/>
  <c r="M27" i="34"/>
  <c r="K28" i="34" a="1"/>
  <c r="K28" i="34" s="1"/>
  <c r="O26" i="34"/>
  <c r="N26" i="34"/>
  <c r="K37" i="10" a="1"/>
  <c r="K37" i="10" s="1"/>
  <c r="K100" i="21"/>
  <c r="J88" i="21"/>
  <c r="J83" i="21"/>
  <c r="K95" i="21"/>
  <c r="K102" i="21"/>
  <c r="J90" i="21"/>
  <c r="K132" i="21"/>
  <c r="J120" i="21"/>
  <c r="J109" i="21"/>
  <c r="K121" i="21"/>
  <c r="J91" i="21"/>
  <c r="K103" i="21"/>
  <c r="AQ5" i="21"/>
  <c r="AJ6" i="21" s="1"/>
  <c r="AP5" i="21"/>
  <c r="W11" i="21"/>
  <c r="K104" i="21"/>
  <c r="J92" i="21"/>
  <c r="K110" i="21"/>
  <c r="J98" i="21"/>
  <c r="B19" i="21"/>
  <c r="K106" i="21"/>
  <c r="J94" i="21"/>
  <c r="J93" i="21"/>
  <c r="K105" i="21"/>
  <c r="J87" i="21"/>
  <c r="K99" i="21"/>
  <c r="J89" i="21"/>
  <c r="K101" i="21"/>
  <c r="M13" i="21"/>
  <c r="N12" i="21"/>
  <c r="T12" i="21" s="1"/>
  <c r="W12" i="21" s="1"/>
  <c r="S5" i="8"/>
  <c r="S3" i="8"/>
  <c r="S14" i="20"/>
  <c r="S13" i="20"/>
  <c r="S10" i="20"/>
  <c r="S6" i="20"/>
  <c r="S3" i="20"/>
  <c r="S11" i="20"/>
  <c r="S7" i="20"/>
  <c r="S12" i="20"/>
  <c r="S9" i="20"/>
  <c r="S5" i="20"/>
  <c r="S8" i="20"/>
  <c r="S4" i="20"/>
  <c r="K160" i="12"/>
  <c r="J148" i="12"/>
  <c r="J151" i="12"/>
  <c r="K163" i="12"/>
  <c r="K166" i="12"/>
  <c r="J154" i="12"/>
  <c r="K164" i="12"/>
  <c r="J152" i="12"/>
  <c r="J155" i="12"/>
  <c r="K167" i="12"/>
  <c r="K165" i="12"/>
  <c r="J153" i="12"/>
  <c r="K161" i="12"/>
  <c r="J149" i="12"/>
  <c r="K162" i="12"/>
  <c r="J150" i="12"/>
  <c r="J157" i="12"/>
  <c r="K169" i="12"/>
  <c r="J158" i="12"/>
  <c r="K170" i="12"/>
  <c r="K168" i="12"/>
  <c r="J156" i="12"/>
  <c r="J147" i="12"/>
  <c r="K159" i="12"/>
  <c r="AQ5" i="12"/>
  <c r="AJ6" i="12" s="1"/>
  <c r="AM6" i="12" s="1"/>
  <c r="AP5" i="12"/>
  <c r="G11" i="13"/>
  <c r="N9" i="12"/>
  <c r="T9" i="12" s="1"/>
  <c r="M10" i="12"/>
  <c r="S14" i="8"/>
  <c r="S10" i="8"/>
  <c r="S13" i="8"/>
  <c r="S8" i="8"/>
  <c r="S12" i="8"/>
  <c r="S6" i="8"/>
  <c r="S9" i="8"/>
  <c r="S7" i="8"/>
  <c r="R15" i="8"/>
  <c r="S15" i="8" s="1"/>
  <c r="S4" i="8"/>
  <c r="S11" i="8"/>
  <c r="AH31" i="48" l="1"/>
  <c r="AI31" i="48" s="1"/>
  <c r="AJ31" i="48" s="1"/>
  <c r="AK31" i="48" s="1"/>
  <c r="P31" i="48"/>
  <c r="T48" i="48"/>
  <c r="J50" i="48"/>
  <c r="L50" i="48" s="1"/>
  <c r="M49" i="48"/>
  <c r="K49" i="48" s="1"/>
  <c r="P47" i="45"/>
  <c r="AA50" i="53"/>
  <c r="S50" i="53" s="1"/>
  <c r="AB49" i="53"/>
  <c r="V49" i="53" s="1"/>
  <c r="Y28" i="48"/>
  <c r="O28" i="48" s="1"/>
  <c r="AO28" i="48"/>
  <c r="R28" i="48" s="1"/>
  <c r="AN28" i="48"/>
  <c r="AQ57" i="48"/>
  <c r="AR56" i="48"/>
  <c r="AE50" i="45"/>
  <c r="AF48" i="45"/>
  <c r="R48" i="60" s="1"/>
  <c r="Y49" i="45"/>
  <c r="J28" i="34"/>
  <c r="M28" i="34"/>
  <c r="L28" i="34"/>
  <c r="O27" i="34"/>
  <c r="N27" i="34"/>
  <c r="K29" i="34" a="1"/>
  <c r="K29" i="34" s="1"/>
  <c r="M39" i="10"/>
  <c r="L39" i="10"/>
  <c r="J39" i="10"/>
  <c r="R16" i="8"/>
  <c r="J101" i="21"/>
  <c r="K113" i="21"/>
  <c r="K116" i="21"/>
  <c r="J104" i="21"/>
  <c r="J121" i="21"/>
  <c r="K133" i="21"/>
  <c r="J105" i="21"/>
  <c r="K117" i="21"/>
  <c r="N13" i="21"/>
  <c r="T13" i="21" s="1"/>
  <c r="W13" i="21" s="1"/>
  <c r="M14" i="21"/>
  <c r="J99" i="21"/>
  <c r="K111" i="21"/>
  <c r="AM6" i="21"/>
  <c r="K114" i="21"/>
  <c r="J102" i="21"/>
  <c r="K144" i="21"/>
  <c r="J132" i="21"/>
  <c r="K118" i="21"/>
  <c r="J106" i="21"/>
  <c r="B20" i="21"/>
  <c r="K122" i="21"/>
  <c r="J110" i="21"/>
  <c r="J103" i="21"/>
  <c r="K115" i="21"/>
  <c r="J95" i="21"/>
  <c r="K107" i="21"/>
  <c r="K112" i="21"/>
  <c r="J100" i="21"/>
  <c r="S15" i="20"/>
  <c r="S16" i="20" s="1"/>
  <c r="K182" i="12"/>
  <c r="J170" i="12"/>
  <c r="J163" i="12"/>
  <c r="K175" i="12"/>
  <c r="J162" i="12"/>
  <c r="K174" i="12"/>
  <c r="J165" i="12"/>
  <c r="K177" i="12"/>
  <c r="J164" i="12"/>
  <c r="K176" i="12"/>
  <c r="J169" i="12"/>
  <c r="K181" i="12"/>
  <c r="J167" i="12"/>
  <c r="K179" i="12"/>
  <c r="J168" i="12"/>
  <c r="K180" i="12"/>
  <c r="K173" i="12"/>
  <c r="J161" i="12"/>
  <c r="K178" i="12"/>
  <c r="J166" i="12"/>
  <c r="J160" i="12"/>
  <c r="K172" i="12"/>
  <c r="J159" i="12"/>
  <c r="K171" i="12"/>
  <c r="AO6" i="12"/>
  <c r="AQ6" i="12" s="1"/>
  <c r="AJ7" i="12" s="1"/>
  <c r="AN6" i="12"/>
  <c r="G12" i="13"/>
  <c r="M11" i="12"/>
  <c r="N10" i="12"/>
  <c r="T10" i="12" s="1"/>
  <c r="V31" i="48" l="1"/>
  <c r="AL31" i="48"/>
  <c r="AF32" i="48" s="1"/>
  <c r="AG32" i="48" s="1"/>
  <c r="Q31" i="48"/>
  <c r="T49" i="48"/>
  <c r="J51" i="48"/>
  <c r="L51" i="48" s="1"/>
  <c r="M50" i="48"/>
  <c r="K50" i="48" s="1"/>
  <c r="P48" i="45"/>
  <c r="AA51" i="53"/>
  <c r="S51" i="53" s="1"/>
  <c r="AB50" i="53"/>
  <c r="V50" i="53" s="1"/>
  <c r="AB28" i="48"/>
  <c r="AE28" i="48"/>
  <c r="W29" i="48" s="1"/>
  <c r="AQ58" i="48"/>
  <c r="AR57" i="48"/>
  <c r="AE51" i="45"/>
  <c r="AF49" i="45"/>
  <c r="R49" i="60" s="1"/>
  <c r="Y50" i="45"/>
  <c r="M29" i="34"/>
  <c r="L29" i="34"/>
  <c r="J29" i="34"/>
  <c r="K30" i="34" a="1"/>
  <c r="K30" i="34" s="1"/>
  <c r="N28" i="34"/>
  <c r="O28" i="34"/>
  <c r="O39" i="10"/>
  <c r="N39" i="10"/>
  <c r="K17" i="10"/>
  <c r="AM7" i="12"/>
  <c r="AO7" i="12" s="1"/>
  <c r="AQ7" i="12" s="1"/>
  <c r="AJ8" i="12" s="1"/>
  <c r="AM8" i="12" s="1"/>
  <c r="J117" i="21"/>
  <c r="K129" i="21"/>
  <c r="J113" i="21"/>
  <c r="K125" i="21"/>
  <c r="J107" i="21"/>
  <c r="K119" i="21"/>
  <c r="K130" i="21"/>
  <c r="J118" i="21"/>
  <c r="AO6" i="21"/>
  <c r="AN6" i="21"/>
  <c r="N14" i="21"/>
  <c r="T14" i="21" s="1"/>
  <c r="W14" i="21" s="1"/>
  <c r="M15" i="21"/>
  <c r="K134" i="21"/>
  <c r="J122" i="21"/>
  <c r="B21" i="21"/>
  <c r="K145" i="21"/>
  <c r="J133" i="21"/>
  <c r="K128" i="21"/>
  <c r="J116" i="21"/>
  <c r="K124" i="21"/>
  <c r="J112" i="21"/>
  <c r="J115" i="21"/>
  <c r="K127" i="21"/>
  <c r="K156" i="21"/>
  <c r="J144" i="21"/>
  <c r="K126" i="21"/>
  <c r="J114" i="21"/>
  <c r="J111" i="21"/>
  <c r="K123" i="21"/>
  <c r="K192" i="12"/>
  <c r="J192" i="12" s="1"/>
  <c r="J180" i="12"/>
  <c r="K189" i="12"/>
  <c r="J189" i="12" s="1"/>
  <c r="J177" i="12"/>
  <c r="K184" i="12"/>
  <c r="J184" i="12" s="1"/>
  <c r="J172" i="12"/>
  <c r="J179" i="12"/>
  <c r="K191" i="12"/>
  <c r="J191" i="12" s="1"/>
  <c r="K188" i="12"/>
  <c r="J188" i="12" s="1"/>
  <c r="J176" i="12"/>
  <c r="J174" i="12"/>
  <c r="K186" i="12"/>
  <c r="J186" i="12" s="1"/>
  <c r="K193" i="12"/>
  <c r="J193" i="12" s="1"/>
  <c r="J181" i="12"/>
  <c r="J175" i="12"/>
  <c r="K187" i="12"/>
  <c r="J187" i="12" s="1"/>
  <c r="J178" i="12"/>
  <c r="K190" i="12"/>
  <c r="J190" i="12" s="1"/>
  <c r="J173" i="12"/>
  <c r="K185" i="12"/>
  <c r="J185" i="12" s="1"/>
  <c r="K194" i="12"/>
  <c r="J194" i="12" s="1"/>
  <c r="J182" i="12"/>
  <c r="J171" i="12"/>
  <c r="K183" i="12"/>
  <c r="AP6" i="12"/>
  <c r="G13" i="13"/>
  <c r="N11" i="12"/>
  <c r="T11" i="12" s="1"/>
  <c r="M12" i="12"/>
  <c r="S16" i="8"/>
  <c r="S17" i="8" s="1"/>
  <c r="AH32" i="48" l="1"/>
  <c r="AI32" i="48" s="1"/>
  <c r="P32" i="48"/>
  <c r="AC28" i="48"/>
  <c r="AD28" i="48" s="1"/>
  <c r="AP28" i="48" s="1"/>
  <c r="S28" i="48" s="1"/>
  <c r="U28" i="48"/>
  <c r="T50" i="48"/>
  <c r="J52" i="48"/>
  <c r="L52" i="48" s="1"/>
  <c r="M51" i="48"/>
  <c r="K51" i="48" s="1"/>
  <c r="P49" i="45"/>
  <c r="AA52" i="53"/>
  <c r="S52" i="53" s="1"/>
  <c r="AB51" i="53"/>
  <c r="V51" i="53" s="1"/>
  <c r="X29" i="48"/>
  <c r="N29" i="48" s="1"/>
  <c r="AQ59" i="48"/>
  <c r="AR58" i="48"/>
  <c r="AE52" i="45"/>
  <c r="AF50" i="45"/>
  <c r="R50" i="60" s="1"/>
  <c r="Y51" i="45"/>
  <c r="N29" i="34"/>
  <c r="O29" i="34"/>
  <c r="L30" i="34"/>
  <c r="M30" i="34"/>
  <c r="J30" i="34"/>
  <c r="K31" i="34" a="1"/>
  <c r="K31" i="34" s="1"/>
  <c r="AN7" i="12"/>
  <c r="AN8" i="12" s="1"/>
  <c r="AP7" i="12"/>
  <c r="K138" i="21"/>
  <c r="J126" i="21"/>
  <c r="K135" i="21"/>
  <c r="J123" i="21"/>
  <c r="B22" i="21"/>
  <c r="K146" i="21"/>
  <c r="J134" i="21"/>
  <c r="K142" i="21"/>
  <c r="J130" i="21"/>
  <c r="K131" i="21"/>
  <c r="J119" i="21"/>
  <c r="J129" i="21"/>
  <c r="K141" i="21"/>
  <c r="K168" i="21"/>
  <c r="J156" i="21"/>
  <c r="K136" i="21"/>
  <c r="J124" i="21"/>
  <c r="J145" i="21"/>
  <c r="K157" i="21"/>
  <c r="K140" i="21"/>
  <c r="J128" i="21"/>
  <c r="J127" i="21"/>
  <c r="K139" i="21"/>
  <c r="N15" i="21"/>
  <c r="T15" i="21" s="1"/>
  <c r="M16" i="21"/>
  <c r="AQ6" i="21"/>
  <c r="AJ7" i="21" s="1"/>
  <c r="AP6" i="21"/>
  <c r="J125" i="21"/>
  <c r="K137" i="21"/>
  <c r="F16" i="12"/>
  <c r="F15" i="12"/>
  <c r="F24" i="12"/>
  <c r="F18" i="12"/>
  <c r="F20" i="12"/>
  <c r="F23" i="12"/>
  <c r="F17" i="12"/>
  <c r="F21" i="12"/>
  <c r="F12" i="12"/>
  <c r="F22" i="12"/>
  <c r="F11" i="12"/>
  <c r="F19" i="12"/>
  <c r="F14" i="12"/>
  <c r="F25" i="12"/>
  <c r="F13" i="12"/>
  <c r="F26" i="12"/>
  <c r="J183" i="12"/>
  <c r="D15" i="12"/>
  <c r="D26" i="12"/>
  <c r="D17" i="12"/>
  <c r="D21" i="12"/>
  <c r="D20" i="12"/>
  <c r="D13" i="12"/>
  <c r="D25" i="12"/>
  <c r="D16" i="12"/>
  <c r="D22" i="12"/>
  <c r="D18" i="12"/>
  <c r="D11" i="12"/>
  <c r="D24" i="12"/>
  <c r="D19" i="12"/>
  <c r="D12" i="12"/>
  <c r="D14" i="12"/>
  <c r="D23" i="12"/>
  <c r="AO8" i="12"/>
  <c r="AQ8" i="12" s="1"/>
  <c r="G14" i="13"/>
  <c r="M13" i="12"/>
  <c r="N12" i="12"/>
  <c r="T12" i="12" s="1"/>
  <c r="AJ32" i="48" l="1"/>
  <c r="AK32" i="48" s="1"/>
  <c r="V32" i="48"/>
  <c r="AL32" i="48"/>
  <c r="AF33" i="48" s="1"/>
  <c r="AG33" i="48" s="1"/>
  <c r="Q32" i="48"/>
  <c r="T51" i="48"/>
  <c r="J53" i="48"/>
  <c r="L53" i="48" s="1"/>
  <c r="M52" i="48"/>
  <c r="K52" i="48" s="1"/>
  <c r="AA53" i="53"/>
  <c r="S53" i="53" s="1"/>
  <c r="AB52" i="53"/>
  <c r="V52" i="53" s="1"/>
  <c r="Y29" i="48"/>
  <c r="O29" i="48" s="1"/>
  <c r="AN29" i="48"/>
  <c r="AO29" i="48"/>
  <c r="R29" i="48" s="1"/>
  <c r="AQ60" i="48"/>
  <c r="AR59" i="48"/>
  <c r="AE53" i="45"/>
  <c r="AF51" i="45"/>
  <c r="R51" i="60" s="1"/>
  <c r="Y52" i="45"/>
  <c r="L31" i="34"/>
  <c r="J31" i="34"/>
  <c r="M31" i="34"/>
  <c r="K32" i="34" a="1"/>
  <c r="K32" i="34" s="1"/>
  <c r="O30" i="34"/>
  <c r="N30" i="34"/>
  <c r="K148" i="21"/>
  <c r="J136" i="21"/>
  <c r="K158" i="21"/>
  <c r="J146" i="21"/>
  <c r="M17" i="21"/>
  <c r="N16" i="21"/>
  <c r="T16" i="21" s="1"/>
  <c r="W16" i="21" s="1"/>
  <c r="K169" i="21"/>
  <c r="J157" i="21"/>
  <c r="K154" i="21"/>
  <c r="J142" i="21"/>
  <c r="W15" i="21"/>
  <c r="K180" i="21"/>
  <c r="J168" i="21"/>
  <c r="B23" i="21"/>
  <c r="K150" i="21"/>
  <c r="J138" i="21"/>
  <c r="J137" i="21"/>
  <c r="K149" i="21"/>
  <c r="AM7" i="21"/>
  <c r="J139" i="21"/>
  <c r="K151" i="21"/>
  <c r="K152" i="21"/>
  <c r="J140" i="21"/>
  <c r="J141" i="21"/>
  <c r="K153" i="21"/>
  <c r="K143" i="21"/>
  <c r="J131" i="21"/>
  <c r="K147" i="21"/>
  <c r="J135" i="21"/>
  <c r="AP8" i="12"/>
  <c r="AJ9" i="12"/>
  <c r="G15" i="13"/>
  <c r="N13" i="12"/>
  <c r="T13" i="12" s="1"/>
  <c r="M14" i="12"/>
  <c r="M15" i="12" s="1"/>
  <c r="AH33" i="48" l="1"/>
  <c r="AI33" i="48" s="1"/>
  <c r="P33" i="48"/>
  <c r="T52" i="48"/>
  <c r="J54" i="48"/>
  <c r="L54" i="48" s="1"/>
  <c r="M53" i="48"/>
  <c r="K53" i="48" s="1"/>
  <c r="AA54" i="53"/>
  <c r="S54" i="53" s="1"/>
  <c r="AB53" i="53"/>
  <c r="V53" i="53" s="1"/>
  <c r="AB29" i="48"/>
  <c r="AE29" i="48"/>
  <c r="W30" i="48" s="1"/>
  <c r="AQ61" i="48"/>
  <c r="AR60" i="48"/>
  <c r="AE54" i="45"/>
  <c r="AF52" i="45"/>
  <c r="R52" i="60" s="1"/>
  <c r="Y53" i="45"/>
  <c r="O31" i="34"/>
  <c r="N31" i="34"/>
  <c r="M32" i="34"/>
  <c r="L32" i="34"/>
  <c r="J32" i="34"/>
  <c r="K33" i="34" a="1"/>
  <c r="K33" i="34" s="1"/>
  <c r="K166" i="21"/>
  <c r="J154" i="21"/>
  <c r="K170" i="21"/>
  <c r="J158" i="21"/>
  <c r="K163" i="21"/>
  <c r="J151" i="21"/>
  <c r="J149" i="21"/>
  <c r="K161" i="21"/>
  <c r="B24" i="21"/>
  <c r="N17" i="21"/>
  <c r="T17" i="21" s="1"/>
  <c r="M18" i="21"/>
  <c r="K162" i="21"/>
  <c r="J150" i="21"/>
  <c r="J143" i="21"/>
  <c r="K155" i="21"/>
  <c r="K164" i="21"/>
  <c r="J152" i="21"/>
  <c r="K160" i="21"/>
  <c r="J148" i="21"/>
  <c r="J147" i="21"/>
  <c r="K159" i="21"/>
  <c r="K165" i="21"/>
  <c r="J153" i="21"/>
  <c r="AO7" i="21"/>
  <c r="AN7" i="21"/>
  <c r="J180" i="21"/>
  <c r="K192" i="21"/>
  <c r="J192" i="21" s="1"/>
  <c r="K181" i="21"/>
  <c r="J169" i="21"/>
  <c r="AM9" i="12"/>
  <c r="G16" i="13"/>
  <c r="N14" i="12"/>
  <c r="T14" i="12" s="1"/>
  <c r="AJ33" i="48" l="1"/>
  <c r="AK33" i="48" s="1"/>
  <c r="V33" i="48"/>
  <c r="AL33" i="48"/>
  <c r="AF34" i="48" s="1"/>
  <c r="AG34" i="48" s="1"/>
  <c r="Q33" i="48"/>
  <c r="AC29" i="48"/>
  <c r="AD29" i="48" s="1"/>
  <c r="AP29" i="48" s="1"/>
  <c r="S29" i="48" s="1"/>
  <c r="U29" i="48"/>
  <c r="T53" i="48"/>
  <c r="J55" i="48"/>
  <c r="L55" i="48" s="1"/>
  <c r="M54" i="48"/>
  <c r="K54" i="48" s="1"/>
  <c r="AA55" i="53"/>
  <c r="S55" i="53" s="1"/>
  <c r="AB54" i="53"/>
  <c r="V54" i="53" s="1"/>
  <c r="X30" i="48"/>
  <c r="N30" i="48" s="1"/>
  <c r="AQ62" i="48"/>
  <c r="AR61" i="48"/>
  <c r="AE55" i="45"/>
  <c r="AF53" i="45"/>
  <c r="R53" i="60" s="1"/>
  <c r="Y54" i="45"/>
  <c r="J33" i="34"/>
  <c r="M33" i="34"/>
  <c r="L33" i="34"/>
  <c r="K34" i="34" a="1"/>
  <c r="K34" i="34" s="1"/>
  <c r="O32" i="34"/>
  <c r="N32" i="34"/>
  <c r="K174" i="21"/>
  <c r="J162" i="21"/>
  <c r="K182" i="21"/>
  <c r="J170" i="21"/>
  <c r="K193" i="21"/>
  <c r="J193" i="21" s="1"/>
  <c r="J181" i="21"/>
  <c r="K177" i="21"/>
  <c r="J165" i="21"/>
  <c r="K172" i="21"/>
  <c r="J160" i="21"/>
  <c r="K167" i="21"/>
  <c r="J155" i="21"/>
  <c r="M19" i="21"/>
  <c r="N18" i="21"/>
  <c r="T18" i="21" s="1"/>
  <c r="W18" i="21" s="1"/>
  <c r="AQ7" i="21"/>
  <c r="AJ8" i="21" s="1"/>
  <c r="AP7" i="21"/>
  <c r="K171" i="21"/>
  <c r="J159" i="21"/>
  <c r="K176" i="21"/>
  <c r="J164" i="21"/>
  <c r="W17" i="21"/>
  <c r="B25" i="21"/>
  <c r="K175" i="21"/>
  <c r="J163" i="21"/>
  <c r="K178" i="21"/>
  <c r="J166" i="21"/>
  <c r="Y3" i="21"/>
  <c r="AC3" i="21" s="1"/>
  <c r="K173" i="21"/>
  <c r="J161" i="21"/>
  <c r="C11" i="12"/>
  <c r="AO9" i="12"/>
  <c r="AQ9" i="12" s="1"/>
  <c r="AN9" i="12"/>
  <c r="G17" i="13"/>
  <c r="Y3" i="12"/>
  <c r="AC3" i="12" s="1"/>
  <c r="Y4" i="12" s="1"/>
  <c r="AC4" i="12" s="1"/>
  <c r="Y5" i="12" s="1"/>
  <c r="N15" i="12"/>
  <c r="T15" i="12" s="1"/>
  <c r="M16" i="12"/>
  <c r="AH34" i="48" l="1"/>
  <c r="AI34" i="48" s="1"/>
  <c r="P34" i="48"/>
  <c r="T54" i="48"/>
  <c r="J56" i="48"/>
  <c r="L56" i="48" s="1"/>
  <c r="M55" i="48"/>
  <c r="K55" i="48" s="1"/>
  <c r="AA56" i="53"/>
  <c r="S56" i="53" s="1"/>
  <c r="AB55" i="53"/>
  <c r="V55" i="53" s="1"/>
  <c r="Y30" i="48"/>
  <c r="O30" i="48" s="1"/>
  <c r="AO30" i="48"/>
  <c r="R30" i="48" s="1"/>
  <c r="AN30" i="48"/>
  <c r="AQ63" i="48"/>
  <c r="AR62" i="48"/>
  <c r="AE56" i="45"/>
  <c r="AF54" i="45"/>
  <c r="R54" i="60" s="1"/>
  <c r="Y55" i="45"/>
  <c r="Y56" i="45" s="1"/>
  <c r="M34" i="34"/>
  <c r="L34" i="34"/>
  <c r="J34" i="34"/>
  <c r="K35" i="34" a="1"/>
  <c r="K35" i="34" s="1"/>
  <c r="O33" i="34"/>
  <c r="N33" i="34"/>
  <c r="K190" i="21"/>
  <c r="J190" i="21" s="1"/>
  <c r="J178" i="21"/>
  <c r="K179" i="21"/>
  <c r="J167" i="21"/>
  <c r="K189" i="21"/>
  <c r="J189" i="21" s="1"/>
  <c r="J177" i="21"/>
  <c r="K194" i="21"/>
  <c r="J182" i="21"/>
  <c r="AD3" i="21"/>
  <c r="AE3" i="21" s="1"/>
  <c r="AF3" i="21" s="1"/>
  <c r="Y4" i="21"/>
  <c r="AC4" i="21" s="1"/>
  <c r="B26" i="21"/>
  <c r="K183" i="21"/>
  <c r="J183" i="21" s="1"/>
  <c r="J171" i="21"/>
  <c r="N19" i="21"/>
  <c r="T19" i="21" s="1"/>
  <c r="W19" i="21" s="1"/>
  <c r="M20" i="21"/>
  <c r="K187" i="21"/>
  <c r="J187" i="21" s="1"/>
  <c r="J175" i="21"/>
  <c r="J176" i="21"/>
  <c r="K188" i="21"/>
  <c r="J188" i="21" s="1"/>
  <c r="J172" i="21"/>
  <c r="K184" i="21"/>
  <c r="J184" i="21" s="1"/>
  <c r="K186" i="21"/>
  <c r="J186" i="21" s="1"/>
  <c r="J174" i="21"/>
  <c r="K185" i="21"/>
  <c r="J185" i="21" s="1"/>
  <c r="J173" i="21"/>
  <c r="AM8" i="21"/>
  <c r="H11" i="12"/>
  <c r="H6" i="13"/>
  <c r="AC5" i="12"/>
  <c r="Y6" i="12" s="1"/>
  <c r="AJ10" i="12"/>
  <c r="AP9" i="12"/>
  <c r="G18" i="13"/>
  <c r="N16" i="12"/>
  <c r="T16" i="12" s="1"/>
  <c r="M17" i="12"/>
  <c r="N17" i="12" s="1"/>
  <c r="V34" i="48" l="1"/>
  <c r="AJ34" i="48"/>
  <c r="AK34" i="48" s="1"/>
  <c r="AL34" i="48"/>
  <c r="AF35" i="48" s="1"/>
  <c r="AG35" i="48" s="1"/>
  <c r="Q34" i="48"/>
  <c r="T55" i="48"/>
  <c r="J57" i="48"/>
  <c r="L57" i="48" s="1"/>
  <c r="M56" i="48"/>
  <c r="K56" i="48" s="1"/>
  <c r="AA57" i="53"/>
  <c r="AB56" i="53"/>
  <c r="V56" i="53" s="1"/>
  <c r="AB30" i="48"/>
  <c r="AE30" i="48"/>
  <c r="W31" i="48" s="1"/>
  <c r="AQ64" i="48"/>
  <c r="AR63" i="48"/>
  <c r="AE57" i="45"/>
  <c r="AF55" i="45"/>
  <c r="R55" i="60" s="1"/>
  <c r="L35" i="34"/>
  <c r="M35" i="34"/>
  <c r="J35" i="34"/>
  <c r="K36" i="34" a="1"/>
  <c r="K36" i="34" s="1"/>
  <c r="N34" i="34"/>
  <c r="O34" i="34"/>
  <c r="AO8" i="21"/>
  <c r="AN8" i="21"/>
  <c r="M21" i="21"/>
  <c r="N20" i="21"/>
  <c r="T20" i="21" s="1"/>
  <c r="J194" i="21"/>
  <c r="F15" i="21"/>
  <c r="D17" i="21"/>
  <c r="K191" i="21"/>
  <c r="F21" i="21" s="1"/>
  <c r="J179" i="21"/>
  <c r="Y5" i="21"/>
  <c r="AC5" i="21" s="1"/>
  <c r="AD4" i="21"/>
  <c r="AE4" i="21" s="1"/>
  <c r="AF4" i="21" s="1"/>
  <c r="AM10" i="12"/>
  <c r="G19" i="13"/>
  <c r="T17" i="12"/>
  <c r="M18" i="12"/>
  <c r="AH35" i="48" l="1"/>
  <c r="AI35" i="48" s="1"/>
  <c r="P35" i="48"/>
  <c r="AC30" i="48"/>
  <c r="AD30" i="48" s="1"/>
  <c r="AP30" i="48" s="1"/>
  <c r="S30" i="48" s="1"/>
  <c r="U30" i="48"/>
  <c r="T56" i="48"/>
  <c r="M11" i="50"/>
  <c r="M57" i="48"/>
  <c r="K57" i="48" s="1"/>
  <c r="J58" i="48"/>
  <c r="L58" i="48" s="1"/>
  <c r="AA58" i="53"/>
  <c r="AB57" i="53"/>
  <c r="X31" i="48"/>
  <c r="N31" i="48" s="1"/>
  <c r="AQ65" i="48"/>
  <c r="AR64" i="48"/>
  <c r="AE58" i="45"/>
  <c r="AF56" i="45"/>
  <c r="R56" i="60" s="1"/>
  <c r="Y57" i="45"/>
  <c r="L36" i="34"/>
  <c r="J36" i="34"/>
  <c r="M36" i="34"/>
  <c r="K37" i="34" a="1"/>
  <c r="K37" i="34" s="1"/>
  <c r="O35" i="34"/>
  <c r="N35" i="34"/>
  <c r="F13" i="21"/>
  <c r="F22" i="21"/>
  <c r="D24" i="21"/>
  <c r="F19" i="21"/>
  <c r="D18" i="21"/>
  <c r="F16" i="21"/>
  <c r="F11" i="21"/>
  <c r="F14" i="21"/>
  <c r="M22" i="21"/>
  <c r="N21" i="21"/>
  <c r="T21" i="21" s="1"/>
  <c r="W21" i="21" s="1"/>
  <c r="F24" i="21"/>
  <c r="D13" i="21"/>
  <c r="W20" i="21"/>
  <c r="D23" i="21"/>
  <c r="F18" i="21"/>
  <c r="D15" i="21"/>
  <c r="D14" i="21"/>
  <c r="D11" i="21"/>
  <c r="F26" i="21"/>
  <c r="Y6" i="21"/>
  <c r="AC6" i="21" s="1"/>
  <c r="AD5" i="21"/>
  <c r="AE5" i="21" s="1"/>
  <c r="AF5" i="21" s="1"/>
  <c r="J191" i="21"/>
  <c r="D25" i="21"/>
  <c r="F23" i="21"/>
  <c r="D22" i="21"/>
  <c r="F20" i="21"/>
  <c r="F25" i="21"/>
  <c r="D20" i="21"/>
  <c r="D19" i="21"/>
  <c r="F17" i="21"/>
  <c r="D16" i="21"/>
  <c r="F12" i="21"/>
  <c r="D12" i="21"/>
  <c r="D26" i="21"/>
  <c r="AQ8" i="21"/>
  <c r="AJ9" i="21" s="1"/>
  <c r="AP8" i="21"/>
  <c r="D21" i="21"/>
  <c r="AO10" i="12"/>
  <c r="AQ10" i="12" s="1"/>
  <c r="AN10" i="12"/>
  <c r="G21" i="13"/>
  <c r="G20" i="13"/>
  <c r="N18" i="12"/>
  <c r="T18" i="12" s="1"/>
  <c r="M19" i="12"/>
  <c r="V35" i="48" l="1"/>
  <c r="AJ35" i="48"/>
  <c r="AK35" i="48" s="1"/>
  <c r="AL35" i="48"/>
  <c r="AF36" i="48" s="1"/>
  <c r="AG36" i="48" s="1"/>
  <c r="Q35" i="48"/>
  <c r="T57" i="48"/>
  <c r="J59" i="48"/>
  <c r="L59" i="48" s="1"/>
  <c r="M58" i="48"/>
  <c r="K58" i="48" s="1"/>
  <c r="AA59" i="53"/>
  <c r="AB58" i="53"/>
  <c r="Y31" i="48"/>
  <c r="O31" i="48" s="1"/>
  <c r="AN31" i="48"/>
  <c r="AO31" i="48"/>
  <c r="R31" i="48" s="1"/>
  <c r="AQ66" i="48"/>
  <c r="AR65" i="48"/>
  <c r="AE59" i="45"/>
  <c r="AF57" i="45"/>
  <c r="R57" i="60" s="1"/>
  <c r="Y58" i="45"/>
  <c r="M37" i="34"/>
  <c r="L37" i="34"/>
  <c r="J37" i="34"/>
  <c r="K38" i="34" a="1"/>
  <c r="K38" i="34" s="1"/>
  <c r="O36" i="34"/>
  <c r="N36" i="34"/>
  <c r="AM9" i="21"/>
  <c r="AD6" i="21"/>
  <c r="AE6" i="21" s="1"/>
  <c r="AF6" i="21" s="1"/>
  <c r="Y7" i="21"/>
  <c r="AC7" i="21" s="1"/>
  <c r="M23" i="21"/>
  <c r="N22" i="21"/>
  <c r="T22" i="21" s="1"/>
  <c r="W22" i="21" s="1"/>
  <c r="AC6" i="12"/>
  <c r="AP10" i="12"/>
  <c r="AJ11" i="12"/>
  <c r="M20" i="12"/>
  <c r="N19" i="12"/>
  <c r="T19" i="12" s="1"/>
  <c r="AH36" i="48" l="1"/>
  <c r="AI36" i="48" s="1"/>
  <c r="P36" i="48"/>
  <c r="T58" i="48"/>
  <c r="J60" i="48"/>
  <c r="L60" i="48" s="1"/>
  <c r="M59" i="48"/>
  <c r="K59" i="48" s="1"/>
  <c r="AA60" i="53"/>
  <c r="AB59" i="53"/>
  <c r="AB31" i="48"/>
  <c r="AE31" i="48"/>
  <c r="W32" i="48" s="1"/>
  <c r="AQ67" i="48"/>
  <c r="AR66" i="48"/>
  <c r="AE60" i="45"/>
  <c r="AF58" i="45"/>
  <c r="R58" i="60" s="1"/>
  <c r="Y59" i="45"/>
  <c r="J38" i="34"/>
  <c r="M38" i="34"/>
  <c r="L38" i="34"/>
  <c r="K39" i="34" a="1"/>
  <c r="K39" i="34" s="1"/>
  <c r="O37" i="34"/>
  <c r="N37" i="34"/>
  <c r="M24" i="21"/>
  <c r="N23" i="21"/>
  <c r="T23" i="21" s="1"/>
  <c r="AO9" i="21"/>
  <c r="AN9" i="21"/>
  <c r="Y8" i="21"/>
  <c r="AC8" i="21" s="1"/>
  <c r="AD7" i="21"/>
  <c r="AE7" i="21" s="1"/>
  <c r="AF7" i="21" s="1"/>
  <c r="Y7" i="12"/>
  <c r="AC7" i="12" s="1"/>
  <c r="AM11" i="12"/>
  <c r="M21" i="12"/>
  <c r="N20" i="12"/>
  <c r="T20" i="12" s="1"/>
  <c r="V36" i="48" l="1"/>
  <c r="AJ36" i="48"/>
  <c r="AK36" i="48" s="1"/>
  <c r="AL36" i="48"/>
  <c r="AF37" i="48" s="1"/>
  <c r="AG37" i="48" s="1"/>
  <c r="Q36" i="48"/>
  <c r="AC31" i="48"/>
  <c r="AD31" i="48" s="1"/>
  <c r="AP31" i="48" s="1"/>
  <c r="S31" i="48" s="1"/>
  <c r="U31" i="48"/>
  <c r="T59" i="48"/>
  <c r="J61" i="48"/>
  <c r="L61" i="48" s="1"/>
  <c r="M60" i="48"/>
  <c r="K60" i="48" s="1"/>
  <c r="AA61" i="53"/>
  <c r="AB60" i="53"/>
  <c r="X32" i="48"/>
  <c r="N32" i="48" s="1"/>
  <c r="AQ68" i="48"/>
  <c r="AR67" i="48"/>
  <c r="AE61" i="45"/>
  <c r="AF59" i="45"/>
  <c r="R59" i="60" s="1"/>
  <c r="Y60" i="45"/>
  <c r="M39" i="34"/>
  <c r="L39" i="34"/>
  <c r="J39" i="34"/>
  <c r="O38" i="34"/>
  <c r="N38" i="34"/>
  <c r="W23" i="21"/>
  <c r="AP9" i="21"/>
  <c r="AQ9" i="21"/>
  <c r="AJ10" i="21" s="1"/>
  <c r="AD8" i="21"/>
  <c r="AE8" i="21" s="1"/>
  <c r="AF8" i="21" s="1"/>
  <c r="Y9" i="21"/>
  <c r="AC9" i="21" s="1"/>
  <c r="M25" i="21"/>
  <c r="N24" i="21"/>
  <c r="T24" i="21" s="1"/>
  <c r="W24" i="21" s="1"/>
  <c r="Y8" i="12"/>
  <c r="AC8" i="12" s="1"/>
  <c r="Y9" i="12" s="1"/>
  <c r="AC9" i="12" s="1"/>
  <c r="Y10" i="12" s="1"/>
  <c r="AC10" i="12" s="1"/>
  <c r="Y11" i="12" s="1"/>
  <c r="AO11" i="12"/>
  <c r="AQ11" i="12" s="1"/>
  <c r="AN11" i="12"/>
  <c r="M22" i="12"/>
  <c r="N21" i="12"/>
  <c r="T21" i="12" s="1"/>
  <c r="AH37" i="48" l="1"/>
  <c r="AI37" i="48" s="1"/>
  <c r="P37" i="48"/>
  <c r="T60" i="48"/>
  <c r="J62" i="48"/>
  <c r="L62" i="48" s="1"/>
  <c r="M61" i="48"/>
  <c r="K61" i="48" s="1"/>
  <c r="AA62" i="53"/>
  <c r="AB61" i="53"/>
  <c r="Y32" i="48"/>
  <c r="O32" i="48" s="1"/>
  <c r="AO32" i="48"/>
  <c r="R32" i="48" s="1"/>
  <c r="AN32" i="48"/>
  <c r="AQ69" i="48"/>
  <c r="AR68" i="48"/>
  <c r="AE62" i="45"/>
  <c r="AF60" i="45"/>
  <c r="R60" i="60" s="1"/>
  <c r="Y61" i="45"/>
  <c r="O39" i="34"/>
  <c r="N39" i="34"/>
  <c r="M26" i="21"/>
  <c r="N25" i="21"/>
  <c r="T25" i="21" s="1"/>
  <c r="AM10" i="21"/>
  <c r="Y10" i="21"/>
  <c r="AC10" i="21" s="1"/>
  <c r="AD9" i="21"/>
  <c r="AE9" i="21" s="1"/>
  <c r="AF9" i="21" s="1"/>
  <c r="AC11" i="12"/>
  <c r="Y12" i="12" s="1"/>
  <c r="AJ12" i="12"/>
  <c r="AP11" i="12"/>
  <c r="M23" i="12"/>
  <c r="N22" i="12"/>
  <c r="T22" i="12" s="1"/>
  <c r="V37" i="48" l="1"/>
  <c r="AJ37" i="48"/>
  <c r="AK37" i="48" s="1"/>
  <c r="AL37" i="48"/>
  <c r="AF38" i="48" s="1"/>
  <c r="AG38" i="48" s="1"/>
  <c r="Q37" i="48"/>
  <c r="T61" i="48"/>
  <c r="J63" i="48"/>
  <c r="L63" i="48" s="1"/>
  <c r="M62" i="48"/>
  <c r="K62" i="48" s="1"/>
  <c r="AA63" i="53"/>
  <c r="AB62" i="53"/>
  <c r="AB32" i="48"/>
  <c r="AE32" i="48"/>
  <c r="W33" i="48" s="1"/>
  <c r="AQ70" i="48"/>
  <c r="AR69" i="48"/>
  <c r="AE63" i="45"/>
  <c r="AF61" i="45"/>
  <c r="R61" i="60" s="1"/>
  <c r="Y62" i="45"/>
  <c r="W25" i="21"/>
  <c r="C12" i="21"/>
  <c r="AO10" i="21"/>
  <c r="AN10" i="21"/>
  <c r="Y11" i="21"/>
  <c r="AC11" i="21" s="1"/>
  <c r="AD10" i="21"/>
  <c r="AE10" i="21" s="1"/>
  <c r="AF10" i="21" s="1"/>
  <c r="M27" i="21"/>
  <c r="N26" i="21"/>
  <c r="T26" i="21" s="1"/>
  <c r="W26" i="21" s="1"/>
  <c r="AC12" i="12"/>
  <c r="Y13" i="12" s="1"/>
  <c r="AM12" i="12"/>
  <c r="M24" i="12"/>
  <c r="N23" i="12"/>
  <c r="T23" i="12" s="1"/>
  <c r="AH38" i="48" l="1"/>
  <c r="AI38" i="48" s="1"/>
  <c r="P38" i="48"/>
  <c r="AC32" i="48"/>
  <c r="AD32" i="48" s="1"/>
  <c r="AP32" i="48" s="1"/>
  <c r="S32" i="48" s="1"/>
  <c r="U32" i="48"/>
  <c r="T62" i="48"/>
  <c r="J64" i="48"/>
  <c r="L64" i="48" s="1"/>
  <c r="M63" i="48"/>
  <c r="K63" i="48" s="1"/>
  <c r="AA64" i="53"/>
  <c r="AB63" i="53"/>
  <c r="X33" i="48"/>
  <c r="N33" i="48" s="1"/>
  <c r="AQ71" i="48"/>
  <c r="AR70" i="48"/>
  <c r="AE64" i="45"/>
  <c r="AF62" i="45"/>
  <c r="R62" i="60" s="1"/>
  <c r="Y63" i="45"/>
  <c r="AD11" i="21"/>
  <c r="AE11" i="21" s="1"/>
  <c r="AF11" i="21" s="1"/>
  <c r="Y12" i="21"/>
  <c r="AC12" i="21" s="1"/>
  <c r="N27" i="21"/>
  <c r="T27" i="21" s="1"/>
  <c r="M28" i="21"/>
  <c r="AQ10" i="21"/>
  <c r="AJ11" i="21" s="1"/>
  <c r="AP10" i="21"/>
  <c r="AC13" i="12"/>
  <c r="Y14" i="12" s="1"/>
  <c r="AO12" i="12"/>
  <c r="AQ12" i="12" s="1"/>
  <c r="AN12" i="12"/>
  <c r="N24" i="12"/>
  <c r="T24" i="12" s="1"/>
  <c r="M25" i="12"/>
  <c r="V38" i="48" l="1"/>
  <c r="AJ38" i="48"/>
  <c r="AK38" i="48" s="1"/>
  <c r="AL38" i="48"/>
  <c r="AF39" i="48" s="1"/>
  <c r="Q38" i="48"/>
  <c r="T63" i="48"/>
  <c r="J65" i="48"/>
  <c r="L65" i="48" s="1"/>
  <c r="M64" i="48"/>
  <c r="K64" i="48" s="1"/>
  <c r="AA65" i="53"/>
  <c r="AB64" i="53"/>
  <c r="Y33" i="48"/>
  <c r="O33" i="48" s="1"/>
  <c r="AN33" i="48"/>
  <c r="AO33" i="48"/>
  <c r="R33" i="48" s="1"/>
  <c r="AQ72" i="48"/>
  <c r="AR71" i="48"/>
  <c r="AE65" i="45"/>
  <c r="AF63" i="45"/>
  <c r="R63" i="60" s="1"/>
  <c r="Y64" i="45"/>
  <c r="W27" i="21"/>
  <c r="AM11" i="21"/>
  <c r="AD12" i="21"/>
  <c r="AE12" i="21" s="1"/>
  <c r="AF12" i="21" s="1"/>
  <c r="Y13" i="21"/>
  <c r="AC13" i="21" s="1"/>
  <c r="M29" i="21"/>
  <c r="N28" i="21"/>
  <c r="T28" i="21" s="1"/>
  <c r="W28" i="21" s="1"/>
  <c r="AC14" i="12"/>
  <c r="Y15" i="12" s="1"/>
  <c r="AP12" i="12"/>
  <c r="AJ13" i="12"/>
  <c r="N25" i="12"/>
  <c r="T25" i="12" s="1"/>
  <c r="M26" i="12"/>
  <c r="AG39" i="48" l="1"/>
  <c r="P39" i="48" s="1"/>
  <c r="T64" i="48"/>
  <c r="J66" i="48"/>
  <c r="L66" i="48" s="1"/>
  <c r="M65" i="48"/>
  <c r="K65" i="48" s="1"/>
  <c r="AA66" i="53"/>
  <c r="AB65" i="53"/>
  <c r="AB33" i="48"/>
  <c r="AE33" i="48"/>
  <c r="W34" i="48" s="1"/>
  <c r="AQ73" i="48"/>
  <c r="AR72" i="48"/>
  <c r="AE66" i="45"/>
  <c r="AF64" i="45"/>
  <c r="R64" i="60" s="1"/>
  <c r="Y65" i="45"/>
  <c r="Y66" i="45" s="1"/>
  <c r="Y67" i="45" s="1"/>
  <c r="Y68" i="45" s="1"/>
  <c r="Y69" i="45" s="1"/>
  <c r="Y70" i="45" s="1"/>
  <c r="Y71" i="45" s="1"/>
  <c r="Y72" i="45" s="1"/>
  <c r="Y73" i="45" s="1"/>
  <c r="Y74" i="45" s="1"/>
  <c r="Y75" i="45" s="1"/>
  <c r="Y76" i="45" s="1"/>
  <c r="Y77" i="45" s="1"/>
  <c r="Y78" i="45" s="1"/>
  <c r="Y79" i="45" s="1"/>
  <c r="Y80" i="45" s="1"/>
  <c r="Y81" i="45" s="1"/>
  <c r="Y82" i="45" s="1"/>
  <c r="Y83" i="45" s="1"/>
  <c r="Y84" i="45" s="1"/>
  <c r="Y85" i="45" s="1"/>
  <c r="Y86" i="45" s="1"/>
  <c r="Y87" i="45" s="1"/>
  <c r="Y88" i="45" s="1"/>
  <c r="Y89" i="45" s="1"/>
  <c r="Y90" i="45" s="1"/>
  <c r="Y91" i="45" s="1"/>
  <c r="Y92" i="45" s="1"/>
  <c r="Y93" i="45" s="1"/>
  <c r="Y94" i="45" s="1"/>
  <c r="Y95" i="45" s="1"/>
  <c r="Y96" i="45" s="1"/>
  <c r="Y97" i="45" s="1"/>
  <c r="Y98" i="45" s="1"/>
  <c r="Y99" i="45" s="1"/>
  <c r="Y100" i="45" s="1"/>
  <c r="Y101" i="45" s="1"/>
  <c r="Y102" i="45" s="1"/>
  <c r="Y103" i="45" s="1"/>
  <c r="Y104" i="45" s="1"/>
  <c r="Y105" i="45" s="1"/>
  <c r="Y106" i="45" s="1"/>
  <c r="Y107" i="45" s="1"/>
  <c r="Y108" i="45" s="1"/>
  <c r="Y109" i="45" s="1"/>
  <c r="Y110" i="45" s="1"/>
  <c r="Y111" i="45" s="1"/>
  <c r="Y112" i="45" s="1"/>
  <c r="Y113" i="45" s="1"/>
  <c r="Y114" i="45" s="1"/>
  <c r="Y115" i="45" s="1"/>
  <c r="Y116" i="45" s="1"/>
  <c r="AO11" i="21"/>
  <c r="AN11" i="21"/>
  <c r="Y14" i="21"/>
  <c r="AC14" i="21" s="1"/>
  <c r="AD13" i="21"/>
  <c r="AE13" i="21" s="1"/>
  <c r="AF13" i="21" s="1"/>
  <c r="N29" i="21"/>
  <c r="T29" i="21" s="1"/>
  <c r="M30" i="21"/>
  <c r="AC15" i="12"/>
  <c r="Y16" i="12" s="1"/>
  <c r="AM13" i="12"/>
  <c r="N26" i="12"/>
  <c r="T26" i="12" s="1"/>
  <c r="M27" i="12"/>
  <c r="AH39" i="48" l="1"/>
  <c r="AC33" i="48"/>
  <c r="AD33" i="48" s="1"/>
  <c r="AP33" i="48" s="1"/>
  <c r="S33" i="48" s="1"/>
  <c r="U33" i="48"/>
  <c r="T65" i="48"/>
  <c r="J67" i="48"/>
  <c r="L67" i="48" s="1"/>
  <c r="M66" i="48"/>
  <c r="K66" i="48" s="1"/>
  <c r="AA67" i="53"/>
  <c r="AB66" i="53"/>
  <c r="X34" i="48"/>
  <c r="N34" i="48" s="1"/>
  <c r="AQ74" i="48"/>
  <c r="AR73" i="48"/>
  <c r="AE67" i="45"/>
  <c r="AF65" i="45"/>
  <c r="R65" i="60" s="1"/>
  <c r="N30" i="21"/>
  <c r="T30" i="21" s="1"/>
  <c r="W30" i="21" s="1"/>
  <c r="M31" i="21"/>
  <c r="Y15" i="21"/>
  <c r="AC15" i="21" s="1"/>
  <c r="AD14" i="21"/>
  <c r="AE14" i="21" s="1"/>
  <c r="AF14" i="21" s="1"/>
  <c r="W29" i="21"/>
  <c r="AQ11" i="21"/>
  <c r="AJ12" i="21" s="1"/>
  <c r="AP11" i="21"/>
  <c r="AC16" i="12"/>
  <c r="Y17" i="12" s="1"/>
  <c r="AO13" i="12"/>
  <c r="AQ13" i="12" s="1"/>
  <c r="AN13" i="12"/>
  <c r="M28" i="12"/>
  <c r="N27" i="12"/>
  <c r="T27" i="12" s="1"/>
  <c r="Q39" i="48" l="1"/>
  <c r="AI39" i="48"/>
  <c r="AL39" i="48"/>
  <c r="AF40" i="48" s="1"/>
  <c r="T66" i="48"/>
  <c r="M12" i="50"/>
  <c r="M67" i="48"/>
  <c r="K67" i="48" s="1"/>
  <c r="J68" i="48"/>
  <c r="L68" i="48" s="1"/>
  <c r="AA68" i="53"/>
  <c r="AB67" i="53"/>
  <c r="Y34" i="48"/>
  <c r="O34" i="48" s="1"/>
  <c r="AO34" i="48"/>
  <c r="R34" i="48" s="1"/>
  <c r="AN34" i="48"/>
  <c r="AQ75" i="48"/>
  <c r="AR74" i="48"/>
  <c r="AE68" i="45"/>
  <c r="AF66" i="45"/>
  <c r="R66" i="60" s="1"/>
  <c r="AD15" i="21"/>
  <c r="AE15" i="21" s="1"/>
  <c r="AF15" i="21" s="1"/>
  <c r="Y16" i="21"/>
  <c r="AC16" i="21" s="1"/>
  <c r="M32" i="21"/>
  <c r="N31" i="21"/>
  <c r="T31" i="21" s="1"/>
  <c r="AM12" i="21"/>
  <c r="AC17" i="12"/>
  <c r="Y18" i="12" s="1"/>
  <c r="AP13" i="12"/>
  <c r="AJ14" i="12"/>
  <c r="M29" i="12"/>
  <c r="N28" i="12"/>
  <c r="T28" i="12" s="1"/>
  <c r="AG40" i="48" l="1"/>
  <c r="P40" i="48" s="1"/>
  <c r="V39" i="48"/>
  <c r="AJ39" i="48"/>
  <c r="AK39" i="48" s="1"/>
  <c r="T67" i="48"/>
  <c r="J69" i="48"/>
  <c r="L69" i="48" s="1"/>
  <c r="M68" i="48"/>
  <c r="K68" i="48" s="1"/>
  <c r="AA69" i="53"/>
  <c r="AB68" i="53"/>
  <c r="AB34" i="48"/>
  <c r="AE34" i="48"/>
  <c r="W35" i="48" s="1"/>
  <c r="AQ76" i="48"/>
  <c r="AR75" i="48"/>
  <c r="AE69" i="45"/>
  <c r="AF67" i="45"/>
  <c r="R67" i="60" s="1"/>
  <c r="W31" i="21"/>
  <c r="Y17" i="21"/>
  <c r="AC17" i="21" s="1"/>
  <c r="AD16" i="21"/>
  <c r="AE16" i="21" s="1"/>
  <c r="AF16" i="21" s="1"/>
  <c r="AO12" i="21"/>
  <c r="AN12" i="21"/>
  <c r="M33" i="21"/>
  <c r="N32" i="21"/>
  <c r="T32" i="21" s="1"/>
  <c r="W32" i="21" s="1"/>
  <c r="AC18" i="12"/>
  <c r="Y19" i="12" s="1"/>
  <c r="AM14" i="12"/>
  <c r="N29" i="12"/>
  <c r="T29" i="12" s="1"/>
  <c r="M30" i="12"/>
  <c r="AH40" i="48" l="1"/>
  <c r="AC34" i="48"/>
  <c r="AD34" i="48" s="1"/>
  <c r="AP34" i="48" s="1"/>
  <c r="S34" i="48" s="1"/>
  <c r="U34" i="48"/>
  <c r="T68" i="48"/>
  <c r="J70" i="48"/>
  <c r="L70" i="48" s="1"/>
  <c r="M69" i="48"/>
  <c r="K69" i="48" s="1"/>
  <c r="AA70" i="53"/>
  <c r="AB69" i="53"/>
  <c r="X35" i="48"/>
  <c r="N35" i="48" s="1"/>
  <c r="AQ77" i="48"/>
  <c r="AR76" i="48"/>
  <c r="AE70" i="45"/>
  <c r="AF68" i="45"/>
  <c r="R68" i="60" s="1"/>
  <c r="AD17" i="21"/>
  <c r="AE17" i="21" s="1"/>
  <c r="AF17" i="21" s="1"/>
  <c r="Y18" i="21"/>
  <c r="AC18" i="21" s="1"/>
  <c r="N33" i="21"/>
  <c r="T33" i="21" s="1"/>
  <c r="M34" i="21"/>
  <c r="AQ12" i="21"/>
  <c r="AJ13" i="21" s="1"/>
  <c r="AP12" i="21"/>
  <c r="AC19" i="12"/>
  <c r="Y20" i="12" s="1"/>
  <c r="AO14" i="12"/>
  <c r="AQ14" i="12" s="1"/>
  <c r="AN14" i="12"/>
  <c r="N30" i="12"/>
  <c r="T30" i="12" s="1"/>
  <c r="M31" i="12"/>
  <c r="Q40" i="48" l="1"/>
  <c r="AI40" i="48"/>
  <c r="AL40" i="48"/>
  <c r="AF41" i="48" s="1"/>
  <c r="AG41" i="48" s="1"/>
  <c r="P41" i="48" s="1"/>
  <c r="T69" i="48"/>
  <c r="J71" i="48"/>
  <c r="L71" i="48" s="1"/>
  <c r="M70" i="48"/>
  <c r="K70" i="48" s="1"/>
  <c r="AA71" i="53"/>
  <c r="AB70" i="53"/>
  <c r="Y35" i="48"/>
  <c r="O35" i="48" s="1"/>
  <c r="AN35" i="48"/>
  <c r="AO35" i="48"/>
  <c r="R35" i="48" s="1"/>
  <c r="AQ78" i="48"/>
  <c r="AR77" i="48"/>
  <c r="AE71" i="45"/>
  <c r="AF69" i="45"/>
  <c r="R69" i="60" s="1"/>
  <c r="AM13" i="21"/>
  <c r="Y19" i="21"/>
  <c r="AC19" i="21" s="1"/>
  <c r="AD18" i="21"/>
  <c r="AE18" i="21" s="1"/>
  <c r="AF18" i="21" s="1"/>
  <c r="N34" i="21"/>
  <c r="T34" i="21" s="1"/>
  <c r="W34" i="21" s="1"/>
  <c r="M35" i="21"/>
  <c r="W33" i="21"/>
  <c r="AC20" i="12"/>
  <c r="Y21" i="12" s="1"/>
  <c r="AP14" i="12"/>
  <c r="AJ15" i="12"/>
  <c r="N31" i="12"/>
  <c r="T31" i="12" s="1"/>
  <c r="M32" i="12"/>
  <c r="AH41" i="48" l="1"/>
  <c r="AJ40" i="48"/>
  <c r="AK40" i="48" s="1"/>
  <c r="V40" i="48"/>
  <c r="Q41" i="48"/>
  <c r="AI41" i="48"/>
  <c r="AL41" i="48"/>
  <c r="AF42" i="48" s="1"/>
  <c r="T70" i="48"/>
  <c r="J72" i="48"/>
  <c r="L72" i="48" s="1"/>
  <c r="M71" i="48"/>
  <c r="K71" i="48" s="1"/>
  <c r="AA72" i="53"/>
  <c r="AB71" i="53"/>
  <c r="AB35" i="48"/>
  <c r="AE35" i="48"/>
  <c r="W36" i="48" s="1"/>
  <c r="AQ79" i="48"/>
  <c r="AR78" i="48"/>
  <c r="AE72" i="45"/>
  <c r="AF70" i="45"/>
  <c r="R70" i="60" s="1"/>
  <c r="Y20" i="21"/>
  <c r="AC20" i="21" s="1"/>
  <c r="AD19" i="21"/>
  <c r="AE19" i="21" s="1"/>
  <c r="AF19" i="21" s="1"/>
  <c r="M36" i="21"/>
  <c r="N35" i="21"/>
  <c r="T35" i="21" s="1"/>
  <c r="W35" i="21" s="1"/>
  <c r="AO13" i="21"/>
  <c r="AN13" i="21"/>
  <c r="AC21" i="12"/>
  <c r="Y22" i="12" s="1"/>
  <c r="AM15" i="12"/>
  <c r="M33" i="12"/>
  <c r="N32" i="12"/>
  <c r="T32" i="12" s="1"/>
  <c r="AJ41" i="48" l="1"/>
  <c r="AK41" i="48" s="1"/>
  <c r="V41" i="48"/>
  <c r="AG42" i="48"/>
  <c r="P42" i="48" s="1"/>
  <c r="AC35" i="48"/>
  <c r="AD35" i="48" s="1"/>
  <c r="AP35" i="48" s="1"/>
  <c r="S35" i="48" s="1"/>
  <c r="U35" i="48"/>
  <c r="T71" i="48"/>
  <c r="J73" i="48"/>
  <c r="L73" i="48" s="1"/>
  <c r="M72" i="48"/>
  <c r="K72" i="48" s="1"/>
  <c r="AA73" i="53"/>
  <c r="AB72" i="53"/>
  <c r="X36" i="48"/>
  <c r="N36" i="48" s="1"/>
  <c r="AQ80" i="48"/>
  <c r="AR79" i="48"/>
  <c r="AE73" i="45"/>
  <c r="AF71" i="45"/>
  <c r="R71" i="60" s="1"/>
  <c r="M37" i="21"/>
  <c r="N36" i="21"/>
  <c r="T36" i="21" s="1"/>
  <c r="W36" i="21" s="1"/>
  <c r="AQ13" i="21"/>
  <c r="AJ14" i="21" s="1"/>
  <c r="AP13" i="21"/>
  <c r="Y21" i="21"/>
  <c r="AC21" i="21" s="1"/>
  <c r="AD20" i="21"/>
  <c r="AE20" i="21" s="1"/>
  <c r="AF20" i="21" s="1"/>
  <c r="AC22" i="12"/>
  <c r="Y23" i="12" s="1"/>
  <c r="AO15" i="12"/>
  <c r="AQ15" i="12" s="1"/>
  <c r="AN15" i="12"/>
  <c r="M34" i="12"/>
  <c r="N33" i="12"/>
  <c r="T33" i="12" s="1"/>
  <c r="AH42" i="48" l="1"/>
  <c r="T72" i="48"/>
  <c r="J74" i="48"/>
  <c r="L74" i="48" s="1"/>
  <c r="M73" i="48"/>
  <c r="K73" i="48" s="1"/>
  <c r="AA74" i="53"/>
  <c r="AB73" i="53"/>
  <c r="Y36" i="48"/>
  <c r="O36" i="48" s="1"/>
  <c r="AO36" i="48"/>
  <c r="R36" i="48" s="1"/>
  <c r="AN36" i="48"/>
  <c r="AQ81" i="48"/>
  <c r="AR80" i="48"/>
  <c r="AE74" i="45"/>
  <c r="AF72" i="45"/>
  <c r="R72" i="60" s="1"/>
  <c r="Y22" i="21"/>
  <c r="AC22" i="21" s="1"/>
  <c r="AD21" i="21"/>
  <c r="AE21" i="21" s="1"/>
  <c r="AF21" i="21" s="1"/>
  <c r="AM14" i="21"/>
  <c r="N37" i="21"/>
  <c r="T37" i="21" s="1"/>
  <c r="W37" i="21" s="1"/>
  <c r="M38" i="21"/>
  <c r="AC23" i="12"/>
  <c r="Y24" i="12" s="1"/>
  <c r="AP15" i="12"/>
  <c r="AJ16" i="12"/>
  <c r="N34" i="12"/>
  <c r="T34" i="12" s="1"/>
  <c r="M35" i="12"/>
  <c r="Q42" i="48" l="1"/>
  <c r="AL42" i="48"/>
  <c r="AF43" i="48" s="1"/>
  <c r="AI42" i="48"/>
  <c r="T73" i="48"/>
  <c r="J75" i="48"/>
  <c r="L75" i="48" s="1"/>
  <c r="M74" i="48"/>
  <c r="K74" i="48" s="1"/>
  <c r="AA75" i="53"/>
  <c r="AB74" i="53"/>
  <c r="AB36" i="48"/>
  <c r="AE36" i="48"/>
  <c r="W37" i="48" s="1"/>
  <c r="AQ82" i="48"/>
  <c r="AR81" i="48"/>
  <c r="AE75" i="45"/>
  <c r="AF73" i="45"/>
  <c r="R73" i="60" s="1"/>
  <c r="N38" i="21"/>
  <c r="T38" i="21" s="1"/>
  <c r="W38" i="21" s="1"/>
  <c r="M39" i="21"/>
  <c r="AO14" i="21"/>
  <c r="AN14" i="21"/>
  <c r="Y23" i="21"/>
  <c r="AC23" i="21" s="1"/>
  <c r="AD22" i="21"/>
  <c r="AE22" i="21" s="1"/>
  <c r="AF22" i="21" s="1"/>
  <c r="AC24" i="12"/>
  <c r="Y25" i="12" s="1"/>
  <c r="AM16" i="12"/>
  <c r="M36" i="12"/>
  <c r="N35" i="12"/>
  <c r="T35" i="12" s="1"/>
  <c r="AG43" i="48" l="1"/>
  <c r="P43" i="48" s="1"/>
  <c r="AJ42" i="48"/>
  <c r="AK42" i="48" s="1"/>
  <c r="V42" i="48"/>
  <c r="AC36" i="48"/>
  <c r="AD36" i="48" s="1"/>
  <c r="AP36" i="48" s="1"/>
  <c r="S36" i="48" s="1"/>
  <c r="U36" i="48"/>
  <c r="T74" i="48"/>
  <c r="J76" i="48"/>
  <c r="L76" i="48" s="1"/>
  <c r="M75" i="48"/>
  <c r="K75" i="48" s="1"/>
  <c r="AA76" i="53"/>
  <c r="AB75" i="53"/>
  <c r="X37" i="48"/>
  <c r="N37" i="48" s="1"/>
  <c r="AQ83" i="48"/>
  <c r="AR82" i="48"/>
  <c r="AE76" i="45"/>
  <c r="AF74" i="45"/>
  <c r="R74" i="60" s="1"/>
  <c r="AP14" i="21"/>
  <c r="AQ14" i="21"/>
  <c r="AJ15" i="21" s="1"/>
  <c r="AD23" i="21"/>
  <c r="AE23" i="21" s="1"/>
  <c r="AF23" i="21" s="1"/>
  <c r="Y24" i="21"/>
  <c r="AC24" i="21" s="1"/>
  <c r="M40" i="21"/>
  <c r="N39" i="21"/>
  <c r="T39" i="21" s="1"/>
  <c r="AC25" i="12"/>
  <c r="Y26" i="12" s="1"/>
  <c r="AO16" i="12"/>
  <c r="AQ16" i="12" s="1"/>
  <c r="AN16" i="12"/>
  <c r="N36" i="12"/>
  <c r="T36" i="12" s="1"/>
  <c r="M37" i="12"/>
  <c r="AH43" i="48" l="1"/>
  <c r="AL43" i="48" s="1"/>
  <c r="AF44" i="48" s="1"/>
  <c r="AG44" i="48" s="1"/>
  <c r="P44" i="48" s="1"/>
  <c r="T75" i="48"/>
  <c r="J77" i="48"/>
  <c r="L77" i="48" s="1"/>
  <c r="M76" i="48"/>
  <c r="K76" i="48" s="1"/>
  <c r="AA77" i="53"/>
  <c r="AB76" i="53"/>
  <c r="Y37" i="48"/>
  <c r="O37" i="48" s="1"/>
  <c r="AN37" i="48"/>
  <c r="AO37" i="48"/>
  <c r="R37" i="48" s="1"/>
  <c r="AQ84" i="48"/>
  <c r="AR83" i="48"/>
  <c r="AE77" i="45"/>
  <c r="AF75" i="45"/>
  <c r="R75" i="60" s="1"/>
  <c r="Y25" i="21"/>
  <c r="AC25" i="21" s="1"/>
  <c r="AD24" i="21"/>
  <c r="AE24" i="21" s="1"/>
  <c r="AF24" i="21" s="1"/>
  <c r="W39" i="21"/>
  <c r="M41" i="21"/>
  <c r="N40" i="21"/>
  <c r="T40" i="21" s="1"/>
  <c r="W40" i="21" s="1"/>
  <c r="AM15" i="21"/>
  <c r="AC26" i="12"/>
  <c r="Y27" i="12" s="1"/>
  <c r="AJ17" i="12"/>
  <c r="AP16" i="12"/>
  <c r="N37" i="12"/>
  <c r="T37" i="12" s="1"/>
  <c r="M38" i="12"/>
  <c r="Q43" i="48" l="1"/>
  <c r="AI43" i="48"/>
  <c r="AH44" i="48"/>
  <c r="T76" i="48"/>
  <c r="M13" i="50"/>
  <c r="M77" i="48"/>
  <c r="K77" i="48" s="1"/>
  <c r="J78" i="48"/>
  <c r="L78" i="48" s="1"/>
  <c r="AA78" i="53"/>
  <c r="AB77" i="53"/>
  <c r="AB37" i="48"/>
  <c r="AE37" i="48"/>
  <c r="W38" i="48" s="1"/>
  <c r="AQ85" i="48"/>
  <c r="AR84" i="48"/>
  <c r="AE78" i="45"/>
  <c r="AF76" i="45"/>
  <c r="R76" i="60" s="1"/>
  <c r="N41" i="21"/>
  <c r="T41" i="21" s="1"/>
  <c r="W41" i="21" s="1"/>
  <c r="M42" i="21"/>
  <c r="Y26" i="21"/>
  <c r="AC26" i="21" s="1"/>
  <c r="AD25" i="21"/>
  <c r="AE25" i="21" s="1"/>
  <c r="AF25" i="21" s="1"/>
  <c r="AO15" i="21"/>
  <c r="AN15" i="21"/>
  <c r="AC27" i="12"/>
  <c r="Y28" i="12" s="1"/>
  <c r="AM17" i="12"/>
  <c r="N38" i="12"/>
  <c r="T38" i="12" s="1"/>
  <c r="M39" i="12"/>
  <c r="V43" i="48" l="1"/>
  <c r="AJ43" i="48"/>
  <c r="AK43" i="48" s="1"/>
  <c r="Q44" i="48"/>
  <c r="AI44" i="48"/>
  <c r="AL44" i="48"/>
  <c r="AF45" i="48" s="1"/>
  <c r="AC37" i="48"/>
  <c r="AD37" i="48" s="1"/>
  <c r="AP37" i="48" s="1"/>
  <c r="S37" i="48" s="1"/>
  <c r="U37" i="48"/>
  <c r="T77" i="48"/>
  <c r="J79" i="48"/>
  <c r="L79" i="48" s="1"/>
  <c r="M78" i="48"/>
  <c r="K78" i="48" s="1"/>
  <c r="AA79" i="53"/>
  <c r="AB78" i="53"/>
  <c r="X38" i="48"/>
  <c r="N38" i="48" s="1"/>
  <c r="AQ86" i="48"/>
  <c r="AR85" i="48"/>
  <c r="AE79" i="45"/>
  <c r="AF77" i="45"/>
  <c r="R77" i="60" s="1"/>
  <c r="Y27" i="21"/>
  <c r="AC27" i="21" s="1"/>
  <c r="AD26" i="21"/>
  <c r="AE26" i="21" s="1"/>
  <c r="AF26" i="21" s="1"/>
  <c r="AQ15" i="21"/>
  <c r="AJ16" i="21" s="1"/>
  <c r="AP15" i="21"/>
  <c r="N42" i="21"/>
  <c r="T42" i="21" s="1"/>
  <c r="M43" i="21"/>
  <c r="AC28" i="12"/>
  <c r="Y29" i="12" s="1"/>
  <c r="AO17" i="12"/>
  <c r="AQ17" i="12" s="1"/>
  <c r="AN17" i="12"/>
  <c r="N39" i="12"/>
  <c r="T39" i="12" s="1"/>
  <c r="M40" i="12"/>
  <c r="AG45" i="48" l="1"/>
  <c r="P45" i="48" s="1"/>
  <c r="AJ44" i="48"/>
  <c r="AK44" i="48" s="1"/>
  <c r="V44" i="48"/>
  <c r="T78" i="48"/>
  <c r="J80" i="48"/>
  <c r="L80" i="48" s="1"/>
  <c r="M79" i="48"/>
  <c r="K79" i="48" s="1"/>
  <c r="AA80" i="53"/>
  <c r="AB79" i="53"/>
  <c r="Y38" i="48"/>
  <c r="O38" i="48" s="1"/>
  <c r="AO38" i="48"/>
  <c r="R38" i="48" s="1"/>
  <c r="AN38" i="48"/>
  <c r="AQ87" i="48"/>
  <c r="AR86" i="48"/>
  <c r="AE80" i="45"/>
  <c r="AF78" i="45"/>
  <c r="R78" i="60" s="1"/>
  <c r="M44" i="21"/>
  <c r="N43" i="21"/>
  <c r="T43" i="21" s="1"/>
  <c r="W43" i="21" s="1"/>
  <c r="AM16" i="21"/>
  <c r="W42" i="21"/>
  <c r="AD27" i="21"/>
  <c r="AE27" i="21" s="1"/>
  <c r="AF27" i="21" s="1"/>
  <c r="Y28" i="21"/>
  <c r="AC28" i="21" s="1"/>
  <c r="AC29" i="12"/>
  <c r="Y30" i="12" s="1"/>
  <c r="AJ18" i="12"/>
  <c r="AP17" i="12"/>
  <c r="M41" i="12"/>
  <c r="N40" i="12"/>
  <c r="T40" i="12" s="1"/>
  <c r="AH45" i="48" l="1"/>
  <c r="T79" i="48"/>
  <c r="J81" i="48"/>
  <c r="L81" i="48" s="1"/>
  <c r="M80" i="48"/>
  <c r="K80" i="48" s="1"/>
  <c r="AA81" i="53"/>
  <c r="AB80" i="53"/>
  <c r="AB38" i="48"/>
  <c r="AE38" i="48"/>
  <c r="W39" i="48" s="1"/>
  <c r="AQ88" i="48"/>
  <c r="AR87" i="48"/>
  <c r="AE81" i="45"/>
  <c r="AF79" i="45"/>
  <c r="R79" i="60" s="1"/>
  <c r="AO16" i="21"/>
  <c r="AN16" i="21"/>
  <c r="AD28" i="21"/>
  <c r="AE28" i="21" s="1"/>
  <c r="AF28" i="21" s="1"/>
  <c r="Y29" i="21"/>
  <c r="AC29" i="21" s="1"/>
  <c r="M45" i="21"/>
  <c r="N44" i="21"/>
  <c r="T44" i="21" s="1"/>
  <c r="AC30" i="12"/>
  <c r="Y31" i="12" s="1"/>
  <c r="AM18" i="12"/>
  <c r="M42" i="12"/>
  <c r="N41" i="12"/>
  <c r="T41" i="12" s="1"/>
  <c r="Q45" i="48" l="1"/>
  <c r="AI45" i="48"/>
  <c r="AL45" i="48"/>
  <c r="AF46" i="48" s="1"/>
  <c r="AC38" i="48"/>
  <c r="AD38" i="48" s="1"/>
  <c r="AP38" i="48" s="1"/>
  <c r="S38" i="48" s="1"/>
  <c r="U38" i="48"/>
  <c r="T80" i="48"/>
  <c r="J82" i="48"/>
  <c r="L82" i="48" s="1"/>
  <c r="M81" i="48"/>
  <c r="K81" i="48" s="1"/>
  <c r="AA82" i="53"/>
  <c r="AB81" i="53"/>
  <c r="X39" i="48"/>
  <c r="N39" i="48" s="1"/>
  <c r="AQ89" i="48"/>
  <c r="AR88" i="48"/>
  <c r="AE82" i="45"/>
  <c r="AF80" i="45"/>
  <c r="R80" i="60" s="1"/>
  <c r="N45" i="21"/>
  <c r="T45" i="21" s="1"/>
  <c r="W45" i="21" s="1"/>
  <c r="M46" i="21"/>
  <c r="W44" i="21"/>
  <c r="Y30" i="21"/>
  <c r="AC30" i="21" s="1"/>
  <c r="AD29" i="21"/>
  <c r="AE29" i="21"/>
  <c r="AF29" i="21" s="1"/>
  <c r="AQ16" i="21"/>
  <c r="AJ17" i="21" s="1"/>
  <c r="AP16" i="21"/>
  <c r="AC31" i="12"/>
  <c r="Y32" i="12" s="1"/>
  <c r="AO18" i="12"/>
  <c r="AQ18" i="12" s="1"/>
  <c r="AN18" i="12"/>
  <c r="N42" i="12"/>
  <c r="T42" i="12" s="1"/>
  <c r="M43" i="12"/>
  <c r="AG46" i="48" l="1"/>
  <c r="P46" i="48" s="1"/>
  <c r="AJ45" i="48"/>
  <c r="AK45" i="48" s="1"/>
  <c r="V45" i="48"/>
  <c r="T81" i="48"/>
  <c r="J83" i="48"/>
  <c r="L83" i="48" s="1"/>
  <c r="M82" i="48"/>
  <c r="K82" i="48" s="1"/>
  <c r="AA83" i="53"/>
  <c r="AB82" i="53"/>
  <c r="Y39" i="48"/>
  <c r="O39" i="48" s="1"/>
  <c r="AN39" i="48"/>
  <c r="AO39" i="48"/>
  <c r="R39" i="48" s="1"/>
  <c r="AQ90" i="48"/>
  <c r="AR89" i="48"/>
  <c r="AE83" i="45"/>
  <c r="AF81" i="45"/>
  <c r="R81" i="60" s="1"/>
  <c r="Y31" i="21"/>
  <c r="AC31" i="21" s="1"/>
  <c r="AD30" i="21"/>
  <c r="AE30" i="21" s="1"/>
  <c r="AF30" i="21" s="1"/>
  <c r="M47" i="21"/>
  <c r="N46" i="21"/>
  <c r="T46" i="21" s="1"/>
  <c r="W46" i="21" s="1"/>
  <c r="AM17" i="21"/>
  <c r="AC32" i="12"/>
  <c r="Y33" i="12" s="1"/>
  <c r="AJ19" i="12"/>
  <c r="AP18" i="12"/>
  <c r="N43" i="12"/>
  <c r="T43" i="12" s="1"/>
  <c r="M44" i="12"/>
  <c r="AH46" i="48" l="1"/>
  <c r="AL46" i="48" s="1"/>
  <c r="AF47" i="48" s="1"/>
  <c r="T82" i="48"/>
  <c r="J84" i="48"/>
  <c r="L84" i="48" s="1"/>
  <c r="M83" i="48"/>
  <c r="K83" i="48" s="1"/>
  <c r="AA84" i="53"/>
  <c r="AB83" i="53"/>
  <c r="AB39" i="48"/>
  <c r="AE39" i="48"/>
  <c r="W40" i="48" s="1"/>
  <c r="AQ91" i="48"/>
  <c r="AR90" i="48"/>
  <c r="AE84" i="45"/>
  <c r="AF82" i="45"/>
  <c r="R82" i="60" s="1"/>
  <c r="AO17" i="21"/>
  <c r="AN17" i="21"/>
  <c r="AE31" i="21"/>
  <c r="AF31" i="21" s="1"/>
  <c r="Y32" i="21"/>
  <c r="AC32" i="21" s="1"/>
  <c r="AD31" i="21"/>
  <c r="N47" i="21"/>
  <c r="T47" i="21" s="1"/>
  <c r="W47" i="21" s="1"/>
  <c r="M48" i="21"/>
  <c r="AC33" i="12"/>
  <c r="Y34" i="12" s="1"/>
  <c r="AM19" i="12"/>
  <c r="M45" i="12"/>
  <c r="N44" i="12"/>
  <c r="T44" i="12" s="1"/>
  <c r="Q46" i="48" l="1"/>
  <c r="AI46" i="48"/>
  <c r="AG47" i="48"/>
  <c r="P47" i="48" s="1"/>
  <c r="AC39" i="48"/>
  <c r="AD39" i="48" s="1"/>
  <c r="AP39" i="48" s="1"/>
  <c r="S39" i="48" s="1"/>
  <c r="U39" i="48"/>
  <c r="T83" i="48"/>
  <c r="J85" i="48"/>
  <c r="L85" i="48" s="1"/>
  <c r="M84" i="48"/>
  <c r="K84" i="48" s="1"/>
  <c r="AA85" i="53"/>
  <c r="AB84" i="53"/>
  <c r="X40" i="48"/>
  <c r="N40" i="48" s="1"/>
  <c r="AQ92" i="48"/>
  <c r="AR91" i="48"/>
  <c r="AE85" i="45"/>
  <c r="AF83" i="45"/>
  <c r="R83" i="60" s="1"/>
  <c r="M49" i="21"/>
  <c r="N48" i="21"/>
  <c r="T48" i="21" s="1"/>
  <c r="W48" i="21" s="1"/>
  <c r="AE32" i="21"/>
  <c r="AF32" i="21" s="1"/>
  <c r="Y33" i="21"/>
  <c r="AC33" i="21" s="1"/>
  <c r="AD32" i="21"/>
  <c r="AP17" i="21"/>
  <c r="AQ17" i="21"/>
  <c r="AJ18" i="21" s="1"/>
  <c r="AC34" i="12"/>
  <c r="Y35" i="12" s="1"/>
  <c r="AO19" i="12"/>
  <c r="AQ19" i="12" s="1"/>
  <c r="AN19" i="12"/>
  <c r="M46" i="12"/>
  <c r="N45" i="12"/>
  <c r="T45" i="12" s="1"/>
  <c r="AH47" i="48" l="1"/>
  <c r="AI47" i="48" s="1"/>
  <c r="AJ46" i="48"/>
  <c r="AK46" i="48" s="1"/>
  <c r="V46" i="48"/>
  <c r="T84" i="48"/>
  <c r="J86" i="48"/>
  <c r="L86" i="48" s="1"/>
  <c r="M85" i="48"/>
  <c r="K85" i="48" s="1"/>
  <c r="AA86" i="53"/>
  <c r="AB85" i="53"/>
  <c r="Y40" i="48"/>
  <c r="O40" i="48" s="1"/>
  <c r="AO40" i="48"/>
  <c r="R40" i="48" s="1"/>
  <c r="AN40" i="48"/>
  <c r="AQ93" i="48"/>
  <c r="AR92" i="48"/>
  <c r="AE86" i="45"/>
  <c r="AF84" i="45"/>
  <c r="R84" i="60" s="1"/>
  <c r="AM18" i="21"/>
  <c r="Y34" i="21"/>
  <c r="AC34" i="21" s="1"/>
  <c r="AD33" i="21"/>
  <c r="AE33" i="21"/>
  <c r="AF33" i="21" s="1"/>
  <c r="N49" i="21"/>
  <c r="T49" i="21" s="1"/>
  <c r="W49" i="21" s="1"/>
  <c r="M50" i="21"/>
  <c r="AC35" i="12"/>
  <c r="Y36" i="12" s="1"/>
  <c r="AJ20" i="12"/>
  <c r="AP19" i="12"/>
  <c r="N46" i="12"/>
  <c r="T46" i="12" s="1"/>
  <c r="M47" i="12"/>
  <c r="Q47" i="48" l="1"/>
  <c r="AL47" i="48"/>
  <c r="AF48" i="48" s="1"/>
  <c r="AG48" i="48" s="1"/>
  <c r="P48" i="48" s="1"/>
  <c r="V47" i="48"/>
  <c r="AJ47" i="48"/>
  <c r="AK47" i="48" s="1"/>
  <c r="T85" i="48"/>
  <c r="J87" i="48"/>
  <c r="L87" i="48" s="1"/>
  <c r="M86" i="48"/>
  <c r="K86" i="48" s="1"/>
  <c r="AA87" i="53"/>
  <c r="AB86" i="53"/>
  <c r="AB40" i="48"/>
  <c r="AE40" i="48"/>
  <c r="W41" i="48" s="1"/>
  <c r="AQ94" i="48"/>
  <c r="AR93" i="48"/>
  <c r="AE87" i="45"/>
  <c r="AF85" i="45"/>
  <c r="R85" i="60" s="1"/>
  <c r="Y35" i="21"/>
  <c r="AC35" i="21" s="1"/>
  <c r="AD34" i="21"/>
  <c r="AE34" i="21" s="1"/>
  <c r="AF34" i="21" s="1"/>
  <c r="AO18" i="21"/>
  <c r="AN18" i="21"/>
  <c r="M51" i="21"/>
  <c r="N50" i="21"/>
  <c r="T50" i="21" s="1"/>
  <c r="W50" i="21" s="1"/>
  <c r="AC36" i="12"/>
  <c r="Y37" i="12" s="1"/>
  <c r="AM20" i="12"/>
  <c r="N47" i="12"/>
  <c r="T47" i="12" s="1"/>
  <c r="M48" i="12"/>
  <c r="AH48" i="48" l="1"/>
  <c r="AI48" i="48" s="1"/>
  <c r="V48" i="48" s="1"/>
  <c r="AL48" i="48"/>
  <c r="AF49" i="48" s="1"/>
  <c r="AC40" i="48"/>
  <c r="AD40" i="48" s="1"/>
  <c r="AP40" i="48" s="1"/>
  <c r="S40" i="48" s="1"/>
  <c r="U40" i="48"/>
  <c r="T86" i="48"/>
  <c r="M14" i="50"/>
  <c r="M87" i="48"/>
  <c r="K87" i="48" s="1"/>
  <c r="J88" i="48"/>
  <c r="L88" i="48" s="1"/>
  <c r="AA88" i="53"/>
  <c r="AB87" i="53"/>
  <c r="X41" i="48"/>
  <c r="N41" i="48" s="1"/>
  <c r="AQ95" i="48"/>
  <c r="AR94" i="48"/>
  <c r="AE88" i="45"/>
  <c r="AF86" i="45"/>
  <c r="R86" i="60" s="1"/>
  <c r="AP18" i="21"/>
  <c r="AQ18" i="21"/>
  <c r="AJ19" i="21" s="1"/>
  <c r="N51" i="21"/>
  <c r="T51" i="21" s="1"/>
  <c r="M52" i="21"/>
  <c r="Y36" i="21"/>
  <c r="AC36" i="21" s="1"/>
  <c r="AD35" i="21"/>
  <c r="AE35" i="21" s="1"/>
  <c r="AF35" i="21" s="1"/>
  <c r="AC37" i="12"/>
  <c r="Y38" i="12" s="1"/>
  <c r="AO20" i="12"/>
  <c r="AQ20" i="12" s="1"/>
  <c r="AN20" i="12"/>
  <c r="M49" i="12"/>
  <c r="N48" i="12"/>
  <c r="T48" i="12" s="1"/>
  <c r="Q48" i="48" l="1"/>
  <c r="AJ48" i="48"/>
  <c r="AK48" i="48" s="1"/>
  <c r="AG49" i="48"/>
  <c r="P49" i="48" s="1"/>
  <c r="T87" i="48"/>
  <c r="J89" i="48"/>
  <c r="L89" i="48" s="1"/>
  <c r="M88" i="48"/>
  <c r="K88" i="48" s="1"/>
  <c r="AA89" i="53"/>
  <c r="AB88" i="53"/>
  <c r="Y41" i="48"/>
  <c r="O41" i="48" s="1"/>
  <c r="AN41" i="48"/>
  <c r="AO41" i="48"/>
  <c r="R41" i="48" s="1"/>
  <c r="AQ96" i="48"/>
  <c r="AR95" i="48"/>
  <c r="AE89" i="45"/>
  <c r="AF87" i="45"/>
  <c r="R87" i="60" s="1"/>
  <c r="M53" i="21"/>
  <c r="N52" i="21"/>
  <c r="T52" i="21" s="1"/>
  <c r="W52" i="21" s="1"/>
  <c r="Y37" i="21"/>
  <c r="AC37" i="21" s="1"/>
  <c r="AD36" i="21"/>
  <c r="AE36" i="21" s="1"/>
  <c r="AF36" i="21" s="1"/>
  <c r="W51" i="21"/>
  <c r="AM19" i="21"/>
  <c r="AC38" i="12"/>
  <c r="Y39" i="12" s="1"/>
  <c r="AJ21" i="12"/>
  <c r="AP20" i="12"/>
  <c r="M50" i="12"/>
  <c r="N49" i="12"/>
  <c r="T49" i="12" s="1"/>
  <c r="AH49" i="48" l="1"/>
  <c r="T88" i="48"/>
  <c r="J90" i="48"/>
  <c r="L90" i="48" s="1"/>
  <c r="M89" i="48"/>
  <c r="K89" i="48" s="1"/>
  <c r="AA90" i="53"/>
  <c r="AB89" i="53"/>
  <c r="AB41" i="48"/>
  <c r="AE41" i="48"/>
  <c r="W42" i="48" s="1"/>
  <c r="AQ97" i="48"/>
  <c r="AR96" i="48"/>
  <c r="AE90" i="45"/>
  <c r="AF88" i="45"/>
  <c r="R88" i="60" s="1"/>
  <c r="Y38" i="21"/>
  <c r="AC38" i="21" s="1"/>
  <c r="AD37" i="21"/>
  <c r="AE37" i="21"/>
  <c r="AF37" i="21" s="1"/>
  <c r="AO19" i="21"/>
  <c r="AN19" i="21"/>
  <c r="N53" i="21"/>
  <c r="T53" i="21" s="1"/>
  <c r="M54" i="21"/>
  <c r="AC39" i="12"/>
  <c r="Y40" i="12" s="1"/>
  <c r="AM21" i="12"/>
  <c r="M51" i="12"/>
  <c r="N50" i="12"/>
  <c r="T50" i="12" s="1"/>
  <c r="Q49" i="48" l="1"/>
  <c r="AI49" i="48"/>
  <c r="AL49" i="48"/>
  <c r="AF50" i="48" s="1"/>
  <c r="AC41" i="48"/>
  <c r="AD41" i="48" s="1"/>
  <c r="AP41" i="48" s="1"/>
  <c r="S41" i="48" s="1"/>
  <c r="U41" i="48"/>
  <c r="T89" i="48"/>
  <c r="J91" i="48"/>
  <c r="L91" i="48" s="1"/>
  <c r="M90" i="48"/>
  <c r="K90" i="48" s="1"/>
  <c r="AA91" i="53"/>
  <c r="AB90" i="53"/>
  <c r="X42" i="48"/>
  <c r="N42" i="48" s="1"/>
  <c r="AQ98" i="48"/>
  <c r="AR97" i="48"/>
  <c r="AE91" i="45"/>
  <c r="AF89" i="45"/>
  <c r="R89" i="60" s="1"/>
  <c r="AP19" i="21"/>
  <c r="AQ19" i="21"/>
  <c r="AJ20" i="21" s="1"/>
  <c r="M55" i="21"/>
  <c r="N54" i="21"/>
  <c r="T54" i="21" s="1"/>
  <c r="W54" i="21" s="1"/>
  <c r="W53" i="21"/>
  <c r="Y39" i="21"/>
  <c r="AC39" i="21" s="1"/>
  <c r="AD38" i="21"/>
  <c r="AE38" i="21" s="1"/>
  <c r="AF38" i="21" s="1"/>
  <c r="AC40" i="12"/>
  <c r="Y41" i="12" s="1"/>
  <c r="AO21" i="12"/>
  <c r="AQ21" i="12" s="1"/>
  <c r="AN21" i="12"/>
  <c r="N51" i="12"/>
  <c r="T51" i="12" s="1"/>
  <c r="M52" i="12"/>
  <c r="AG50" i="48" l="1"/>
  <c r="P50" i="48" s="1"/>
  <c r="AJ49" i="48"/>
  <c r="AK49" i="48" s="1"/>
  <c r="V49" i="48"/>
  <c r="T90" i="48"/>
  <c r="J92" i="48"/>
  <c r="L92" i="48" s="1"/>
  <c r="M91" i="48"/>
  <c r="K91" i="48" s="1"/>
  <c r="AA92" i="53"/>
  <c r="AB91" i="53"/>
  <c r="Y42" i="48"/>
  <c r="O42" i="48" s="1"/>
  <c r="AO42" i="48"/>
  <c r="R42" i="48" s="1"/>
  <c r="AN42" i="48"/>
  <c r="AQ99" i="48"/>
  <c r="AR98" i="48"/>
  <c r="AE92" i="45"/>
  <c r="AF90" i="45"/>
  <c r="R90" i="60" s="1"/>
  <c r="N55" i="21"/>
  <c r="T55" i="21" s="1"/>
  <c r="W55" i="21" s="1"/>
  <c r="M56" i="21"/>
  <c r="AM20" i="21"/>
  <c r="AE39" i="21"/>
  <c r="AF39" i="21" s="1"/>
  <c r="Y40" i="21"/>
  <c r="AC40" i="21" s="1"/>
  <c r="AD39" i="21"/>
  <c r="AC41" i="12"/>
  <c r="Y42" i="12" s="1"/>
  <c r="AP21" i="12"/>
  <c r="AJ22" i="12"/>
  <c r="M53" i="12"/>
  <c r="N52" i="12"/>
  <c r="T52" i="12" s="1"/>
  <c r="AH50" i="48" l="1"/>
  <c r="T91" i="48"/>
  <c r="J93" i="48"/>
  <c r="L93" i="48" s="1"/>
  <c r="M92" i="48"/>
  <c r="K92" i="48" s="1"/>
  <c r="AA93" i="53"/>
  <c r="AB92" i="53"/>
  <c r="AB42" i="48"/>
  <c r="AE42" i="48"/>
  <c r="W43" i="48" s="1"/>
  <c r="AQ100" i="48"/>
  <c r="AR99" i="48"/>
  <c r="AE93" i="45"/>
  <c r="AF91" i="45"/>
  <c r="R91" i="60" s="1"/>
  <c r="AO20" i="21"/>
  <c r="AN20" i="21"/>
  <c r="AE40" i="21"/>
  <c r="AF40" i="21" s="1"/>
  <c r="Y41" i="21"/>
  <c r="AC41" i="21" s="1"/>
  <c r="AD40" i="21"/>
  <c r="M57" i="21"/>
  <c r="N56" i="21"/>
  <c r="T56" i="21" s="1"/>
  <c r="AC42" i="12"/>
  <c r="Y43" i="12" s="1"/>
  <c r="AM22" i="12"/>
  <c r="M54" i="12"/>
  <c r="N53" i="12"/>
  <c r="T53" i="12" s="1"/>
  <c r="Q50" i="48" l="1"/>
  <c r="AL50" i="48"/>
  <c r="AF51" i="48" s="1"/>
  <c r="AI50" i="48"/>
  <c r="AC42" i="48"/>
  <c r="AD42" i="48" s="1"/>
  <c r="U42" i="48"/>
  <c r="T92" i="48"/>
  <c r="J94" i="48"/>
  <c r="L94" i="48" s="1"/>
  <c r="M93" i="48"/>
  <c r="K93" i="48" s="1"/>
  <c r="AA94" i="53"/>
  <c r="AB93" i="53"/>
  <c r="X43" i="48"/>
  <c r="N43" i="48" s="1"/>
  <c r="AQ101" i="48"/>
  <c r="AR100" i="48"/>
  <c r="AE94" i="45"/>
  <c r="AF92" i="45"/>
  <c r="R92" i="60" s="1"/>
  <c r="W56" i="21"/>
  <c r="Y42" i="21"/>
  <c r="AC42" i="21" s="1"/>
  <c r="AD41" i="21"/>
  <c r="AE41" i="21" s="1"/>
  <c r="AF41" i="21" s="1"/>
  <c r="N57" i="21"/>
  <c r="T57" i="21" s="1"/>
  <c r="W57" i="21" s="1"/>
  <c r="M58" i="21"/>
  <c r="AQ20" i="21"/>
  <c r="AJ21" i="21" s="1"/>
  <c r="AP20" i="21"/>
  <c r="AC43" i="12"/>
  <c r="Y44" i="12" s="1"/>
  <c r="AO22" i="12"/>
  <c r="AQ22" i="12" s="1"/>
  <c r="AN22" i="12"/>
  <c r="N54" i="12"/>
  <c r="T54" i="12" s="1"/>
  <c r="M55" i="12"/>
  <c r="AJ50" i="48" l="1"/>
  <c r="AK50" i="48" s="1"/>
  <c r="V50" i="48"/>
  <c r="AG51" i="48"/>
  <c r="P51" i="48" s="1"/>
  <c r="AP42" i="48"/>
  <c r="T93" i="48"/>
  <c r="J95" i="48"/>
  <c r="L95" i="48" s="1"/>
  <c r="M94" i="48"/>
  <c r="K94" i="48" s="1"/>
  <c r="AA95" i="53"/>
  <c r="AB94" i="53"/>
  <c r="Y43" i="48"/>
  <c r="O43" i="48" s="1"/>
  <c r="AN43" i="48"/>
  <c r="AO43" i="48"/>
  <c r="R43" i="48" s="1"/>
  <c r="AQ102" i="48"/>
  <c r="AR101" i="48"/>
  <c r="AE95" i="45"/>
  <c r="AF93" i="45"/>
  <c r="R93" i="60" s="1"/>
  <c r="M59" i="21"/>
  <c r="N58" i="21"/>
  <c r="T58" i="21" s="1"/>
  <c r="W58" i="21" s="1"/>
  <c r="AE42" i="21"/>
  <c r="AF42" i="21" s="1"/>
  <c r="Y43" i="21"/>
  <c r="AC43" i="21" s="1"/>
  <c r="AD42" i="21"/>
  <c r="AM21" i="21"/>
  <c r="AC44" i="12"/>
  <c r="Y45" i="12" s="1"/>
  <c r="AJ23" i="12"/>
  <c r="AP22" i="12"/>
  <c r="N55" i="12"/>
  <c r="T55" i="12" s="1"/>
  <c r="M56" i="12"/>
  <c r="AH51" i="48" l="1"/>
  <c r="S42" i="48"/>
  <c r="T94" i="48"/>
  <c r="J96" i="48"/>
  <c r="L96" i="48" s="1"/>
  <c r="M95" i="48"/>
  <c r="K95" i="48" s="1"/>
  <c r="AA96" i="53"/>
  <c r="AB95" i="53"/>
  <c r="AB43" i="48"/>
  <c r="AE43" i="48"/>
  <c r="W44" i="48" s="1"/>
  <c r="AQ103" i="48"/>
  <c r="AR102" i="48"/>
  <c r="AE96" i="45"/>
  <c r="AF94" i="45"/>
  <c r="R94" i="60" s="1"/>
  <c r="AO21" i="21"/>
  <c r="AN21" i="21"/>
  <c r="AE43" i="21"/>
  <c r="AF43" i="21" s="1"/>
  <c r="Y44" i="21"/>
  <c r="AC44" i="21" s="1"/>
  <c r="AD43" i="21"/>
  <c r="N59" i="21"/>
  <c r="T59" i="21" s="1"/>
  <c r="W59" i="21" s="1"/>
  <c r="M60" i="21"/>
  <c r="AC45" i="12"/>
  <c r="Y46" i="12" s="1"/>
  <c r="AM23" i="12"/>
  <c r="M57" i="12"/>
  <c r="N56" i="12"/>
  <c r="T56" i="12" s="1"/>
  <c r="Q51" i="48" l="1"/>
  <c r="AL51" i="48"/>
  <c r="AF52" i="48" s="1"/>
  <c r="AI51" i="48"/>
  <c r="AC43" i="48"/>
  <c r="AD43" i="48" s="1"/>
  <c r="U43" i="48"/>
  <c r="T95" i="48"/>
  <c r="J97" i="48"/>
  <c r="L97" i="48" s="1"/>
  <c r="M96" i="48"/>
  <c r="K96" i="48" s="1"/>
  <c r="AA97" i="53"/>
  <c r="AB96" i="53"/>
  <c r="X44" i="48"/>
  <c r="N44" i="48" s="1"/>
  <c r="AQ104" i="48"/>
  <c r="AR103" i="48"/>
  <c r="AE97" i="45"/>
  <c r="AF95" i="45"/>
  <c r="R95" i="60" s="1"/>
  <c r="Y45" i="21"/>
  <c r="AC45" i="21" s="1"/>
  <c r="AD44" i="21"/>
  <c r="AE44" i="21" s="1"/>
  <c r="AF44" i="21" s="1"/>
  <c r="M61" i="21"/>
  <c r="N60" i="21"/>
  <c r="T60" i="21" s="1"/>
  <c r="W60" i="21" s="1"/>
  <c r="AP21" i="21"/>
  <c r="AQ21" i="21"/>
  <c r="AJ22" i="21" s="1"/>
  <c r="AC46" i="12"/>
  <c r="Y47" i="12" s="1"/>
  <c r="AO23" i="12"/>
  <c r="AQ23" i="12" s="1"/>
  <c r="AN23" i="12"/>
  <c r="M58" i="12"/>
  <c r="N57" i="12"/>
  <c r="T57" i="12" s="1"/>
  <c r="V51" i="48" l="1"/>
  <c r="AJ51" i="48"/>
  <c r="AK51" i="48" s="1"/>
  <c r="AG52" i="48"/>
  <c r="P52" i="48" s="1"/>
  <c r="AP43" i="48"/>
  <c r="S43" i="48" s="1"/>
  <c r="T96" i="48"/>
  <c r="M15" i="50"/>
  <c r="M97" i="48"/>
  <c r="K97" i="48" s="1"/>
  <c r="J98" i="48"/>
  <c r="L98" i="48" s="1"/>
  <c r="AA98" i="53"/>
  <c r="AB97" i="53"/>
  <c r="Y44" i="48"/>
  <c r="O44" i="48" s="1"/>
  <c r="AO44" i="48"/>
  <c r="R44" i="48" s="1"/>
  <c r="AN44" i="48"/>
  <c r="AQ105" i="48"/>
  <c r="AR104" i="48"/>
  <c r="AE98" i="45"/>
  <c r="AF96" i="45"/>
  <c r="R96" i="60" s="1"/>
  <c r="AM22" i="21"/>
  <c r="N61" i="21"/>
  <c r="T61" i="21" s="1"/>
  <c r="W61" i="21" s="1"/>
  <c r="M62" i="21"/>
  <c r="AE45" i="21"/>
  <c r="AF45" i="21" s="1"/>
  <c r="Y46" i="21"/>
  <c r="AC46" i="21" s="1"/>
  <c r="AC47" i="12"/>
  <c r="Y48" i="12" s="1"/>
  <c r="AP23" i="12"/>
  <c r="AJ24" i="12"/>
  <c r="N58" i="12"/>
  <c r="T58" i="12" s="1"/>
  <c r="M59" i="12"/>
  <c r="AH52" i="48" l="1"/>
  <c r="T97" i="48"/>
  <c r="J99" i="48"/>
  <c r="L99" i="48" s="1"/>
  <c r="M98" i="48"/>
  <c r="K98" i="48" s="1"/>
  <c r="AA99" i="53"/>
  <c r="AB98" i="53"/>
  <c r="AB44" i="48"/>
  <c r="AE44" i="48"/>
  <c r="W45" i="48" s="1"/>
  <c r="AQ106" i="48"/>
  <c r="AR105" i="48"/>
  <c r="AE99" i="45"/>
  <c r="AF97" i="45"/>
  <c r="R97" i="60" s="1"/>
  <c r="AE46" i="21"/>
  <c r="AF46" i="21" s="1"/>
  <c r="Y47" i="21"/>
  <c r="AC47" i="21" s="1"/>
  <c r="AO22" i="21"/>
  <c r="AN22" i="21"/>
  <c r="M63" i="21"/>
  <c r="N62" i="21"/>
  <c r="T62" i="21" s="1"/>
  <c r="W62" i="21" s="1"/>
  <c r="AC48" i="12"/>
  <c r="Y49" i="12" s="1"/>
  <c r="AM24" i="12"/>
  <c r="N59" i="12"/>
  <c r="T59" i="12" s="1"/>
  <c r="M60" i="12"/>
  <c r="Q52" i="48" l="1"/>
  <c r="AL52" i="48"/>
  <c r="AF53" i="48" s="1"/>
  <c r="AI52" i="48"/>
  <c r="AC44" i="48"/>
  <c r="AD44" i="48" s="1"/>
  <c r="U44" i="48"/>
  <c r="T98" i="48"/>
  <c r="J100" i="48"/>
  <c r="L100" i="48" s="1"/>
  <c r="M99" i="48"/>
  <c r="K99" i="48" s="1"/>
  <c r="AA100" i="53"/>
  <c r="AB99" i="53"/>
  <c r="X45" i="48"/>
  <c r="N45" i="48" s="1"/>
  <c r="AQ107" i="48"/>
  <c r="AR106" i="48"/>
  <c r="AE100" i="45"/>
  <c r="AF98" i="45"/>
  <c r="R98" i="60" s="1"/>
  <c r="AQ22" i="21"/>
  <c r="AJ23" i="21" s="1"/>
  <c r="AP22" i="21"/>
  <c r="AE47" i="21"/>
  <c r="AF47" i="21" s="1"/>
  <c r="Y48" i="21"/>
  <c r="AC48" i="21" s="1"/>
  <c r="N63" i="21"/>
  <c r="T63" i="21" s="1"/>
  <c r="M64" i="21"/>
  <c r="AC49" i="12"/>
  <c r="Y50" i="12" s="1"/>
  <c r="AO24" i="12"/>
  <c r="AQ24" i="12" s="1"/>
  <c r="AN24" i="12"/>
  <c r="M61" i="12"/>
  <c r="N60" i="12"/>
  <c r="T60" i="12" s="1"/>
  <c r="V52" i="48" l="1"/>
  <c r="AJ52" i="48"/>
  <c r="AK52" i="48" s="1"/>
  <c r="AG53" i="48"/>
  <c r="P53" i="48" s="1"/>
  <c r="AP44" i="48"/>
  <c r="T99" i="48"/>
  <c r="J101" i="48"/>
  <c r="L101" i="48" s="1"/>
  <c r="M100" i="48"/>
  <c r="K100" i="48" s="1"/>
  <c r="AA101" i="53"/>
  <c r="AB100" i="53"/>
  <c r="Y45" i="48"/>
  <c r="O45" i="48" s="1"/>
  <c r="AN45" i="48"/>
  <c r="AO45" i="48"/>
  <c r="R45" i="48" s="1"/>
  <c r="AQ108" i="48"/>
  <c r="AR107" i="48"/>
  <c r="AE101" i="45"/>
  <c r="AF99" i="45"/>
  <c r="R99" i="60" s="1"/>
  <c r="Y49" i="21"/>
  <c r="AC49" i="21" s="1"/>
  <c r="AE48" i="21"/>
  <c r="AF48" i="21" s="1"/>
  <c r="M65" i="21"/>
  <c r="N64" i="21"/>
  <c r="T64" i="21" s="1"/>
  <c r="W64" i="21" s="1"/>
  <c r="W63" i="21"/>
  <c r="AM23" i="21"/>
  <c r="AC50" i="12"/>
  <c r="Y51" i="12" s="1"/>
  <c r="AP24" i="12"/>
  <c r="AJ25" i="12"/>
  <c r="M62" i="12"/>
  <c r="N61" i="12"/>
  <c r="T61" i="12" s="1"/>
  <c r="AH53" i="48" l="1"/>
  <c r="Q53" i="48" s="1"/>
  <c r="S44" i="48"/>
  <c r="T100" i="48"/>
  <c r="J102" i="48"/>
  <c r="L102" i="48" s="1"/>
  <c r="M101" i="48"/>
  <c r="K101" i="48" s="1"/>
  <c r="AA102" i="53"/>
  <c r="AB101" i="53"/>
  <c r="AB45" i="48"/>
  <c r="AE45" i="48"/>
  <c r="W46" i="48" s="1"/>
  <c r="AQ109" i="48"/>
  <c r="AR108" i="48"/>
  <c r="AE102" i="45"/>
  <c r="AF100" i="45"/>
  <c r="R100" i="60" s="1"/>
  <c r="N65" i="21"/>
  <c r="T65" i="21" s="1"/>
  <c r="M66" i="21"/>
  <c r="AO23" i="21"/>
  <c r="AN23" i="21"/>
  <c r="AE49" i="21"/>
  <c r="AF49" i="21" s="1"/>
  <c r="Y50" i="21"/>
  <c r="AC50" i="21" s="1"/>
  <c r="AC51" i="12"/>
  <c r="Y52" i="12" s="1"/>
  <c r="AM25" i="12"/>
  <c r="N62" i="12"/>
  <c r="T62" i="12" s="1"/>
  <c r="M63" i="12"/>
  <c r="AI53" i="48" l="1"/>
  <c r="AJ53" i="48" s="1"/>
  <c r="AK53" i="48" s="1"/>
  <c r="AL53" i="48"/>
  <c r="AF54" i="48" s="1"/>
  <c r="AG54" i="48" s="1"/>
  <c r="P54" i="48" s="1"/>
  <c r="V53" i="48"/>
  <c r="AC45" i="48"/>
  <c r="AD45" i="48" s="1"/>
  <c r="U45" i="48"/>
  <c r="T101" i="48"/>
  <c r="M102" i="48"/>
  <c r="K102" i="48" s="1"/>
  <c r="J103" i="48"/>
  <c r="L103" i="48" s="1"/>
  <c r="T11" i="50"/>
  <c r="AA103" i="53"/>
  <c r="AB102" i="53"/>
  <c r="X46" i="48"/>
  <c r="N46" i="48" s="1"/>
  <c r="AQ110" i="48"/>
  <c r="AR109" i="48"/>
  <c r="AE103" i="45"/>
  <c r="AF101" i="45"/>
  <c r="R101" i="60" s="1"/>
  <c r="AQ23" i="21"/>
  <c r="AJ24" i="21" s="1"/>
  <c r="AP23" i="21"/>
  <c r="AE50" i="21"/>
  <c r="AF50" i="21" s="1"/>
  <c r="Y51" i="21"/>
  <c r="AC51" i="21" s="1"/>
  <c r="M67" i="21"/>
  <c r="N66" i="21"/>
  <c r="T66" i="21" s="1"/>
  <c r="W66" i="21" s="1"/>
  <c r="W65" i="21"/>
  <c r="AC52" i="12"/>
  <c r="Y53" i="12" s="1"/>
  <c r="AO25" i="12"/>
  <c r="AQ25" i="12" s="1"/>
  <c r="AN25" i="12"/>
  <c r="N63" i="12"/>
  <c r="T63" i="12" s="1"/>
  <c r="M64" i="12"/>
  <c r="AH54" i="48" l="1"/>
  <c r="AP45" i="48"/>
  <c r="S45" i="48" s="1"/>
  <c r="T102" i="48"/>
  <c r="J104" i="48"/>
  <c r="L104" i="48" s="1"/>
  <c r="M103" i="48"/>
  <c r="K103" i="48" s="1"/>
  <c r="AA104" i="53"/>
  <c r="AB103" i="53"/>
  <c r="Y46" i="48"/>
  <c r="O46" i="48" s="1"/>
  <c r="AO46" i="48"/>
  <c r="R46" i="48" s="1"/>
  <c r="AN46" i="48"/>
  <c r="AQ111" i="48"/>
  <c r="AR110" i="48"/>
  <c r="AE104" i="45"/>
  <c r="AF102" i="45"/>
  <c r="R102" i="60" s="1"/>
  <c r="N67" i="21"/>
  <c r="T67" i="21" s="1"/>
  <c r="M68" i="21"/>
  <c r="AE51" i="21"/>
  <c r="AF51" i="21" s="1"/>
  <c r="Y52" i="21"/>
  <c r="AC52" i="21" s="1"/>
  <c r="AM24" i="21"/>
  <c r="AC53" i="12"/>
  <c r="Y54" i="12" s="1"/>
  <c r="AP25" i="12"/>
  <c r="AJ26" i="12"/>
  <c r="M65" i="12"/>
  <c r="N64" i="12"/>
  <c r="T64" i="12" s="1"/>
  <c r="Q54" i="48" l="1"/>
  <c r="AI54" i="48"/>
  <c r="AL54" i="48"/>
  <c r="AF55" i="48" s="1"/>
  <c r="T103" i="48"/>
  <c r="M104" i="48"/>
  <c r="K104" i="48" s="1"/>
  <c r="J105" i="48"/>
  <c r="L105" i="48" s="1"/>
  <c r="T12" i="50"/>
  <c r="AA105" i="53"/>
  <c r="AB104" i="53"/>
  <c r="AB46" i="48"/>
  <c r="AE46" i="48"/>
  <c r="W47" i="48" s="1"/>
  <c r="AQ112" i="48"/>
  <c r="AR111" i="48"/>
  <c r="AE105" i="45"/>
  <c r="AF103" i="45"/>
  <c r="R103" i="60" s="1"/>
  <c r="AO24" i="21"/>
  <c r="AN24" i="21"/>
  <c r="M69" i="21"/>
  <c r="N68" i="21"/>
  <c r="T68" i="21" s="1"/>
  <c r="W68" i="21" s="1"/>
  <c r="Y53" i="21"/>
  <c r="AC53" i="21" s="1"/>
  <c r="AE52" i="21"/>
  <c r="AF52" i="21" s="1"/>
  <c r="W67" i="21"/>
  <c r="AC54" i="12"/>
  <c r="Y55" i="12" s="1"/>
  <c r="AM26" i="12"/>
  <c r="M66" i="12"/>
  <c r="N65" i="12"/>
  <c r="T65" i="12" s="1"/>
  <c r="AG55" i="48" l="1"/>
  <c r="P55" i="48" s="1"/>
  <c r="V54" i="48"/>
  <c r="AJ54" i="48"/>
  <c r="AK54" i="48" s="1"/>
  <c r="AC46" i="48"/>
  <c r="AD46" i="48" s="1"/>
  <c r="U46" i="48"/>
  <c r="T104" i="48"/>
  <c r="J106" i="48"/>
  <c r="L106" i="48" s="1"/>
  <c r="M105" i="48"/>
  <c r="K105" i="48" s="1"/>
  <c r="AA106" i="53"/>
  <c r="AB105" i="53"/>
  <c r="X47" i="48"/>
  <c r="N47" i="48" s="1"/>
  <c r="AQ113" i="48"/>
  <c r="AR112" i="48"/>
  <c r="AE106" i="45"/>
  <c r="AF104" i="45"/>
  <c r="R104" i="60" s="1"/>
  <c r="N69" i="21"/>
  <c r="T69" i="21" s="1"/>
  <c r="M70" i="21"/>
  <c r="AE53" i="21"/>
  <c r="AF53" i="21" s="1"/>
  <c r="Y54" i="21"/>
  <c r="AC54" i="21" s="1"/>
  <c r="AQ24" i="21"/>
  <c r="AJ25" i="21" s="1"/>
  <c r="AP24" i="21"/>
  <c r="AC55" i="12"/>
  <c r="Y56" i="12" s="1"/>
  <c r="AO26" i="12"/>
  <c r="AQ26" i="12" s="1"/>
  <c r="AN26" i="12"/>
  <c r="N66" i="12"/>
  <c r="T66" i="12" s="1"/>
  <c r="M67" i="12"/>
  <c r="AH55" i="48" l="1"/>
  <c r="Q55" i="48" s="1"/>
  <c r="AI55" i="48"/>
  <c r="AL55" i="48"/>
  <c r="AF56" i="48" s="1"/>
  <c r="AP46" i="48"/>
  <c r="S46" i="48" s="1"/>
  <c r="T105" i="48"/>
  <c r="J107" i="48"/>
  <c r="L107" i="48" s="1"/>
  <c r="M106" i="48"/>
  <c r="K106" i="48" s="1"/>
  <c r="AA107" i="53"/>
  <c r="AB106" i="53"/>
  <c r="Y47" i="48"/>
  <c r="O47" i="48" s="1"/>
  <c r="AN47" i="48"/>
  <c r="AO47" i="48"/>
  <c r="R47" i="48" s="1"/>
  <c r="AQ114" i="48"/>
  <c r="AR113" i="48"/>
  <c r="AE107" i="45"/>
  <c r="AF105" i="45"/>
  <c r="R105" i="60" s="1"/>
  <c r="AM25" i="21"/>
  <c r="M71" i="21"/>
  <c r="N70" i="21"/>
  <c r="T70" i="21" s="1"/>
  <c r="W70" i="21" s="1"/>
  <c r="AE54" i="21"/>
  <c r="AF54" i="21" s="1"/>
  <c r="Y55" i="21"/>
  <c r="AC55" i="21" s="1"/>
  <c r="W69" i="21"/>
  <c r="AC56" i="12"/>
  <c r="Y57" i="12" s="1"/>
  <c r="AP26" i="12"/>
  <c r="AJ27" i="12"/>
  <c r="N67" i="12"/>
  <c r="T67" i="12" s="1"/>
  <c r="M68" i="12"/>
  <c r="AG56" i="48" l="1"/>
  <c r="P56" i="48" s="1"/>
  <c r="AJ55" i="48"/>
  <c r="AK55" i="48" s="1"/>
  <c r="V55" i="48"/>
  <c r="T106" i="48"/>
  <c r="M16" i="50"/>
  <c r="M107" i="48"/>
  <c r="K107" i="48" s="1"/>
  <c r="J108" i="48"/>
  <c r="L108" i="48" s="1"/>
  <c r="AA108" i="53"/>
  <c r="AB107" i="53"/>
  <c r="AB47" i="48"/>
  <c r="AE47" i="48"/>
  <c r="W48" i="48" s="1"/>
  <c r="AQ115" i="48"/>
  <c r="AR114" i="48"/>
  <c r="AE108" i="45"/>
  <c r="AF106" i="45"/>
  <c r="R106" i="60" s="1"/>
  <c r="AE55" i="21"/>
  <c r="AF55" i="21" s="1"/>
  <c r="Y56" i="21"/>
  <c r="AC56" i="21" s="1"/>
  <c r="AO25" i="21"/>
  <c r="AN25" i="21"/>
  <c r="N71" i="21"/>
  <c r="T71" i="21" s="1"/>
  <c r="W71" i="21" s="1"/>
  <c r="M72" i="21"/>
  <c r="AC57" i="12"/>
  <c r="Y58" i="12" s="1"/>
  <c r="AM27" i="12"/>
  <c r="M69" i="12"/>
  <c r="N68" i="12"/>
  <c r="T68" i="12" s="1"/>
  <c r="AH56" i="48" l="1"/>
  <c r="AC47" i="48"/>
  <c r="AD47" i="48" s="1"/>
  <c r="U47" i="48"/>
  <c r="T107" i="48"/>
  <c r="J109" i="48"/>
  <c r="L109" i="48" s="1"/>
  <c r="M108" i="48"/>
  <c r="K108" i="48" s="1"/>
  <c r="AA109" i="53"/>
  <c r="AB108" i="53"/>
  <c r="X48" i="48"/>
  <c r="N48" i="48" s="1"/>
  <c r="AQ116" i="48"/>
  <c r="AR115" i="48"/>
  <c r="AE109" i="45"/>
  <c r="AF107" i="45"/>
  <c r="R107" i="60" s="1"/>
  <c r="M73" i="21"/>
  <c r="N72" i="21"/>
  <c r="T72" i="21" s="1"/>
  <c r="W72" i="21" s="1"/>
  <c r="AE56" i="21"/>
  <c r="AF56" i="21" s="1"/>
  <c r="Y57" i="21"/>
  <c r="AC57" i="21" s="1"/>
  <c r="AP25" i="21"/>
  <c r="AQ25" i="21"/>
  <c r="AJ26" i="21" s="1"/>
  <c r="AC58" i="12"/>
  <c r="Y59" i="12" s="1"/>
  <c r="AO27" i="12"/>
  <c r="AQ27" i="12" s="1"/>
  <c r="AN27" i="12"/>
  <c r="N69" i="12"/>
  <c r="T69" i="12" s="1"/>
  <c r="M70" i="12"/>
  <c r="Q56" i="48" l="1"/>
  <c r="AL56" i="48"/>
  <c r="AF57" i="48" s="1"/>
  <c r="AI56" i="48"/>
  <c r="AP47" i="48"/>
  <c r="S47" i="48" s="1"/>
  <c r="T108" i="48"/>
  <c r="J110" i="48"/>
  <c r="L110" i="48" s="1"/>
  <c r="M109" i="48"/>
  <c r="K109" i="48" s="1"/>
  <c r="AA110" i="53"/>
  <c r="AB109" i="53"/>
  <c r="Y48" i="48"/>
  <c r="O48" i="48" s="1"/>
  <c r="AO48" i="48"/>
  <c r="R48" i="48" s="1"/>
  <c r="AN48" i="48"/>
  <c r="AQ117" i="48"/>
  <c r="AR116" i="48"/>
  <c r="AE110" i="45"/>
  <c r="AF108" i="45"/>
  <c r="R108" i="60" s="1"/>
  <c r="AE57" i="21"/>
  <c r="AF57" i="21" s="1"/>
  <c r="Y58" i="21"/>
  <c r="AC58" i="21" s="1"/>
  <c r="AM26" i="21"/>
  <c r="N73" i="21"/>
  <c r="T73" i="21" s="1"/>
  <c r="W73" i="21" s="1"/>
  <c r="M74" i="21"/>
  <c r="AC59" i="12"/>
  <c r="Y60" i="12" s="1"/>
  <c r="AP27" i="12"/>
  <c r="AJ28" i="12"/>
  <c r="N70" i="12"/>
  <c r="T70" i="12" s="1"/>
  <c r="M71" i="12"/>
  <c r="AJ56" i="48" l="1"/>
  <c r="AK56" i="48" s="1"/>
  <c r="V56" i="48"/>
  <c r="AG57" i="48"/>
  <c r="P57" i="48" s="1"/>
  <c r="T109" i="48"/>
  <c r="J111" i="48"/>
  <c r="L111" i="48" s="1"/>
  <c r="M110" i="48"/>
  <c r="K110" i="48" s="1"/>
  <c r="AA111" i="53"/>
  <c r="AB110" i="53"/>
  <c r="AB48" i="48"/>
  <c r="AE48" i="48"/>
  <c r="W49" i="48" s="1"/>
  <c r="AQ118" i="48"/>
  <c r="AR117" i="48"/>
  <c r="AE111" i="45"/>
  <c r="AF109" i="45"/>
  <c r="R109" i="60" s="1"/>
  <c r="AO26" i="21"/>
  <c r="AN26" i="21"/>
  <c r="M75" i="21"/>
  <c r="N74" i="21"/>
  <c r="T74" i="21" s="1"/>
  <c r="W74" i="21" s="1"/>
  <c r="AE58" i="21"/>
  <c r="AF58" i="21" s="1"/>
  <c r="Y59" i="21"/>
  <c r="AC59" i="21" s="1"/>
  <c r="AC60" i="12"/>
  <c r="Y61" i="12" s="1"/>
  <c r="AM28" i="12"/>
  <c r="N71" i="12"/>
  <c r="T71" i="12" s="1"/>
  <c r="M72" i="12"/>
  <c r="AH57" i="48" l="1"/>
  <c r="AC48" i="48"/>
  <c r="AD48" i="48" s="1"/>
  <c r="U48" i="48"/>
  <c r="T110" i="48"/>
  <c r="J112" i="48"/>
  <c r="L112" i="48" s="1"/>
  <c r="M111" i="48"/>
  <c r="K111" i="48" s="1"/>
  <c r="AA112" i="53"/>
  <c r="AB111" i="53"/>
  <c r="X49" i="48"/>
  <c r="N49" i="48" s="1"/>
  <c r="AQ119" i="48"/>
  <c r="AR118" i="48"/>
  <c r="AE112" i="45"/>
  <c r="AF110" i="45"/>
  <c r="R110" i="60" s="1"/>
  <c r="M76" i="21"/>
  <c r="N75" i="21"/>
  <c r="T75" i="21" s="1"/>
  <c r="AE59" i="21"/>
  <c r="AF59" i="21" s="1"/>
  <c r="Y60" i="21"/>
  <c r="AC60" i="21" s="1"/>
  <c r="AP26" i="21"/>
  <c r="AQ26" i="21"/>
  <c r="AJ27" i="21" s="1"/>
  <c r="AC61" i="12"/>
  <c r="Y62" i="12" s="1"/>
  <c r="AO28" i="12"/>
  <c r="AQ28" i="12" s="1"/>
  <c r="AN28" i="12"/>
  <c r="M73" i="12"/>
  <c r="N72" i="12"/>
  <c r="T72" i="12" s="1"/>
  <c r="Q57" i="48" l="1"/>
  <c r="AI57" i="48"/>
  <c r="AL57" i="48"/>
  <c r="AF58" i="48" s="1"/>
  <c r="AP48" i="48"/>
  <c r="S48" i="48" s="1"/>
  <c r="T111" i="48"/>
  <c r="J113" i="48"/>
  <c r="L113" i="48" s="1"/>
  <c r="M112" i="48"/>
  <c r="K112" i="48" s="1"/>
  <c r="AA113" i="53"/>
  <c r="AB112" i="53"/>
  <c r="Y49" i="48"/>
  <c r="O49" i="48" s="1"/>
  <c r="AO49" i="48"/>
  <c r="R49" i="48" s="1"/>
  <c r="AN49" i="48"/>
  <c r="AQ120" i="48"/>
  <c r="AR119" i="48"/>
  <c r="AE113" i="45"/>
  <c r="AF111" i="45"/>
  <c r="R111" i="60" s="1"/>
  <c r="Y61" i="21"/>
  <c r="AC61" i="21" s="1"/>
  <c r="AE60" i="21"/>
  <c r="AF60" i="21" s="1"/>
  <c r="AM27" i="21"/>
  <c r="W75" i="21"/>
  <c r="M77" i="21"/>
  <c r="N76" i="21"/>
  <c r="T76" i="21" s="1"/>
  <c r="W76" i="21" s="1"/>
  <c r="AC62" i="12"/>
  <c r="Y63" i="12" s="1"/>
  <c r="AP28" i="12"/>
  <c r="AJ29" i="12"/>
  <c r="N73" i="12"/>
  <c r="T73" i="12" s="1"/>
  <c r="M74" i="12"/>
  <c r="AG58" i="48" l="1"/>
  <c r="P58" i="48" s="1"/>
  <c r="AJ57" i="48"/>
  <c r="AK57" i="48" s="1"/>
  <c r="V57" i="48"/>
  <c r="T112" i="48"/>
  <c r="J114" i="48"/>
  <c r="L114" i="48" s="1"/>
  <c r="M113" i="48"/>
  <c r="K113" i="48" s="1"/>
  <c r="AA114" i="53"/>
  <c r="AA115" i="53" s="1"/>
  <c r="AB113" i="53"/>
  <c r="AB49" i="48"/>
  <c r="AE49" i="48"/>
  <c r="W50" i="48" s="1"/>
  <c r="AQ121" i="48"/>
  <c r="AR120" i="48"/>
  <c r="AE114" i="45"/>
  <c r="AF112" i="45"/>
  <c r="R112" i="60" s="1"/>
  <c r="AO27" i="21"/>
  <c r="AN27" i="21"/>
  <c r="M78" i="21"/>
  <c r="N77" i="21"/>
  <c r="T77" i="21" s="1"/>
  <c r="AE61" i="21"/>
  <c r="AF61" i="21" s="1"/>
  <c r="Y62" i="21"/>
  <c r="AC62" i="21" s="1"/>
  <c r="AC63" i="12"/>
  <c r="Y64" i="12" s="1"/>
  <c r="AM29" i="12"/>
  <c r="M75" i="12"/>
  <c r="N74" i="12"/>
  <c r="T74" i="12" s="1"/>
  <c r="AH58" i="48" l="1"/>
  <c r="AC49" i="48"/>
  <c r="AD49" i="48" s="1"/>
  <c r="U49" i="48"/>
  <c r="T113" i="48"/>
  <c r="J115" i="48"/>
  <c r="L115" i="48" s="1"/>
  <c r="M114" i="48"/>
  <c r="K114" i="48" s="1"/>
  <c r="AB114" i="53"/>
  <c r="X50" i="48"/>
  <c r="N50" i="48" s="1"/>
  <c r="AQ122" i="48"/>
  <c r="AR121" i="48"/>
  <c r="AE115" i="45"/>
  <c r="AF113" i="45"/>
  <c r="R113" i="60" s="1"/>
  <c r="AE62" i="21"/>
  <c r="AF62" i="21" s="1"/>
  <c r="Y63" i="21"/>
  <c r="AC63" i="21" s="1"/>
  <c r="M79" i="21"/>
  <c r="N78" i="21"/>
  <c r="T78" i="21" s="1"/>
  <c r="W78" i="21" s="1"/>
  <c r="W77" i="21"/>
  <c r="AP27" i="21"/>
  <c r="AQ27" i="21"/>
  <c r="AJ28" i="21" s="1"/>
  <c r="AC64" i="12"/>
  <c r="Y65" i="12" s="1"/>
  <c r="AO29" i="12"/>
  <c r="AQ29" i="12" s="1"/>
  <c r="AN29" i="12"/>
  <c r="N75" i="12"/>
  <c r="T75" i="12" s="1"/>
  <c r="M76" i="12"/>
  <c r="Q58" i="48" l="1"/>
  <c r="AL58" i="48"/>
  <c r="AF59" i="48" s="1"/>
  <c r="AI58" i="48"/>
  <c r="AP49" i="48"/>
  <c r="S49" i="48" s="1"/>
  <c r="T114" i="48"/>
  <c r="J116" i="48"/>
  <c r="L116" i="48" s="1"/>
  <c r="M115" i="48"/>
  <c r="K115" i="48" s="1"/>
  <c r="AA116" i="53"/>
  <c r="AB115" i="53"/>
  <c r="Y50" i="48"/>
  <c r="O50" i="48" s="1"/>
  <c r="AN50" i="48"/>
  <c r="AO50" i="48"/>
  <c r="R50" i="48" s="1"/>
  <c r="AQ123" i="48"/>
  <c r="AR122" i="48"/>
  <c r="AE116" i="45"/>
  <c r="AF114" i="45"/>
  <c r="R114" i="60" s="1"/>
  <c r="M80" i="21"/>
  <c r="N79" i="21"/>
  <c r="T79" i="21" s="1"/>
  <c r="AE63" i="21"/>
  <c r="AF63" i="21" s="1"/>
  <c r="Y64" i="21"/>
  <c r="AC64" i="21" s="1"/>
  <c r="AM28" i="21"/>
  <c r="AC65" i="12"/>
  <c r="Y66" i="12" s="1"/>
  <c r="AP29" i="12"/>
  <c r="AJ30" i="12"/>
  <c r="N76" i="12"/>
  <c r="T76" i="12" s="1"/>
  <c r="M77" i="12"/>
  <c r="AJ58" i="48" l="1"/>
  <c r="AK58" i="48" s="1"/>
  <c r="V58" i="48"/>
  <c r="AG59" i="48"/>
  <c r="P59" i="48" s="1"/>
  <c r="T115" i="48"/>
  <c r="J117" i="48"/>
  <c r="L117" i="48" s="1"/>
  <c r="M116" i="48"/>
  <c r="K116" i="48" s="1"/>
  <c r="AA117" i="53"/>
  <c r="AB117" i="53" s="1"/>
  <c r="AB116" i="53"/>
  <c r="AB50" i="48"/>
  <c r="AE50" i="48"/>
  <c r="W51" i="48" s="1"/>
  <c r="AQ124" i="48"/>
  <c r="AR123" i="48"/>
  <c r="AF115" i="45"/>
  <c r="R115" i="60" s="1"/>
  <c r="AO28" i="21"/>
  <c r="AN28" i="21"/>
  <c r="W79" i="21"/>
  <c r="AE64" i="21"/>
  <c r="AF64" i="21" s="1"/>
  <c r="Y65" i="21"/>
  <c r="AC65" i="21" s="1"/>
  <c r="M81" i="21"/>
  <c r="N80" i="21"/>
  <c r="T80" i="21" s="1"/>
  <c r="W80" i="21" s="1"/>
  <c r="AC66" i="12"/>
  <c r="Y67" i="12" s="1"/>
  <c r="AM30" i="12"/>
  <c r="M78" i="12"/>
  <c r="N77" i="12"/>
  <c r="T77" i="12" s="1"/>
  <c r="AH59" i="48" l="1"/>
  <c r="AC50" i="48"/>
  <c r="AD50" i="48" s="1"/>
  <c r="U50" i="48"/>
  <c r="T116" i="48"/>
  <c r="M117" i="48"/>
  <c r="K117" i="48" s="1"/>
  <c r="T13" i="50"/>
  <c r="J118" i="48"/>
  <c r="M17" i="50"/>
  <c r="X51" i="48"/>
  <c r="N51" i="48" s="1"/>
  <c r="AQ125" i="48"/>
  <c r="AR124" i="48"/>
  <c r="M82" i="21"/>
  <c r="N81" i="21"/>
  <c r="T81" i="21" s="1"/>
  <c r="W81" i="21" s="1"/>
  <c r="AE65" i="21"/>
  <c r="AF65" i="21" s="1"/>
  <c r="Y66" i="21"/>
  <c r="AC66" i="21" s="1"/>
  <c r="AP28" i="21"/>
  <c r="AQ28" i="21"/>
  <c r="AJ29" i="21" s="1"/>
  <c r="AC67" i="12"/>
  <c r="Y68" i="12" s="1"/>
  <c r="AO30" i="12"/>
  <c r="AQ30" i="12" s="1"/>
  <c r="AN30" i="12"/>
  <c r="N78" i="12"/>
  <c r="T78" i="12" s="1"/>
  <c r="M79" i="12"/>
  <c r="Q59" i="48" l="1"/>
  <c r="AL59" i="48"/>
  <c r="AF60" i="48" s="1"/>
  <c r="AI59" i="48"/>
  <c r="AP50" i="48"/>
  <c r="S50" i="48" s="1"/>
  <c r="T117" i="48"/>
  <c r="J119" i="48"/>
  <c r="L118" i="48"/>
  <c r="M118" i="48" s="1"/>
  <c r="K118" i="48" s="1"/>
  <c r="Y51" i="48"/>
  <c r="O51" i="48" s="1"/>
  <c r="AO51" i="48"/>
  <c r="R51" i="48" s="1"/>
  <c r="AN51" i="48"/>
  <c r="AQ126" i="48"/>
  <c r="AR125" i="48"/>
  <c r="AM29" i="21"/>
  <c r="AE66" i="21"/>
  <c r="AF66" i="21" s="1"/>
  <c r="Y67" i="21"/>
  <c r="AC67" i="21" s="1"/>
  <c r="M83" i="21"/>
  <c r="N82" i="21"/>
  <c r="T82" i="21" s="1"/>
  <c r="W82" i="21" s="1"/>
  <c r="AC68" i="12"/>
  <c r="Y69" i="12" s="1"/>
  <c r="AP30" i="12"/>
  <c r="AJ31" i="12"/>
  <c r="M80" i="12"/>
  <c r="N79" i="12"/>
  <c r="T79" i="12" s="1"/>
  <c r="AJ59" i="48" l="1"/>
  <c r="AK59" i="48" s="1"/>
  <c r="V59" i="48"/>
  <c r="AG60" i="48"/>
  <c r="P60" i="48" s="1"/>
  <c r="AH60" i="48"/>
  <c r="Q60" i="48" s="1"/>
  <c r="T118" i="48"/>
  <c r="J120" i="48"/>
  <c r="L119" i="48"/>
  <c r="M119" i="48" s="1"/>
  <c r="K119" i="48" s="1"/>
  <c r="AB51" i="48"/>
  <c r="AE51" i="48"/>
  <c r="W52" i="48" s="1"/>
  <c r="AQ127" i="48"/>
  <c r="AR126" i="48"/>
  <c r="AE67" i="21"/>
  <c r="AF67" i="21" s="1"/>
  <c r="Y68" i="21"/>
  <c r="AC68" i="21" s="1"/>
  <c r="AO29" i="21"/>
  <c r="AN29" i="21"/>
  <c r="M84" i="21"/>
  <c r="N83" i="21"/>
  <c r="T83" i="21" s="1"/>
  <c r="W83" i="21" s="1"/>
  <c r="AC69" i="12"/>
  <c r="Y70" i="12" s="1"/>
  <c r="AM31" i="12"/>
  <c r="N80" i="12"/>
  <c r="T80" i="12" s="1"/>
  <c r="M81" i="12"/>
  <c r="AL60" i="48" l="1"/>
  <c r="AF61" i="48" s="1"/>
  <c r="AG61" i="48" s="1"/>
  <c r="P61" i="48" s="1"/>
  <c r="AI60" i="48"/>
  <c r="AC51" i="48"/>
  <c r="AD51" i="48" s="1"/>
  <c r="U51" i="48"/>
  <c r="T119" i="48"/>
  <c r="J121" i="48"/>
  <c r="L120" i="48"/>
  <c r="M120" i="48" s="1"/>
  <c r="K120" i="48" s="1"/>
  <c r="X52" i="48"/>
  <c r="N52" i="48" s="1"/>
  <c r="AQ128" i="48"/>
  <c r="AR127" i="48"/>
  <c r="AQ29" i="21"/>
  <c r="AJ30" i="21" s="1"/>
  <c r="AP29" i="21"/>
  <c r="Y69" i="21"/>
  <c r="AC69" i="21" s="1"/>
  <c r="AE68" i="21"/>
  <c r="AF68" i="21" s="1"/>
  <c r="M85" i="21"/>
  <c r="N84" i="21"/>
  <c r="T84" i="21" s="1"/>
  <c r="W84" i="21" s="1"/>
  <c r="AC70" i="12"/>
  <c r="Y71" i="12" s="1"/>
  <c r="AO31" i="12"/>
  <c r="AQ31" i="12" s="1"/>
  <c r="AN31" i="12"/>
  <c r="N81" i="12"/>
  <c r="T81" i="12" s="1"/>
  <c r="M82" i="12"/>
  <c r="AH61" i="48" l="1"/>
  <c r="AJ60" i="48"/>
  <c r="AK60" i="48" s="1"/>
  <c r="V60" i="48"/>
  <c r="AI61" i="48"/>
  <c r="AP51" i="48"/>
  <c r="T120" i="48"/>
  <c r="J122" i="48"/>
  <c r="L121" i="48"/>
  <c r="M121" i="48" s="1"/>
  <c r="K121" i="48" s="1"/>
  <c r="Y52" i="48"/>
  <c r="O52" i="48" s="1"/>
  <c r="AN52" i="48"/>
  <c r="AO52" i="48"/>
  <c r="R52" i="48" s="1"/>
  <c r="AQ129" i="48"/>
  <c r="AR128" i="48"/>
  <c r="AE69" i="21"/>
  <c r="AF69" i="21" s="1"/>
  <c r="Y70" i="21"/>
  <c r="AC70" i="21" s="1"/>
  <c r="M86" i="21"/>
  <c r="N85" i="21"/>
  <c r="T85" i="21" s="1"/>
  <c r="W85" i="21" s="1"/>
  <c r="AM30" i="21"/>
  <c r="AC71" i="12"/>
  <c r="Y72" i="12" s="1"/>
  <c r="AP31" i="12"/>
  <c r="AJ32" i="12"/>
  <c r="M83" i="12"/>
  <c r="N82" i="12"/>
  <c r="T82" i="12" s="1"/>
  <c r="AJ61" i="48" l="1"/>
  <c r="AK61" i="48" s="1"/>
  <c r="V61" i="48"/>
  <c r="Q61" i="48"/>
  <c r="AL61" i="48"/>
  <c r="AF62" i="48" s="1"/>
  <c r="S51" i="48"/>
  <c r="T121" i="48"/>
  <c r="J123" i="48"/>
  <c r="L122" i="48"/>
  <c r="M122" i="48" s="1"/>
  <c r="K122" i="48" s="1"/>
  <c r="AB52" i="48"/>
  <c r="AE52" i="48"/>
  <c r="W53" i="48" s="1"/>
  <c r="AQ130" i="48"/>
  <c r="AR129" i="48"/>
  <c r="M87" i="21"/>
  <c r="N86" i="21"/>
  <c r="T86" i="21" s="1"/>
  <c r="W86" i="21" s="1"/>
  <c r="AE70" i="21"/>
  <c r="AF70" i="21" s="1"/>
  <c r="Y71" i="21"/>
  <c r="AC71" i="21" s="1"/>
  <c r="AO30" i="21"/>
  <c r="AN30" i="21"/>
  <c r="AC72" i="12"/>
  <c r="Y73" i="12" s="1"/>
  <c r="AM32" i="12"/>
  <c r="M84" i="12"/>
  <c r="N83" i="12"/>
  <c r="T83" i="12" s="1"/>
  <c r="AG62" i="48" l="1"/>
  <c r="P62" i="48" s="1"/>
  <c r="AC52" i="48"/>
  <c r="AD52" i="48" s="1"/>
  <c r="U52" i="48"/>
  <c r="T122" i="48"/>
  <c r="J124" i="48"/>
  <c r="L123" i="48"/>
  <c r="M123" i="48" s="1"/>
  <c r="K123" i="48" s="1"/>
  <c r="X53" i="48"/>
  <c r="N53" i="48" s="1"/>
  <c r="AQ131" i="48"/>
  <c r="AR130" i="48"/>
  <c r="AE71" i="21"/>
  <c r="AF71" i="21" s="1"/>
  <c r="Y72" i="21"/>
  <c r="AC72" i="21" s="1"/>
  <c r="AP30" i="21"/>
  <c r="AQ30" i="21"/>
  <c r="AJ31" i="21" s="1"/>
  <c r="M88" i="21"/>
  <c r="N87" i="21"/>
  <c r="T87" i="21" s="1"/>
  <c r="AC73" i="12"/>
  <c r="Y74" i="12" s="1"/>
  <c r="AO32" i="12"/>
  <c r="AQ32" i="12" s="1"/>
  <c r="AN32" i="12"/>
  <c r="N84" i="12"/>
  <c r="T84" i="12" s="1"/>
  <c r="M85" i="12"/>
  <c r="AH62" i="48" l="1"/>
  <c r="AL62" i="48" s="1"/>
  <c r="AF63" i="48" s="1"/>
  <c r="AG63" i="48"/>
  <c r="P63" i="48" s="1"/>
  <c r="AH63" i="48"/>
  <c r="Q63" i="48" s="1"/>
  <c r="Q62" i="48"/>
  <c r="AI62" i="48"/>
  <c r="AP52" i="48"/>
  <c r="S52" i="48" s="1"/>
  <c r="T123" i="48"/>
  <c r="J125" i="48"/>
  <c r="L124" i="48"/>
  <c r="M124" i="48" s="1"/>
  <c r="K124" i="48" s="1"/>
  <c r="Y53" i="48"/>
  <c r="O53" i="48" s="1"/>
  <c r="AO53" i="48"/>
  <c r="R53" i="48" s="1"/>
  <c r="AN53" i="48"/>
  <c r="AQ132" i="48"/>
  <c r="AR131" i="48"/>
  <c r="W87" i="21"/>
  <c r="M89" i="21"/>
  <c r="N88" i="21"/>
  <c r="T88" i="21" s="1"/>
  <c r="W88" i="21" s="1"/>
  <c r="AE72" i="21"/>
  <c r="AF72" i="21" s="1"/>
  <c r="Y73" i="21"/>
  <c r="AC73" i="21" s="1"/>
  <c r="AM31" i="21"/>
  <c r="AC74" i="12"/>
  <c r="Y75" i="12" s="1"/>
  <c r="AP32" i="12"/>
  <c r="AJ33" i="12"/>
  <c r="M86" i="12"/>
  <c r="N85" i="12"/>
  <c r="T85" i="12" s="1"/>
  <c r="AL63" i="48" l="1"/>
  <c r="AF64" i="48" s="1"/>
  <c r="AG64" i="48" s="1"/>
  <c r="P64" i="48" s="1"/>
  <c r="AJ62" i="48"/>
  <c r="AK62" i="48" s="1"/>
  <c r="V62" i="48"/>
  <c r="AI63" i="48"/>
  <c r="T124" i="48"/>
  <c r="J126" i="48"/>
  <c r="L125" i="48"/>
  <c r="M125" i="48" s="1"/>
  <c r="K125" i="48" s="1"/>
  <c r="AB53" i="48"/>
  <c r="AE53" i="48"/>
  <c r="W54" i="48" s="1"/>
  <c r="AQ133" i="48"/>
  <c r="AR132" i="48"/>
  <c r="AO31" i="21"/>
  <c r="AN31" i="21"/>
  <c r="M90" i="21"/>
  <c r="N89" i="21"/>
  <c r="T89" i="21" s="1"/>
  <c r="AE73" i="21"/>
  <c r="AF73" i="21" s="1"/>
  <c r="Y74" i="21"/>
  <c r="AC74" i="21" s="1"/>
  <c r="AC75" i="12"/>
  <c r="Y76" i="12" s="1"/>
  <c r="AM33" i="12"/>
  <c r="N86" i="12"/>
  <c r="T86" i="12" s="1"/>
  <c r="M87" i="12"/>
  <c r="AH64" i="48" l="1"/>
  <c r="AL64" i="48" s="1"/>
  <c r="AF65" i="48" s="1"/>
  <c r="AG65" i="48" s="1"/>
  <c r="P65" i="48" s="1"/>
  <c r="AJ63" i="48"/>
  <c r="AK63" i="48" s="1"/>
  <c r="V63" i="48"/>
  <c r="AI64" i="48"/>
  <c r="Q64" i="48"/>
  <c r="AC53" i="48"/>
  <c r="AD53" i="48" s="1"/>
  <c r="U53" i="48"/>
  <c r="T125" i="48"/>
  <c r="J127" i="48"/>
  <c r="L126" i="48"/>
  <c r="M126" i="48" s="1"/>
  <c r="K126" i="48" s="1"/>
  <c r="X54" i="48"/>
  <c r="N54" i="48" s="1"/>
  <c r="AQ134" i="48"/>
  <c r="AR133" i="48"/>
  <c r="W89" i="21"/>
  <c r="M91" i="21"/>
  <c r="N90" i="21"/>
  <c r="T90" i="21" s="1"/>
  <c r="W90" i="21" s="1"/>
  <c r="AE74" i="21"/>
  <c r="AF74" i="21" s="1"/>
  <c r="Y75" i="21"/>
  <c r="AC75" i="21" s="1"/>
  <c r="AP31" i="21"/>
  <c r="AQ31" i="21"/>
  <c r="AJ32" i="21" s="1"/>
  <c r="AC76" i="12"/>
  <c r="Y77" i="12" s="1"/>
  <c r="AO33" i="12"/>
  <c r="AQ33" i="12" s="1"/>
  <c r="AN33" i="12"/>
  <c r="N87" i="12"/>
  <c r="T87" i="12" s="1"/>
  <c r="M88" i="12"/>
  <c r="AH65" i="48" l="1"/>
  <c r="AI65" i="48" s="1"/>
  <c r="AJ64" i="48"/>
  <c r="AK64" i="48" s="1"/>
  <c r="V64" i="48"/>
  <c r="AP53" i="48"/>
  <c r="S53" i="48" s="1"/>
  <c r="T126" i="48"/>
  <c r="L127" i="48"/>
  <c r="M127" i="48" s="1"/>
  <c r="K127" i="48" s="1"/>
  <c r="M18" i="50"/>
  <c r="J128" i="48"/>
  <c r="Y54" i="48"/>
  <c r="O54" i="48" s="1"/>
  <c r="AN54" i="48"/>
  <c r="AO54" i="48"/>
  <c r="R54" i="48" s="1"/>
  <c r="AQ135" i="48"/>
  <c r="AR134" i="48"/>
  <c r="M92" i="21"/>
  <c r="N91" i="21"/>
  <c r="T91" i="21" s="1"/>
  <c r="AE75" i="21"/>
  <c r="AF75" i="21" s="1"/>
  <c r="Y76" i="21"/>
  <c r="AC76" i="21" s="1"/>
  <c r="AM32" i="21"/>
  <c r="AC77" i="12"/>
  <c r="Y78" i="12" s="1"/>
  <c r="AP33" i="12"/>
  <c r="AJ34" i="12"/>
  <c r="M89" i="12"/>
  <c r="N88" i="12"/>
  <c r="T88" i="12" s="1"/>
  <c r="AJ65" i="48" l="1"/>
  <c r="AK65" i="48" s="1"/>
  <c r="V65" i="48"/>
  <c r="AL65" i="48"/>
  <c r="AF66" i="48" s="1"/>
  <c r="Q65" i="48"/>
  <c r="T127" i="48"/>
  <c r="J129" i="48"/>
  <c r="L128" i="48"/>
  <c r="M128" i="48" s="1"/>
  <c r="K128" i="48" s="1"/>
  <c r="AB54" i="48"/>
  <c r="AE54" i="48"/>
  <c r="W55" i="48" s="1"/>
  <c r="AQ136" i="48"/>
  <c r="AR135" i="48"/>
  <c r="AO32" i="21"/>
  <c r="AN32" i="21"/>
  <c r="W91" i="21"/>
  <c r="M93" i="21"/>
  <c r="N92" i="21"/>
  <c r="T92" i="21" s="1"/>
  <c r="W92" i="21" s="1"/>
  <c r="AE76" i="21"/>
  <c r="AF76" i="21" s="1"/>
  <c r="Y77" i="21"/>
  <c r="AC77" i="21" s="1"/>
  <c r="AC78" i="12"/>
  <c r="Y79" i="12" s="1"/>
  <c r="AM34" i="12"/>
  <c r="M90" i="12"/>
  <c r="N89" i="12"/>
  <c r="T89" i="12" s="1"/>
  <c r="AG66" i="48" l="1"/>
  <c r="P66" i="48" s="1"/>
  <c r="T128" i="48"/>
  <c r="AC54" i="48"/>
  <c r="AD54" i="48" s="1"/>
  <c r="U54" i="48"/>
  <c r="L129" i="48"/>
  <c r="M129" i="48" s="1"/>
  <c r="K129" i="48" s="1"/>
  <c r="T14" i="50"/>
  <c r="J130" i="48"/>
  <c r="X55" i="48"/>
  <c r="N55" i="48" s="1"/>
  <c r="AQ137" i="48"/>
  <c r="AR136" i="48"/>
  <c r="AE77" i="21"/>
  <c r="AF77" i="21" s="1"/>
  <c r="Y78" i="21"/>
  <c r="AC78" i="21" s="1"/>
  <c r="M94" i="21"/>
  <c r="N93" i="21"/>
  <c r="T93" i="21" s="1"/>
  <c r="AP32" i="21"/>
  <c r="AQ32" i="21"/>
  <c r="AJ33" i="21" s="1"/>
  <c r="AC79" i="12"/>
  <c r="Y80" i="12" s="1"/>
  <c r="AO34" i="12"/>
  <c r="AQ34" i="12" s="1"/>
  <c r="AN34" i="12"/>
  <c r="N90" i="12"/>
  <c r="T90" i="12" s="1"/>
  <c r="M91" i="12"/>
  <c r="AH66" i="48" l="1"/>
  <c r="AL66" i="48" s="1"/>
  <c r="AF67" i="48" s="1"/>
  <c r="AG67" i="48" s="1"/>
  <c r="Q66" i="48"/>
  <c r="AI66" i="48"/>
  <c r="AP54" i="48"/>
  <c r="T129" i="48"/>
  <c r="J131" i="48"/>
  <c r="L130" i="48"/>
  <c r="M130" i="48" s="1"/>
  <c r="K130" i="48" s="1"/>
  <c r="AD76" i="45"/>
  <c r="AD73" i="45"/>
  <c r="AD65" i="45"/>
  <c r="AD78" i="45"/>
  <c r="AD105" i="45"/>
  <c r="AD33" i="45"/>
  <c r="AD28" i="45"/>
  <c r="AD97" i="45"/>
  <c r="AD46" i="45"/>
  <c r="AD93" i="45"/>
  <c r="AD34" i="45"/>
  <c r="AD60" i="45"/>
  <c r="AD36" i="45"/>
  <c r="AD85" i="45"/>
  <c r="AD82" i="45"/>
  <c r="AD68" i="45"/>
  <c r="AD92" i="45"/>
  <c r="AD115" i="45"/>
  <c r="AD72" i="45"/>
  <c r="AD110" i="45"/>
  <c r="AD99" i="45"/>
  <c r="AD100" i="45"/>
  <c r="AD51" i="45"/>
  <c r="AD81" i="45"/>
  <c r="AD98" i="45"/>
  <c r="AD39" i="45"/>
  <c r="AD48" i="45"/>
  <c r="AD109" i="45"/>
  <c r="AD64" i="45"/>
  <c r="AD75" i="45"/>
  <c r="AD58" i="45"/>
  <c r="AD19" i="45"/>
  <c r="AD53" i="45"/>
  <c r="AD30" i="45"/>
  <c r="AD62" i="45"/>
  <c r="AD50" i="45"/>
  <c r="AD71" i="45"/>
  <c r="AD57" i="45"/>
  <c r="AD52" i="45"/>
  <c r="AD63" i="45"/>
  <c r="AD43" i="45"/>
  <c r="AD95" i="45"/>
  <c r="AD23" i="45"/>
  <c r="AD74" i="45"/>
  <c r="AD38" i="45"/>
  <c r="AD84" i="45"/>
  <c r="AD54" i="45"/>
  <c r="AD77" i="45"/>
  <c r="AD114" i="45"/>
  <c r="AD90" i="45"/>
  <c r="AD108" i="45"/>
  <c r="AD20" i="45"/>
  <c r="AD103" i="45"/>
  <c r="AD86" i="45"/>
  <c r="AD21" i="45"/>
  <c r="AD29" i="45"/>
  <c r="AD59" i="45"/>
  <c r="AD112" i="45"/>
  <c r="AD87" i="45"/>
  <c r="AD89" i="45"/>
  <c r="AD18" i="45"/>
  <c r="AD101" i="45"/>
  <c r="AD41" i="45"/>
  <c r="AD44" i="45"/>
  <c r="AD104" i="45"/>
  <c r="AD80" i="45"/>
  <c r="AD94" i="45"/>
  <c r="AD70" i="45"/>
  <c r="AD45" i="45"/>
  <c r="AD55" i="45"/>
  <c r="AD27" i="45"/>
  <c r="AD106" i="45"/>
  <c r="AD40" i="45"/>
  <c r="AD42" i="45"/>
  <c r="AD56" i="45"/>
  <c r="AD111" i="45"/>
  <c r="AD61" i="45"/>
  <c r="AD88" i="45"/>
  <c r="AD83" i="45"/>
  <c r="AD116" i="45"/>
  <c r="AD107" i="45"/>
  <c r="AD22" i="45"/>
  <c r="AD96" i="45"/>
  <c r="AD25" i="45"/>
  <c r="AD32" i="45"/>
  <c r="AD17" i="45"/>
  <c r="AD49" i="45"/>
  <c r="AD79" i="45"/>
  <c r="AD66" i="45"/>
  <c r="AD31" i="45"/>
  <c r="AD37" i="45"/>
  <c r="AD69" i="45"/>
  <c r="AD91" i="45"/>
  <c r="AD47" i="45"/>
  <c r="AD26" i="45"/>
  <c r="AD24" i="45"/>
  <c r="AD35" i="45"/>
  <c r="AD113" i="45"/>
  <c r="AD67" i="45"/>
  <c r="AD102" i="45"/>
  <c r="Y55" i="48"/>
  <c r="O55" i="48" s="1"/>
  <c r="AN55" i="48"/>
  <c r="AO55" i="48"/>
  <c r="R55" i="48" s="1"/>
  <c r="AQ138" i="48"/>
  <c r="AR137" i="48"/>
  <c r="Y79" i="21"/>
  <c r="AC79" i="21" s="1"/>
  <c r="AE78" i="21"/>
  <c r="AF78" i="21" s="1"/>
  <c r="M95" i="21"/>
  <c r="N94" i="21"/>
  <c r="T94" i="21" s="1"/>
  <c r="W94" i="21" s="1"/>
  <c r="AM33" i="21"/>
  <c r="W93" i="21"/>
  <c r="AC80" i="12"/>
  <c r="Y81" i="12" s="1"/>
  <c r="AJ35" i="12"/>
  <c r="AP34" i="12"/>
  <c r="N91" i="12"/>
  <c r="T91" i="12" s="1"/>
  <c r="M92" i="12"/>
  <c r="P67" i="48" l="1"/>
  <c r="AH67" i="48"/>
  <c r="Q67" i="48" s="1"/>
  <c r="AJ66" i="48"/>
  <c r="AK66" i="48" s="1"/>
  <c r="V66" i="48"/>
  <c r="S54" i="48"/>
  <c r="T130" i="48"/>
  <c r="J132" i="48"/>
  <c r="L131" i="48"/>
  <c r="M131" i="48" s="1"/>
  <c r="K131" i="48" s="1"/>
  <c r="AB55" i="48"/>
  <c r="AE55" i="48"/>
  <c r="W56" i="48" s="1"/>
  <c r="AQ139" i="48"/>
  <c r="AR138" i="48"/>
  <c r="M96" i="21"/>
  <c r="N95" i="21"/>
  <c r="T95" i="21" s="1"/>
  <c r="W95" i="21" s="1"/>
  <c r="AO33" i="21"/>
  <c r="AN33" i="21"/>
  <c r="AE79" i="21"/>
  <c r="AF79" i="21" s="1"/>
  <c r="Y80" i="21"/>
  <c r="AC80" i="21" s="1"/>
  <c r="AC81" i="12"/>
  <c r="Y82" i="12" s="1"/>
  <c r="AM35" i="12"/>
  <c r="M93" i="12"/>
  <c r="N92" i="12"/>
  <c r="T92" i="12" s="1"/>
  <c r="AL67" i="48" l="1"/>
  <c r="AF68" i="48" s="1"/>
  <c r="AI67" i="48"/>
  <c r="AJ67" i="48"/>
  <c r="AK67" i="48" s="1"/>
  <c r="V67" i="48"/>
  <c r="AG68" i="48"/>
  <c r="P68" i="48" s="1"/>
  <c r="T131" i="48"/>
  <c r="AC55" i="48"/>
  <c r="AD55" i="48" s="1"/>
  <c r="U55" i="48"/>
  <c r="J133" i="48"/>
  <c r="L132" i="48"/>
  <c r="M132" i="48" s="1"/>
  <c r="K132" i="48" s="1"/>
  <c r="X56" i="48"/>
  <c r="N56" i="48" s="1"/>
  <c r="AQ140" i="48"/>
  <c r="AR139" i="48"/>
  <c r="AP33" i="21"/>
  <c r="AQ33" i="21"/>
  <c r="AJ34" i="21" s="1"/>
  <c r="Y81" i="21"/>
  <c r="AC81" i="21" s="1"/>
  <c r="AE80" i="21"/>
  <c r="AF80" i="21" s="1"/>
  <c r="M97" i="21"/>
  <c r="N96" i="21"/>
  <c r="T96" i="21" s="1"/>
  <c r="W96" i="21" s="1"/>
  <c r="AC82" i="12"/>
  <c r="Y83" i="12" s="1"/>
  <c r="AO35" i="12"/>
  <c r="AQ35" i="12" s="1"/>
  <c r="AN35" i="12"/>
  <c r="M94" i="12"/>
  <c r="N93" i="12"/>
  <c r="T93" i="12" s="1"/>
  <c r="AH68" i="48" l="1"/>
  <c r="AP55" i="48"/>
  <c r="T132" i="48"/>
  <c r="J134" i="48"/>
  <c r="L133" i="48"/>
  <c r="M133" i="48" s="1"/>
  <c r="K133" i="48" s="1"/>
  <c r="Y56" i="48"/>
  <c r="O56" i="48" s="1"/>
  <c r="AO56" i="48"/>
  <c r="R56" i="48" s="1"/>
  <c r="AN56" i="48"/>
  <c r="AQ141" i="48"/>
  <c r="AR140" i="48"/>
  <c r="AE81" i="21"/>
  <c r="AF81" i="21" s="1"/>
  <c r="Y82" i="21"/>
  <c r="AC82" i="21" s="1"/>
  <c r="AM34" i="21"/>
  <c r="M98" i="21"/>
  <c r="N97" i="21"/>
  <c r="T97" i="21" s="1"/>
  <c r="W97" i="21" s="1"/>
  <c r="AC83" i="12"/>
  <c r="Y84" i="12" s="1"/>
  <c r="AP35" i="12"/>
  <c r="AJ36" i="12"/>
  <c r="N94" i="12"/>
  <c r="T94" i="12" s="1"/>
  <c r="M95" i="12"/>
  <c r="Q68" i="48" l="1"/>
  <c r="AI68" i="48"/>
  <c r="AL68" i="48"/>
  <c r="AF69" i="48" s="1"/>
  <c r="S55" i="48"/>
  <c r="T133" i="48"/>
  <c r="J135" i="48"/>
  <c r="L134" i="48"/>
  <c r="M134" i="48" s="1"/>
  <c r="K134" i="48" s="1"/>
  <c r="AB56" i="48"/>
  <c r="AE56" i="48"/>
  <c r="W57" i="48" s="1"/>
  <c r="AQ142" i="48"/>
  <c r="AR141" i="48"/>
  <c r="AO34" i="21"/>
  <c r="AN34" i="21"/>
  <c r="Y83" i="21"/>
  <c r="AC83" i="21" s="1"/>
  <c r="AE82" i="21"/>
  <c r="AF82" i="21" s="1"/>
  <c r="M99" i="21"/>
  <c r="N98" i="21"/>
  <c r="T98" i="21" s="1"/>
  <c r="W98" i="21" s="1"/>
  <c r="AC84" i="12"/>
  <c r="Y85" i="12" s="1"/>
  <c r="AM36" i="12"/>
  <c r="N95" i="12"/>
  <c r="T95" i="12" s="1"/>
  <c r="M96" i="12"/>
  <c r="V68" i="48" l="1"/>
  <c r="AJ68" i="48"/>
  <c r="AK68" i="48" s="1"/>
  <c r="AG69" i="48"/>
  <c r="P69" i="48" s="1"/>
  <c r="AH69" i="48"/>
  <c r="T134" i="48"/>
  <c r="AC56" i="48"/>
  <c r="AD56" i="48" s="1"/>
  <c r="U56" i="48"/>
  <c r="J136" i="48"/>
  <c r="L135" i="48"/>
  <c r="M135" i="48" s="1"/>
  <c r="K135" i="48" s="1"/>
  <c r="X57" i="48"/>
  <c r="N57" i="48" s="1"/>
  <c r="AQ143" i="48"/>
  <c r="AR142" i="48"/>
  <c r="AE83" i="21"/>
  <c r="AF83" i="21" s="1"/>
  <c r="Y84" i="21"/>
  <c r="AC84" i="21" s="1"/>
  <c r="M100" i="21"/>
  <c r="N99" i="21"/>
  <c r="T99" i="21" s="1"/>
  <c r="AP34" i="21"/>
  <c r="AQ34" i="21"/>
  <c r="AJ35" i="21" s="1"/>
  <c r="AC85" i="12"/>
  <c r="Y86" i="12" s="1"/>
  <c r="AO36" i="12"/>
  <c r="AQ36" i="12" s="1"/>
  <c r="AN36" i="12"/>
  <c r="M97" i="12"/>
  <c r="N96" i="12"/>
  <c r="T96" i="12" s="1"/>
  <c r="AI69" i="48" l="1"/>
  <c r="Q69" i="48"/>
  <c r="AL69" i="48"/>
  <c r="AF70" i="48" s="1"/>
  <c r="AP56" i="48"/>
  <c r="T135" i="48"/>
  <c r="J137" i="48"/>
  <c r="L136" i="48"/>
  <c r="M136" i="48" s="1"/>
  <c r="K136" i="48" s="1"/>
  <c r="Y57" i="48"/>
  <c r="O57" i="48" s="1"/>
  <c r="AN57" i="48"/>
  <c r="AO57" i="48"/>
  <c r="R57" i="48" s="1"/>
  <c r="AQ144" i="48"/>
  <c r="AR143" i="48"/>
  <c r="AM35" i="21"/>
  <c r="M101" i="21"/>
  <c r="N100" i="21"/>
  <c r="T100" i="21" s="1"/>
  <c r="W100" i="21" s="1"/>
  <c r="Y85" i="21"/>
  <c r="AC85" i="21" s="1"/>
  <c r="AE84" i="21"/>
  <c r="AF84" i="21" s="1"/>
  <c r="W99" i="21"/>
  <c r="AC86" i="12"/>
  <c r="Y87" i="12" s="1"/>
  <c r="AJ37" i="12"/>
  <c r="AP36" i="12"/>
  <c r="M98" i="12"/>
  <c r="N97" i="12"/>
  <c r="T97" i="12" s="1"/>
  <c r="AG70" i="48" l="1"/>
  <c r="P70" i="48" s="1"/>
  <c r="AH70" i="48"/>
  <c r="V69" i="48"/>
  <c r="AJ69" i="48"/>
  <c r="AK69" i="48" s="1"/>
  <c r="S56" i="48"/>
  <c r="T136" i="48"/>
  <c r="L137" i="48"/>
  <c r="M137" i="48" s="1"/>
  <c r="K137" i="48" s="1"/>
  <c r="J138" i="48"/>
  <c r="M19" i="50"/>
  <c r="AB57" i="48"/>
  <c r="AE57" i="48"/>
  <c r="W58" i="48" s="1"/>
  <c r="AQ145" i="48"/>
  <c r="AR144" i="48"/>
  <c r="M102" i="21"/>
  <c r="N101" i="21"/>
  <c r="T101" i="21" s="1"/>
  <c r="AE85" i="21"/>
  <c r="AF85" i="21" s="1"/>
  <c r="Y86" i="21"/>
  <c r="AC86" i="21" s="1"/>
  <c r="AO35" i="21"/>
  <c r="AN35" i="21"/>
  <c r="AC87" i="12"/>
  <c r="Y88" i="12" s="1"/>
  <c r="AM37" i="12"/>
  <c r="N98" i="12"/>
  <c r="T98" i="12" s="1"/>
  <c r="M99" i="12"/>
  <c r="AL70" i="48" l="1"/>
  <c r="AF71" i="48" s="1"/>
  <c r="Q70" i="48"/>
  <c r="AI70" i="48"/>
  <c r="T137" i="48"/>
  <c r="AC57" i="48"/>
  <c r="AD57" i="48" s="1"/>
  <c r="U57" i="48"/>
  <c r="J139" i="48"/>
  <c r="L138" i="48"/>
  <c r="M138" i="48" s="1"/>
  <c r="K138" i="48" s="1"/>
  <c r="X58" i="48"/>
  <c r="N58" i="48" s="1"/>
  <c r="AQ146" i="48"/>
  <c r="AR145" i="48"/>
  <c r="Y87" i="21"/>
  <c r="AC87" i="21" s="1"/>
  <c r="AE86" i="21"/>
  <c r="AF86" i="21" s="1"/>
  <c r="W101" i="21"/>
  <c r="AQ35" i="21"/>
  <c r="AJ36" i="21" s="1"/>
  <c r="AP35" i="21"/>
  <c r="M103" i="21"/>
  <c r="N102" i="21"/>
  <c r="T102" i="21" s="1"/>
  <c r="W102" i="21" s="1"/>
  <c r="AC88" i="12"/>
  <c r="Y89" i="12" s="1"/>
  <c r="AO37" i="12"/>
  <c r="AQ37" i="12" s="1"/>
  <c r="AN37" i="12"/>
  <c r="N99" i="12"/>
  <c r="T99" i="12" s="1"/>
  <c r="M100" i="12"/>
  <c r="AJ70" i="48" l="1"/>
  <c r="AK70" i="48" s="1"/>
  <c r="V70" i="48"/>
  <c r="AG71" i="48"/>
  <c r="P71" i="48" s="1"/>
  <c r="AP57" i="48"/>
  <c r="S57" i="48" s="1"/>
  <c r="T138" i="48"/>
  <c r="J140" i="48"/>
  <c r="L139" i="48"/>
  <c r="M139" i="48" s="1"/>
  <c r="K139" i="48" s="1"/>
  <c r="Y58" i="48"/>
  <c r="O58" i="48" s="1"/>
  <c r="AO58" i="48"/>
  <c r="R58" i="48" s="1"/>
  <c r="AN58" i="48"/>
  <c r="AQ147" i="48"/>
  <c r="AR146" i="48"/>
  <c r="M104" i="21"/>
  <c r="N103" i="21"/>
  <c r="T103" i="21" s="1"/>
  <c r="AM36" i="21"/>
  <c r="AE87" i="21"/>
  <c r="AF87" i="21" s="1"/>
  <c r="Y88" i="21"/>
  <c r="AC88" i="21" s="1"/>
  <c r="AC89" i="12"/>
  <c r="Y90" i="12" s="1"/>
  <c r="AP37" i="12"/>
  <c r="AJ38" i="12"/>
  <c r="M101" i="12"/>
  <c r="N100" i="12"/>
  <c r="T100" i="12" s="1"/>
  <c r="AH71" i="48" l="1"/>
  <c r="T139" i="48"/>
  <c r="J141" i="48"/>
  <c r="L140" i="48"/>
  <c r="M140" i="48" s="1"/>
  <c r="K140" i="48" s="1"/>
  <c r="AB58" i="48"/>
  <c r="AE58" i="48"/>
  <c r="W59" i="48" s="1"/>
  <c r="AQ148" i="48"/>
  <c r="AR147" i="48"/>
  <c r="W103" i="21"/>
  <c r="Y89" i="21"/>
  <c r="AC89" i="21" s="1"/>
  <c r="AE88" i="21"/>
  <c r="AF88" i="21" s="1"/>
  <c r="AO36" i="21"/>
  <c r="AN36" i="21"/>
  <c r="M105" i="21"/>
  <c r="N104" i="21"/>
  <c r="T104" i="21" s="1"/>
  <c r="W104" i="21" s="1"/>
  <c r="AC90" i="12"/>
  <c r="Y91" i="12" s="1"/>
  <c r="AM38" i="12"/>
  <c r="M102" i="12"/>
  <c r="N101" i="12"/>
  <c r="T101" i="12" s="1"/>
  <c r="Q71" i="48" l="1"/>
  <c r="AI71" i="48"/>
  <c r="AL71" i="48"/>
  <c r="AF72" i="48" s="1"/>
  <c r="T140" i="48"/>
  <c r="AC58" i="48"/>
  <c r="AD58" i="48" s="1"/>
  <c r="U58" i="48"/>
  <c r="J142" i="48"/>
  <c r="L141" i="48"/>
  <c r="M141" i="48" s="1"/>
  <c r="K141" i="48" s="1"/>
  <c r="X59" i="48"/>
  <c r="N59" i="48" s="1"/>
  <c r="AQ149" i="48"/>
  <c r="AR148" i="48"/>
  <c r="AE89" i="21"/>
  <c r="AF89" i="21" s="1"/>
  <c r="Y90" i="21"/>
  <c r="AC90" i="21" s="1"/>
  <c r="M106" i="21"/>
  <c r="N105" i="21"/>
  <c r="T105" i="21" s="1"/>
  <c r="AQ36" i="21"/>
  <c r="AJ37" i="21" s="1"/>
  <c r="AP36" i="21"/>
  <c r="AC91" i="12"/>
  <c r="Y92" i="12" s="1"/>
  <c r="AO38" i="12"/>
  <c r="AQ38" i="12" s="1"/>
  <c r="AN38" i="12"/>
  <c r="N102" i="12"/>
  <c r="T102" i="12" s="1"/>
  <c r="M103" i="12"/>
  <c r="AG72" i="48" l="1"/>
  <c r="P72" i="48" s="1"/>
  <c r="AH72" i="48"/>
  <c r="Q72" i="48" s="1"/>
  <c r="AJ71" i="48"/>
  <c r="AK71" i="48" s="1"/>
  <c r="V71" i="48"/>
  <c r="AP58" i="48"/>
  <c r="S58" i="48" s="1"/>
  <c r="T141" i="48"/>
  <c r="J143" i="48"/>
  <c r="L142" i="48"/>
  <c r="M142" i="48" s="1"/>
  <c r="K142" i="48" s="1"/>
  <c r="Y59" i="48"/>
  <c r="O59" i="48" s="1"/>
  <c r="AN59" i="48"/>
  <c r="AO59" i="48"/>
  <c r="R59" i="48" s="1"/>
  <c r="AQ150" i="48"/>
  <c r="AR149" i="48"/>
  <c r="M107" i="21"/>
  <c r="N106" i="21"/>
  <c r="T106" i="21" s="1"/>
  <c r="W106" i="21" s="1"/>
  <c r="W105" i="21"/>
  <c r="AM37" i="21"/>
  <c r="Y91" i="21"/>
  <c r="AC91" i="21" s="1"/>
  <c r="AE90" i="21"/>
  <c r="AF90" i="21" s="1"/>
  <c r="AC92" i="12"/>
  <c r="Y93" i="12" s="1"/>
  <c r="AJ39" i="12"/>
  <c r="AP38" i="12"/>
  <c r="N103" i="12"/>
  <c r="T103" i="12" s="1"/>
  <c r="M104" i="12"/>
  <c r="AI72" i="48" l="1"/>
  <c r="AL72" i="48"/>
  <c r="AF73" i="48" s="1"/>
  <c r="AJ72" i="48"/>
  <c r="AK72" i="48" s="1"/>
  <c r="V72" i="48"/>
  <c r="T142" i="48"/>
  <c r="J144" i="48"/>
  <c r="L143" i="48"/>
  <c r="M143" i="48" s="1"/>
  <c r="K143" i="48" s="1"/>
  <c r="AB59" i="48"/>
  <c r="AE59" i="48"/>
  <c r="W60" i="48" s="1"/>
  <c r="AQ151" i="48"/>
  <c r="AR150" i="48"/>
  <c r="AE91" i="21"/>
  <c r="AF91" i="21" s="1"/>
  <c r="Y92" i="21"/>
  <c r="AC92" i="21" s="1"/>
  <c r="AO37" i="21"/>
  <c r="AN37" i="21"/>
  <c r="M108" i="21"/>
  <c r="N107" i="21"/>
  <c r="T107" i="21" s="1"/>
  <c r="W107" i="21" s="1"/>
  <c r="AC93" i="12"/>
  <c r="Y94" i="12" s="1"/>
  <c r="AM39" i="12"/>
  <c r="M105" i="12"/>
  <c r="N104" i="12"/>
  <c r="T104" i="12" s="1"/>
  <c r="AG73" i="48" l="1"/>
  <c r="P73" i="48" s="1"/>
  <c r="T143" i="48"/>
  <c r="AC59" i="48"/>
  <c r="AD59" i="48" s="1"/>
  <c r="U59" i="48"/>
  <c r="J145" i="48"/>
  <c r="L144" i="48"/>
  <c r="M144" i="48" s="1"/>
  <c r="K144" i="48" s="1"/>
  <c r="X60" i="48"/>
  <c r="N60" i="48" s="1"/>
  <c r="AQ152" i="48"/>
  <c r="AR151" i="48"/>
  <c r="AQ37" i="21"/>
  <c r="AJ38" i="21" s="1"/>
  <c r="AP37" i="21"/>
  <c r="Y93" i="21"/>
  <c r="AC93" i="21" s="1"/>
  <c r="AE92" i="21"/>
  <c r="AF92" i="21" s="1"/>
  <c r="M109" i="21"/>
  <c r="N108" i="21"/>
  <c r="T108" i="21" s="1"/>
  <c r="W108" i="21" s="1"/>
  <c r="AC94" i="12"/>
  <c r="Y95" i="12" s="1"/>
  <c r="AO39" i="12"/>
  <c r="AQ39" i="12" s="1"/>
  <c r="AN39" i="12"/>
  <c r="M106" i="12"/>
  <c r="N105" i="12"/>
  <c r="T105" i="12" s="1"/>
  <c r="AH73" i="48" l="1"/>
  <c r="AL73" i="48" s="1"/>
  <c r="AF74" i="48" s="1"/>
  <c r="AG74" i="48" s="1"/>
  <c r="P74" i="48" s="1"/>
  <c r="Q73" i="48"/>
  <c r="AI73" i="48"/>
  <c r="AP59" i="48"/>
  <c r="S59" i="48" s="1"/>
  <c r="T144" i="48"/>
  <c r="J146" i="48"/>
  <c r="L145" i="48"/>
  <c r="M145" i="48" s="1"/>
  <c r="K145" i="48" s="1"/>
  <c r="Y60" i="48"/>
  <c r="O60" i="48" s="1"/>
  <c r="AO60" i="48"/>
  <c r="R60" i="48" s="1"/>
  <c r="AN60" i="48"/>
  <c r="AQ153" i="48"/>
  <c r="AR152" i="48"/>
  <c r="AE93" i="21"/>
  <c r="AF93" i="21" s="1"/>
  <c r="Y94" i="21"/>
  <c r="AC94" i="21" s="1"/>
  <c r="M110" i="21"/>
  <c r="N109" i="21"/>
  <c r="T109" i="21" s="1"/>
  <c r="W109" i="21" s="1"/>
  <c r="AM38" i="21"/>
  <c r="AC95" i="12"/>
  <c r="Y96" i="12" s="1"/>
  <c r="AP39" i="12"/>
  <c r="AJ40" i="12"/>
  <c r="M107" i="12"/>
  <c r="N106" i="12"/>
  <c r="T106" i="12" s="1"/>
  <c r="AH74" i="48" l="1"/>
  <c r="AJ73" i="48"/>
  <c r="AK73" i="48" s="1"/>
  <c r="V73" i="48"/>
  <c r="AI74" i="48"/>
  <c r="T145" i="48"/>
  <c r="J147" i="48"/>
  <c r="L146" i="48"/>
  <c r="M146" i="48" s="1"/>
  <c r="K146" i="48" s="1"/>
  <c r="AB60" i="48"/>
  <c r="AE60" i="48"/>
  <c r="W61" i="48" s="1"/>
  <c r="AQ154" i="48"/>
  <c r="AR153" i="48"/>
  <c r="AO38" i="21"/>
  <c r="AN38" i="21"/>
  <c r="M111" i="21"/>
  <c r="N110" i="21"/>
  <c r="T110" i="21" s="1"/>
  <c r="W110" i="21" s="1"/>
  <c r="Y95" i="21"/>
  <c r="AC95" i="21" s="1"/>
  <c r="AE94" i="21"/>
  <c r="AF94" i="21" s="1"/>
  <c r="AC96" i="12"/>
  <c r="Y97" i="12" s="1"/>
  <c r="AM40" i="12"/>
  <c r="N107" i="12"/>
  <c r="T107" i="12" s="1"/>
  <c r="M108" i="12"/>
  <c r="AJ74" i="48" l="1"/>
  <c r="AK74" i="48" s="1"/>
  <c r="V74" i="48"/>
  <c r="Q74" i="48"/>
  <c r="AL74" i="48"/>
  <c r="AF75" i="48" s="1"/>
  <c r="T146" i="48"/>
  <c r="AC60" i="48"/>
  <c r="AD60" i="48" s="1"/>
  <c r="U60" i="48"/>
  <c r="L147" i="48"/>
  <c r="M147" i="48" s="1"/>
  <c r="K147" i="48" s="1"/>
  <c r="M20" i="50"/>
  <c r="J148" i="48"/>
  <c r="X61" i="48"/>
  <c r="N61" i="48" s="1"/>
  <c r="AQ155" i="48"/>
  <c r="AR154" i="48"/>
  <c r="M112" i="21"/>
  <c r="N111" i="21"/>
  <c r="T111" i="21" s="1"/>
  <c r="AE95" i="21"/>
  <c r="AF95" i="21" s="1"/>
  <c r="Y96" i="21"/>
  <c r="AC96" i="21" s="1"/>
  <c r="AP38" i="21"/>
  <c r="AQ38" i="21"/>
  <c r="AJ39" i="21" s="1"/>
  <c r="AC97" i="12"/>
  <c r="Y98" i="12" s="1"/>
  <c r="AO40" i="12"/>
  <c r="AQ40" i="12" s="1"/>
  <c r="AN40" i="12"/>
  <c r="M109" i="12"/>
  <c r="N108" i="12"/>
  <c r="T108" i="12" s="1"/>
  <c r="AG75" i="48" l="1"/>
  <c r="P75" i="48" s="1"/>
  <c r="AP60" i="48"/>
  <c r="S60" i="48" s="1"/>
  <c r="T147" i="48"/>
  <c r="J149" i="48"/>
  <c r="L148" i="48"/>
  <c r="M148" i="48" s="1"/>
  <c r="K148" i="48" s="1"/>
  <c r="Y61" i="48"/>
  <c r="O61" i="48" s="1"/>
  <c r="AN61" i="48"/>
  <c r="AO61" i="48"/>
  <c r="R61" i="48" s="1"/>
  <c r="AQ156" i="48"/>
  <c r="AR155" i="48"/>
  <c r="W111" i="21"/>
  <c r="AM39" i="21"/>
  <c r="Y97" i="21"/>
  <c r="AC97" i="21" s="1"/>
  <c r="AE96" i="21"/>
  <c r="AF96" i="21" s="1"/>
  <c r="M113" i="21"/>
  <c r="N112" i="21"/>
  <c r="T112" i="21" s="1"/>
  <c r="W112" i="21" s="1"/>
  <c r="AC98" i="12"/>
  <c r="Y99" i="12" s="1"/>
  <c r="AJ41" i="12"/>
  <c r="AP40" i="12"/>
  <c r="M110" i="12"/>
  <c r="N109" i="12"/>
  <c r="T109" i="12" s="1"/>
  <c r="AH75" i="48" l="1"/>
  <c r="AL75" i="48" s="1"/>
  <c r="AF76" i="48" s="1"/>
  <c r="AG76" i="48" s="1"/>
  <c r="Q75" i="48"/>
  <c r="T148" i="48"/>
  <c r="J150" i="48"/>
  <c r="L149" i="48"/>
  <c r="M149" i="48" s="1"/>
  <c r="K149" i="48" s="1"/>
  <c r="AB61" i="48"/>
  <c r="AE61" i="48"/>
  <c r="W62" i="48" s="1"/>
  <c r="AQ157" i="48"/>
  <c r="AR156" i="48"/>
  <c r="AE97" i="21"/>
  <c r="AF97" i="21" s="1"/>
  <c r="Y98" i="21"/>
  <c r="AC98" i="21" s="1"/>
  <c r="M114" i="21"/>
  <c r="N113" i="21"/>
  <c r="T113" i="21" s="1"/>
  <c r="AO39" i="21"/>
  <c r="AN39" i="21"/>
  <c r="AC99" i="12"/>
  <c r="Y100" i="12" s="1"/>
  <c r="AM41" i="12"/>
  <c r="N110" i="12"/>
  <c r="T110" i="12" s="1"/>
  <c r="M111" i="12"/>
  <c r="P76" i="48" l="1"/>
  <c r="AH76" i="48"/>
  <c r="AI75" i="48"/>
  <c r="AJ75" i="48" s="1"/>
  <c r="AK75" i="48" s="1"/>
  <c r="AI76" i="48"/>
  <c r="T149" i="48"/>
  <c r="AC61" i="48"/>
  <c r="AD61" i="48" s="1"/>
  <c r="U61" i="48"/>
  <c r="J151" i="48"/>
  <c r="L150" i="48"/>
  <c r="M150" i="48" s="1"/>
  <c r="K150" i="48" s="1"/>
  <c r="X62" i="48"/>
  <c r="N62" i="48" s="1"/>
  <c r="AQ158" i="48"/>
  <c r="AR157" i="48"/>
  <c r="W113" i="21"/>
  <c r="M115" i="21"/>
  <c r="N114" i="21"/>
  <c r="T114" i="21" s="1"/>
  <c r="W114" i="21" s="1"/>
  <c r="Y99" i="21"/>
  <c r="AC99" i="21" s="1"/>
  <c r="AE98" i="21"/>
  <c r="AF98" i="21" s="1"/>
  <c r="AP39" i="21"/>
  <c r="AQ39" i="21"/>
  <c r="AJ40" i="21" s="1"/>
  <c r="AC100" i="12"/>
  <c r="Y101" i="12" s="1"/>
  <c r="AO41" i="12"/>
  <c r="AQ41" i="12" s="1"/>
  <c r="AN41" i="12"/>
  <c r="M112" i="12"/>
  <c r="N111" i="12"/>
  <c r="T111" i="12" s="1"/>
  <c r="V75" i="48" l="1"/>
  <c r="Q76" i="48"/>
  <c r="AL76" i="48"/>
  <c r="AF77" i="48" s="1"/>
  <c r="AG77" i="48" s="1"/>
  <c r="P77" i="48" s="1"/>
  <c r="V76" i="48"/>
  <c r="AJ76" i="48"/>
  <c r="AK76" i="48" s="1"/>
  <c r="AP61" i="48"/>
  <c r="T150" i="48"/>
  <c r="J152" i="48"/>
  <c r="L151" i="48"/>
  <c r="M151" i="48" s="1"/>
  <c r="K151" i="48" s="1"/>
  <c r="Y62" i="48"/>
  <c r="O62" i="48" s="1"/>
  <c r="AO62" i="48"/>
  <c r="R62" i="48" s="1"/>
  <c r="AN62" i="48"/>
  <c r="AQ159" i="48"/>
  <c r="AR158" i="48"/>
  <c r="M116" i="21"/>
  <c r="N115" i="21"/>
  <c r="T115" i="21" s="1"/>
  <c r="AE99" i="21"/>
  <c r="AF99" i="21" s="1"/>
  <c r="Y100" i="21"/>
  <c r="AC100" i="21" s="1"/>
  <c r="AM40" i="21"/>
  <c r="AC101" i="12"/>
  <c r="Y102" i="12" s="1"/>
  <c r="AP41" i="12"/>
  <c r="AJ42" i="12"/>
  <c r="M113" i="12"/>
  <c r="N112" i="12"/>
  <c r="T112" i="12" s="1"/>
  <c r="AH77" i="48" l="1"/>
  <c r="AI77" i="48" s="1"/>
  <c r="V77" i="48" s="1"/>
  <c r="Q77" i="48"/>
  <c r="S61" i="48"/>
  <c r="T151" i="48"/>
  <c r="J153" i="48"/>
  <c r="L152" i="48"/>
  <c r="M152" i="48" s="1"/>
  <c r="K152" i="48" s="1"/>
  <c r="AB62" i="48"/>
  <c r="AE62" i="48"/>
  <c r="W63" i="48" s="1"/>
  <c r="AQ160" i="48"/>
  <c r="AR159" i="48"/>
  <c r="AO40" i="21"/>
  <c r="AN40" i="21"/>
  <c r="W115" i="21"/>
  <c r="Y101" i="21"/>
  <c r="AC101" i="21" s="1"/>
  <c r="AE100" i="21"/>
  <c r="AF100" i="21" s="1"/>
  <c r="M117" i="21"/>
  <c r="N116" i="21"/>
  <c r="T116" i="21" s="1"/>
  <c r="W116" i="21" s="1"/>
  <c r="AC102" i="12"/>
  <c r="Y103" i="12" s="1"/>
  <c r="AM42" i="12"/>
  <c r="N113" i="12"/>
  <c r="T113" i="12" s="1"/>
  <c r="M114" i="12"/>
  <c r="AL77" i="48" l="1"/>
  <c r="AF78" i="48" s="1"/>
  <c r="AG78" i="48" s="1"/>
  <c r="P78" i="48" s="1"/>
  <c r="AJ77" i="48"/>
  <c r="AK77" i="48" s="1"/>
  <c r="T152" i="48"/>
  <c r="AC62" i="48"/>
  <c r="AD62" i="48" s="1"/>
  <c r="U62" i="48"/>
  <c r="J154" i="48"/>
  <c r="L153" i="48"/>
  <c r="M153" i="48" s="1"/>
  <c r="K153" i="48" s="1"/>
  <c r="X63" i="48"/>
  <c r="N63" i="48" s="1"/>
  <c r="AQ161" i="48"/>
  <c r="AR160" i="48"/>
  <c r="M118" i="21"/>
  <c r="N117" i="21"/>
  <c r="T117" i="21" s="1"/>
  <c r="AE101" i="21"/>
  <c r="AF101" i="21" s="1"/>
  <c r="Y102" i="21"/>
  <c r="AC102" i="21" s="1"/>
  <c r="AQ40" i="21"/>
  <c r="AJ41" i="21" s="1"/>
  <c r="AP40" i="21"/>
  <c r="AC103" i="12"/>
  <c r="Y104" i="12" s="1"/>
  <c r="AO42" i="12"/>
  <c r="AQ42" i="12" s="1"/>
  <c r="AN42" i="12"/>
  <c r="N114" i="12"/>
  <c r="T114" i="12" s="1"/>
  <c r="M115" i="12"/>
  <c r="AH78" i="48" l="1"/>
  <c r="AP62" i="48"/>
  <c r="S62" i="48" s="1"/>
  <c r="T153" i="48"/>
  <c r="J155" i="48"/>
  <c r="L154" i="48"/>
  <c r="M154" i="48" s="1"/>
  <c r="K154" i="48" s="1"/>
  <c r="Y63" i="48"/>
  <c r="O63" i="48" s="1"/>
  <c r="AN63" i="48"/>
  <c r="AO63" i="48"/>
  <c r="R63" i="48" s="1"/>
  <c r="AQ162" i="48"/>
  <c r="AR161" i="48"/>
  <c r="W117" i="21"/>
  <c r="AM41" i="21"/>
  <c r="Y103" i="21"/>
  <c r="AC103" i="21" s="1"/>
  <c r="AE102" i="21"/>
  <c r="AF102" i="21" s="1"/>
  <c r="M119" i="21"/>
  <c r="N118" i="21"/>
  <c r="T118" i="21" s="1"/>
  <c r="W118" i="21" s="1"/>
  <c r="AC104" i="12"/>
  <c r="Y105" i="12" s="1"/>
  <c r="AJ43" i="12"/>
  <c r="AP42" i="12"/>
  <c r="N115" i="12"/>
  <c r="T115" i="12" s="1"/>
  <c r="M116" i="12"/>
  <c r="AI78" i="48" l="1"/>
  <c r="Q78" i="48"/>
  <c r="AL78" i="48"/>
  <c r="AF79" i="48" s="1"/>
  <c r="T154" i="48"/>
  <c r="J156" i="48"/>
  <c r="L155" i="48"/>
  <c r="M155" i="48" s="1"/>
  <c r="K155" i="48" s="1"/>
  <c r="AB63" i="48"/>
  <c r="AE63" i="48"/>
  <c r="W64" i="48" s="1"/>
  <c r="AQ163" i="48"/>
  <c r="AR162" i="48"/>
  <c r="M120" i="21"/>
  <c r="N119" i="21"/>
  <c r="T119" i="21" s="1"/>
  <c r="W119" i="21" s="1"/>
  <c r="AE103" i="21"/>
  <c r="AF103" i="21" s="1"/>
  <c r="Y104" i="21"/>
  <c r="AC104" i="21" s="1"/>
  <c r="AO41" i="21"/>
  <c r="AN41" i="21"/>
  <c r="AC105" i="12"/>
  <c r="Y106" i="12" s="1"/>
  <c r="AM43" i="12"/>
  <c r="M117" i="12"/>
  <c r="N116" i="12"/>
  <c r="T116" i="12" s="1"/>
  <c r="AG79" i="48" l="1"/>
  <c r="P79" i="48" s="1"/>
  <c r="AH79" i="48"/>
  <c r="Q79" i="48" s="1"/>
  <c r="AJ78" i="48"/>
  <c r="AK78" i="48" s="1"/>
  <c r="V78" i="48"/>
  <c r="T155" i="48"/>
  <c r="AC63" i="48"/>
  <c r="AD63" i="48" s="1"/>
  <c r="U63" i="48"/>
  <c r="J157" i="48"/>
  <c r="L156" i="48"/>
  <c r="M156" i="48" s="1"/>
  <c r="K156" i="48" s="1"/>
  <c r="X64" i="48"/>
  <c r="N64" i="48" s="1"/>
  <c r="AQ164" i="48"/>
  <c r="AR163" i="48"/>
  <c r="Y105" i="21"/>
  <c r="AC105" i="21" s="1"/>
  <c r="AE104" i="21"/>
  <c r="AF104" i="21" s="1"/>
  <c r="AP41" i="21"/>
  <c r="AQ41" i="21"/>
  <c r="AJ42" i="21" s="1"/>
  <c r="M121" i="21"/>
  <c r="N120" i="21"/>
  <c r="T120" i="21" s="1"/>
  <c r="W120" i="21" s="1"/>
  <c r="AC106" i="12"/>
  <c r="Y107" i="12" s="1"/>
  <c r="AO43" i="12"/>
  <c r="AQ43" i="12" s="1"/>
  <c r="AN43" i="12"/>
  <c r="N117" i="12"/>
  <c r="T117" i="12" s="1"/>
  <c r="M118" i="12"/>
  <c r="AI79" i="48" l="1"/>
  <c r="AL79" i="48"/>
  <c r="AF80" i="48" s="1"/>
  <c r="AJ79" i="48"/>
  <c r="AK79" i="48" s="1"/>
  <c r="V79" i="48"/>
  <c r="AP63" i="48"/>
  <c r="S63" i="48" s="1"/>
  <c r="T156" i="48"/>
  <c r="L157" i="48"/>
  <c r="M157" i="48" s="1"/>
  <c r="K157" i="48" s="1"/>
  <c r="M21" i="50"/>
  <c r="J158" i="48"/>
  <c r="Y64" i="48"/>
  <c r="O64" i="48" s="1"/>
  <c r="AO64" i="48"/>
  <c r="R64" i="48" s="1"/>
  <c r="AN64" i="48"/>
  <c r="AQ165" i="48"/>
  <c r="AR164" i="48"/>
  <c r="M122" i="21"/>
  <c r="N121" i="21"/>
  <c r="T121" i="21" s="1"/>
  <c r="W121" i="21" s="1"/>
  <c r="AM42" i="21"/>
  <c r="AE105" i="21"/>
  <c r="AF105" i="21" s="1"/>
  <c r="Y106" i="21"/>
  <c r="AC106" i="21" s="1"/>
  <c r="AC107" i="12"/>
  <c r="Y108" i="12" s="1"/>
  <c r="AP43" i="12"/>
  <c r="AJ44" i="12"/>
  <c r="N118" i="12"/>
  <c r="T118" i="12" s="1"/>
  <c r="M119" i="12"/>
  <c r="AG80" i="48" l="1"/>
  <c r="P80" i="48" s="1"/>
  <c r="T157" i="48"/>
  <c r="J159" i="48"/>
  <c r="L158" i="48"/>
  <c r="M158" i="48" s="1"/>
  <c r="K158" i="48" s="1"/>
  <c r="AB64" i="48"/>
  <c r="AE64" i="48"/>
  <c r="W65" i="48" s="1"/>
  <c r="AQ166" i="48"/>
  <c r="AR165" i="48"/>
  <c r="AO42" i="21"/>
  <c r="AN42" i="21"/>
  <c r="M123" i="21"/>
  <c r="N122" i="21"/>
  <c r="T122" i="21" s="1"/>
  <c r="W122" i="21" s="1"/>
  <c r="Y107" i="21"/>
  <c r="AC107" i="21" s="1"/>
  <c r="AE106" i="21"/>
  <c r="AF106" i="21" s="1"/>
  <c r="AC108" i="12"/>
  <c r="Y109" i="12" s="1"/>
  <c r="AM44" i="12"/>
  <c r="N119" i="12"/>
  <c r="T119" i="12" s="1"/>
  <c r="M120" i="12"/>
  <c r="AH80" i="48" l="1"/>
  <c r="AL80" i="48" s="1"/>
  <c r="AF81" i="48" s="1"/>
  <c r="AG81" i="48" s="1"/>
  <c r="P81" i="48" s="1"/>
  <c r="Q80" i="48"/>
  <c r="T158" i="48"/>
  <c r="AC64" i="48"/>
  <c r="AD64" i="48" s="1"/>
  <c r="U64" i="48"/>
  <c r="J160" i="48"/>
  <c r="L159" i="48"/>
  <c r="M159" i="48" s="1"/>
  <c r="K159" i="48" s="1"/>
  <c r="X65" i="48"/>
  <c r="N65" i="48" s="1"/>
  <c r="AQ167" i="48"/>
  <c r="AR166" i="48"/>
  <c r="M124" i="21"/>
  <c r="N123" i="21"/>
  <c r="T123" i="21" s="1"/>
  <c r="AE107" i="21"/>
  <c r="AF107" i="21" s="1"/>
  <c r="Y108" i="21"/>
  <c r="AC108" i="21" s="1"/>
  <c r="AP42" i="21"/>
  <c r="AQ42" i="21"/>
  <c r="AJ43" i="21" s="1"/>
  <c r="AC109" i="12"/>
  <c r="Y110" i="12" s="1"/>
  <c r="AO44" i="12"/>
  <c r="AQ44" i="12" s="1"/>
  <c r="AN44" i="12"/>
  <c r="M121" i="12"/>
  <c r="N120" i="12"/>
  <c r="T120" i="12" s="1"/>
  <c r="AI80" i="48" l="1"/>
  <c r="AH81" i="48"/>
  <c r="AI81" i="48" s="1"/>
  <c r="AJ80" i="48"/>
  <c r="AK80" i="48" s="1"/>
  <c r="V80" i="48"/>
  <c r="AP64" i="48"/>
  <c r="T159" i="48"/>
  <c r="J161" i="48"/>
  <c r="L160" i="48"/>
  <c r="M160" i="48" s="1"/>
  <c r="K160" i="48" s="1"/>
  <c r="Y65" i="48"/>
  <c r="O65" i="48" s="1"/>
  <c r="AN65" i="48"/>
  <c r="AO65" i="48"/>
  <c r="R65" i="48" s="1"/>
  <c r="AQ168" i="48"/>
  <c r="AR167" i="48"/>
  <c r="AM43" i="21"/>
  <c r="W123" i="21"/>
  <c r="Y109" i="21"/>
  <c r="AC109" i="21" s="1"/>
  <c r="AE108" i="21"/>
  <c r="AF108" i="21" s="1"/>
  <c r="M125" i="21"/>
  <c r="N124" i="21"/>
  <c r="T124" i="21" s="1"/>
  <c r="W124" i="21" s="1"/>
  <c r="AC110" i="12"/>
  <c r="Y111" i="12" s="1"/>
  <c r="AP44" i="12"/>
  <c r="AJ45" i="12"/>
  <c r="M122" i="12"/>
  <c r="N121" i="12"/>
  <c r="T121" i="12" s="1"/>
  <c r="AJ81" i="48" l="1"/>
  <c r="AK81" i="48" s="1"/>
  <c r="V81" i="48"/>
  <c r="Q81" i="48"/>
  <c r="AL81" i="48"/>
  <c r="AF82" i="48" s="1"/>
  <c r="S64" i="48"/>
  <c r="T160" i="48"/>
  <c r="J162" i="48"/>
  <c r="L161" i="48"/>
  <c r="M161" i="48" s="1"/>
  <c r="K161" i="48" s="1"/>
  <c r="AB65" i="48"/>
  <c r="AE65" i="48"/>
  <c r="W66" i="48" s="1"/>
  <c r="AQ169" i="48"/>
  <c r="AR168" i="48"/>
  <c r="M126" i="21"/>
  <c r="N125" i="21"/>
  <c r="T125" i="21" s="1"/>
  <c r="AE109" i="21"/>
  <c r="AF109" i="21" s="1"/>
  <c r="Y110" i="21"/>
  <c r="AC110" i="21" s="1"/>
  <c r="AO43" i="21"/>
  <c r="AN43" i="21"/>
  <c r="AC111" i="12"/>
  <c r="Y112" i="12" s="1"/>
  <c r="AM45" i="12"/>
  <c r="N122" i="12"/>
  <c r="T122" i="12" s="1"/>
  <c r="M123" i="12"/>
  <c r="AG82" i="48" l="1"/>
  <c r="P82" i="48" s="1"/>
  <c r="T161" i="48"/>
  <c r="AC65" i="48"/>
  <c r="AD65" i="48" s="1"/>
  <c r="U65" i="48"/>
  <c r="J163" i="48"/>
  <c r="L162" i="48"/>
  <c r="M162" i="48" s="1"/>
  <c r="K162" i="48" s="1"/>
  <c r="X66" i="48"/>
  <c r="N66" i="48" s="1"/>
  <c r="AQ170" i="48"/>
  <c r="AR169" i="48"/>
  <c r="Y111" i="21"/>
  <c r="AC111" i="21" s="1"/>
  <c r="AE110" i="21"/>
  <c r="AF110" i="21" s="1"/>
  <c r="W125" i="21"/>
  <c r="AQ43" i="21"/>
  <c r="AJ44" i="21" s="1"/>
  <c r="AP43" i="21"/>
  <c r="M127" i="21"/>
  <c r="N126" i="21"/>
  <c r="T126" i="21" s="1"/>
  <c r="W126" i="21" s="1"/>
  <c r="AC112" i="12"/>
  <c r="Y113" i="12" s="1"/>
  <c r="AO45" i="12"/>
  <c r="AQ45" i="12" s="1"/>
  <c r="AN45" i="12"/>
  <c r="M124" i="12"/>
  <c r="N123" i="12"/>
  <c r="T123" i="12" s="1"/>
  <c r="AH82" i="48" l="1"/>
  <c r="AP65" i="48"/>
  <c r="T162" i="48"/>
  <c r="J164" i="48"/>
  <c r="L163" i="48"/>
  <c r="M163" i="48" s="1"/>
  <c r="K163" i="48" s="1"/>
  <c r="Y66" i="48"/>
  <c r="O66" i="48" s="1"/>
  <c r="AO66" i="48"/>
  <c r="R66" i="48" s="1"/>
  <c r="AN66" i="48"/>
  <c r="AQ171" i="48"/>
  <c r="AR170" i="48"/>
  <c r="M128" i="21"/>
  <c r="N127" i="21"/>
  <c r="T127" i="21" s="1"/>
  <c r="AM44" i="21"/>
  <c r="AE111" i="21"/>
  <c r="AF111" i="21" s="1"/>
  <c r="Y112" i="21"/>
  <c r="AC112" i="21" s="1"/>
  <c r="AC113" i="12"/>
  <c r="Y114" i="12" s="1"/>
  <c r="AJ46" i="12"/>
  <c r="AP45" i="12"/>
  <c r="N124" i="12"/>
  <c r="T124" i="12" s="1"/>
  <c r="M125" i="12"/>
  <c r="Q82" i="48" l="1"/>
  <c r="AI82" i="48"/>
  <c r="AL82" i="48"/>
  <c r="AF83" i="48" s="1"/>
  <c r="S65" i="48"/>
  <c r="T163" i="48"/>
  <c r="J165" i="48"/>
  <c r="L164" i="48"/>
  <c r="M164" i="48" s="1"/>
  <c r="K164" i="48" s="1"/>
  <c r="AB66" i="48"/>
  <c r="AE66" i="48"/>
  <c r="W67" i="48" s="1"/>
  <c r="AQ172" i="48"/>
  <c r="AR171" i="48"/>
  <c r="Y113" i="21"/>
  <c r="AC113" i="21" s="1"/>
  <c r="AE112" i="21"/>
  <c r="AF112" i="21" s="1"/>
  <c r="W127" i="21"/>
  <c r="AO44" i="21"/>
  <c r="AN44" i="21"/>
  <c r="M129" i="21"/>
  <c r="N128" i="21"/>
  <c r="T128" i="21" s="1"/>
  <c r="W128" i="21" s="1"/>
  <c r="AC114" i="12"/>
  <c r="Y115" i="12" s="1"/>
  <c r="AM46" i="12"/>
  <c r="N125" i="12"/>
  <c r="T125" i="12" s="1"/>
  <c r="M126" i="12"/>
  <c r="AG83" i="48" l="1"/>
  <c r="P83" i="48" s="1"/>
  <c r="AJ82" i="48"/>
  <c r="AK82" i="48" s="1"/>
  <c r="V82" i="48"/>
  <c r="T164" i="48"/>
  <c r="AC66" i="48"/>
  <c r="AD66" i="48" s="1"/>
  <c r="U66" i="48"/>
  <c r="J166" i="48"/>
  <c r="L165" i="48"/>
  <c r="M165" i="48" s="1"/>
  <c r="K165" i="48" s="1"/>
  <c r="X67" i="48"/>
  <c r="N67" i="48" s="1"/>
  <c r="AQ173" i="48"/>
  <c r="AR172" i="48"/>
  <c r="M130" i="21"/>
  <c r="N129" i="21"/>
  <c r="T129" i="21" s="1"/>
  <c r="AQ44" i="21"/>
  <c r="AJ45" i="21" s="1"/>
  <c r="AP44" i="21"/>
  <c r="AE113" i="21"/>
  <c r="AF113" i="21" s="1"/>
  <c r="Y114" i="21"/>
  <c r="AC114" i="21" s="1"/>
  <c r="AC115" i="12"/>
  <c r="Y116" i="12" s="1"/>
  <c r="AO46" i="12"/>
  <c r="AQ46" i="12" s="1"/>
  <c r="AN46" i="12"/>
  <c r="N126" i="12"/>
  <c r="T126" i="12" s="1"/>
  <c r="M127" i="12"/>
  <c r="AH83" i="48" l="1"/>
  <c r="Q83" i="48" s="1"/>
  <c r="AP66" i="48"/>
  <c r="S66" i="48" s="1"/>
  <c r="T165" i="48"/>
  <c r="J167" i="48"/>
  <c r="L166" i="48"/>
  <c r="M166" i="48" s="1"/>
  <c r="K166" i="48" s="1"/>
  <c r="Y67" i="48"/>
  <c r="O67" i="48" s="1"/>
  <c r="AN67" i="48"/>
  <c r="AO67" i="48"/>
  <c r="R67" i="48" s="1"/>
  <c r="AQ174" i="48"/>
  <c r="AR173" i="48"/>
  <c r="Y115" i="21"/>
  <c r="AC115" i="21" s="1"/>
  <c r="AE114" i="21"/>
  <c r="AF114" i="21" s="1"/>
  <c r="AM45" i="21"/>
  <c r="W129" i="21"/>
  <c r="N130" i="21"/>
  <c r="T130" i="21" s="1"/>
  <c r="W130" i="21" s="1"/>
  <c r="M131" i="21"/>
  <c r="AC116" i="12"/>
  <c r="Y117" i="12" s="1"/>
  <c r="AJ47" i="12"/>
  <c r="AP46" i="12"/>
  <c r="M128" i="12"/>
  <c r="N127" i="12"/>
  <c r="T127" i="12" s="1"/>
  <c r="AL83" i="48" l="1"/>
  <c r="AF84" i="48" s="1"/>
  <c r="AG84" i="48" s="1"/>
  <c r="P84" i="48" s="1"/>
  <c r="AI83" i="48"/>
  <c r="T166" i="48"/>
  <c r="L167" i="48"/>
  <c r="M167" i="48" s="1"/>
  <c r="K167" i="48" s="1"/>
  <c r="J168" i="48"/>
  <c r="M22" i="50"/>
  <c r="AB67" i="48"/>
  <c r="AE67" i="48"/>
  <c r="W68" i="48" s="1"/>
  <c r="AQ175" i="48"/>
  <c r="AR174" i="48"/>
  <c r="N131" i="21"/>
  <c r="T131" i="21" s="1"/>
  <c r="W131" i="21" s="1"/>
  <c r="M132" i="21"/>
  <c r="AO45" i="21"/>
  <c r="AN45" i="21"/>
  <c r="AE115" i="21"/>
  <c r="AF115" i="21" s="1"/>
  <c r="Y116" i="21"/>
  <c r="AC116" i="21" s="1"/>
  <c r="AC117" i="12"/>
  <c r="Y118" i="12" s="1"/>
  <c r="AM47" i="12"/>
  <c r="M129" i="12"/>
  <c r="N128" i="12"/>
  <c r="T128" i="12" s="1"/>
  <c r="V83" i="48" l="1"/>
  <c r="AJ83" i="48"/>
  <c r="AK83" i="48" s="1"/>
  <c r="AH84" i="48"/>
  <c r="T167" i="48"/>
  <c r="AC67" i="48"/>
  <c r="AD67" i="48" s="1"/>
  <c r="U67" i="48"/>
  <c r="J169" i="48"/>
  <c r="L168" i="48"/>
  <c r="M168" i="48" s="1"/>
  <c r="K168" i="48" s="1"/>
  <c r="X68" i="48"/>
  <c r="N68" i="48" s="1"/>
  <c r="AQ176" i="48"/>
  <c r="AR175" i="48"/>
  <c r="AP45" i="21"/>
  <c r="AQ45" i="21"/>
  <c r="AJ46" i="21" s="1"/>
  <c r="Y117" i="21"/>
  <c r="AC117" i="21" s="1"/>
  <c r="AE116" i="21"/>
  <c r="AF116" i="21" s="1"/>
  <c r="M133" i="21"/>
  <c r="N132" i="21"/>
  <c r="T132" i="21" s="1"/>
  <c r="W132" i="21" s="1"/>
  <c r="AC118" i="12"/>
  <c r="Y119" i="12" s="1"/>
  <c r="AO47" i="12"/>
  <c r="AQ47" i="12" s="1"/>
  <c r="AN47" i="12"/>
  <c r="N129" i="12"/>
  <c r="T129" i="12" s="1"/>
  <c r="M130" i="12"/>
  <c r="Q84" i="48" l="1"/>
  <c r="AI84" i="48"/>
  <c r="AL84" i="48"/>
  <c r="AF85" i="48" s="1"/>
  <c r="AP67" i="48"/>
  <c r="S67" i="48" s="1"/>
  <c r="T168" i="48"/>
  <c r="J170" i="48"/>
  <c r="L169" i="48"/>
  <c r="M169" i="48" s="1"/>
  <c r="K169" i="48" s="1"/>
  <c r="Y68" i="48"/>
  <c r="O68" i="48" s="1"/>
  <c r="AO68" i="48"/>
  <c r="R68" i="48" s="1"/>
  <c r="AN68" i="48"/>
  <c r="AQ177" i="48"/>
  <c r="AR176" i="48"/>
  <c r="AM46" i="21"/>
  <c r="AE117" i="21"/>
  <c r="AF117" i="21" s="1"/>
  <c r="Y118" i="21"/>
  <c r="AC118" i="21" s="1"/>
  <c r="N133" i="21"/>
  <c r="T133" i="21" s="1"/>
  <c r="W133" i="21" s="1"/>
  <c r="M134" i="21"/>
  <c r="AC119" i="12"/>
  <c r="Y120" i="12" s="1"/>
  <c r="AP47" i="12"/>
  <c r="AJ48" i="12"/>
  <c r="M131" i="12"/>
  <c r="N130" i="12"/>
  <c r="T130" i="12" s="1"/>
  <c r="AG85" i="48" l="1"/>
  <c r="P85" i="48" s="1"/>
  <c r="AJ84" i="48"/>
  <c r="AK84" i="48" s="1"/>
  <c r="V84" i="48"/>
  <c r="T169" i="48"/>
  <c r="J171" i="48"/>
  <c r="L170" i="48"/>
  <c r="M170" i="48" s="1"/>
  <c r="K170" i="48" s="1"/>
  <c r="AB68" i="48"/>
  <c r="AE68" i="48"/>
  <c r="W69" i="48" s="1"/>
  <c r="AQ178" i="48"/>
  <c r="AR177" i="48"/>
  <c r="AO46" i="21"/>
  <c r="AN46" i="21"/>
  <c r="Y119" i="21"/>
  <c r="AC119" i="21" s="1"/>
  <c r="AE118" i="21"/>
  <c r="AF118" i="21" s="1"/>
  <c r="M135" i="21"/>
  <c r="N134" i="21"/>
  <c r="T134" i="21" s="1"/>
  <c r="W134" i="21" s="1"/>
  <c r="AC120" i="12"/>
  <c r="Y121" i="12" s="1"/>
  <c r="AM48" i="12"/>
  <c r="M132" i="12"/>
  <c r="N131" i="12"/>
  <c r="T131" i="12" s="1"/>
  <c r="AH85" i="48" l="1"/>
  <c r="AL85" i="48" s="1"/>
  <c r="AF86" i="48" s="1"/>
  <c r="AG86" i="48" s="1"/>
  <c r="P86" i="48" s="1"/>
  <c r="Q85" i="48"/>
  <c r="T170" i="48"/>
  <c r="AC68" i="48"/>
  <c r="AD68" i="48" s="1"/>
  <c r="U68" i="48"/>
  <c r="J172" i="48"/>
  <c r="L171" i="48"/>
  <c r="M171" i="48" s="1"/>
  <c r="K171" i="48" s="1"/>
  <c r="X69" i="48"/>
  <c r="N69" i="48" s="1"/>
  <c r="AQ179" i="48"/>
  <c r="AR178" i="48"/>
  <c r="AE119" i="21"/>
  <c r="AF119" i="21" s="1"/>
  <c r="Y120" i="21"/>
  <c r="AC120" i="21" s="1"/>
  <c r="N135" i="21"/>
  <c r="T135" i="21" s="1"/>
  <c r="M136" i="21"/>
  <c r="AQ46" i="21"/>
  <c r="AJ47" i="21" s="1"/>
  <c r="AP46" i="21"/>
  <c r="AC121" i="12"/>
  <c r="Y122" i="12" s="1"/>
  <c r="AO48" i="12"/>
  <c r="AQ48" i="12" s="1"/>
  <c r="AN48" i="12"/>
  <c r="N132" i="12"/>
  <c r="T132" i="12" s="1"/>
  <c r="M133" i="12"/>
  <c r="AI85" i="48" l="1"/>
  <c r="AH86" i="48"/>
  <c r="Q86" i="48" s="1"/>
  <c r="V85" i="48"/>
  <c r="AJ85" i="48"/>
  <c r="AK85" i="48" s="1"/>
  <c r="AP68" i="48"/>
  <c r="S68" i="48" s="1"/>
  <c r="T171" i="48"/>
  <c r="J173" i="48"/>
  <c r="L172" i="48"/>
  <c r="M172" i="48" s="1"/>
  <c r="K172" i="48" s="1"/>
  <c r="Y69" i="48"/>
  <c r="O69" i="48" s="1"/>
  <c r="AO69" i="48"/>
  <c r="R69" i="48" s="1"/>
  <c r="AN69" i="48"/>
  <c r="AQ180" i="48"/>
  <c r="AR179" i="48"/>
  <c r="Y121" i="21"/>
  <c r="AC121" i="21" s="1"/>
  <c r="AE120" i="21"/>
  <c r="AF120" i="21" s="1"/>
  <c r="W135" i="21"/>
  <c r="AM47" i="21"/>
  <c r="M137" i="21"/>
  <c r="N136" i="21"/>
  <c r="T136" i="21" s="1"/>
  <c r="W136" i="21" s="1"/>
  <c r="AC122" i="12"/>
  <c r="Y123" i="12" s="1"/>
  <c r="AJ49" i="12"/>
  <c r="AP48" i="12"/>
  <c r="N133" i="12"/>
  <c r="T133" i="12" s="1"/>
  <c r="M134" i="12"/>
  <c r="AL86" i="48" l="1"/>
  <c r="AF87" i="48" s="1"/>
  <c r="AG87" i="48" s="1"/>
  <c r="P87" i="48" s="1"/>
  <c r="AI86" i="48"/>
  <c r="AJ86" i="48"/>
  <c r="AK86" i="48" s="1"/>
  <c r="V86" i="48"/>
  <c r="T172" i="48"/>
  <c r="J174" i="48"/>
  <c r="L173" i="48"/>
  <c r="M173" i="48" s="1"/>
  <c r="K173" i="48" s="1"/>
  <c r="AB69" i="48"/>
  <c r="AE69" i="48"/>
  <c r="W70" i="48" s="1"/>
  <c r="AQ181" i="48"/>
  <c r="AR180" i="48"/>
  <c r="AO47" i="21"/>
  <c r="AN47" i="21"/>
  <c r="M138" i="21"/>
  <c r="N137" i="21"/>
  <c r="T137" i="21" s="1"/>
  <c r="AE121" i="21"/>
  <c r="AF121" i="21" s="1"/>
  <c r="Y122" i="21"/>
  <c r="AC122" i="21" s="1"/>
  <c r="AC123" i="12"/>
  <c r="Y124" i="12" s="1"/>
  <c r="AM49" i="12"/>
  <c r="N134" i="12"/>
  <c r="T134" i="12" s="1"/>
  <c r="M135" i="12"/>
  <c r="AH87" i="48" l="1"/>
  <c r="T173" i="48"/>
  <c r="AC69" i="48"/>
  <c r="AD69" i="48" s="1"/>
  <c r="U69" i="48"/>
  <c r="J175" i="48"/>
  <c r="L174" i="48"/>
  <c r="M174" i="48" s="1"/>
  <c r="K174" i="48" s="1"/>
  <c r="X70" i="48"/>
  <c r="N70" i="48" s="1"/>
  <c r="AQ182" i="48"/>
  <c r="AR181" i="48"/>
  <c r="W137" i="21"/>
  <c r="M139" i="21"/>
  <c r="N138" i="21"/>
  <c r="T138" i="21" s="1"/>
  <c r="W138" i="21" s="1"/>
  <c r="Y123" i="21"/>
  <c r="AC123" i="21" s="1"/>
  <c r="AE122" i="21"/>
  <c r="AF122" i="21" s="1"/>
  <c r="AP47" i="21"/>
  <c r="AQ47" i="21"/>
  <c r="AJ48" i="21" s="1"/>
  <c r="AC124" i="12"/>
  <c r="Y125" i="12" s="1"/>
  <c r="AO49" i="12"/>
  <c r="AQ49" i="12" s="1"/>
  <c r="AN49" i="12"/>
  <c r="M136" i="12"/>
  <c r="N135" i="12"/>
  <c r="T135" i="12" s="1"/>
  <c r="AI87" i="48" l="1"/>
  <c r="Q87" i="48"/>
  <c r="AL87" i="48"/>
  <c r="AF88" i="48" s="1"/>
  <c r="AP69" i="48"/>
  <c r="T174" i="48"/>
  <c r="J176" i="48"/>
  <c r="L175" i="48"/>
  <c r="M175" i="48" s="1"/>
  <c r="K175" i="48" s="1"/>
  <c r="Y70" i="48"/>
  <c r="O70" i="48" s="1"/>
  <c r="AN70" i="48"/>
  <c r="AO70" i="48"/>
  <c r="R70" i="48" s="1"/>
  <c r="AQ183" i="48"/>
  <c r="AR182" i="48"/>
  <c r="M140" i="21"/>
  <c r="N139" i="21"/>
  <c r="T139" i="21" s="1"/>
  <c r="AE123" i="21"/>
  <c r="AF123" i="21" s="1"/>
  <c r="Y124" i="21"/>
  <c r="AC124" i="21" s="1"/>
  <c r="AM48" i="21"/>
  <c r="AC125" i="12"/>
  <c r="Y126" i="12" s="1"/>
  <c r="AP49" i="12"/>
  <c r="AJ50" i="12"/>
  <c r="N136" i="12"/>
  <c r="T136" i="12" s="1"/>
  <c r="M137" i="12"/>
  <c r="AG88" i="48" l="1"/>
  <c r="P88" i="48" s="1"/>
  <c r="AJ87" i="48"/>
  <c r="AK87" i="48" s="1"/>
  <c r="V87" i="48"/>
  <c r="S69" i="48"/>
  <c r="T175" i="48"/>
  <c r="J177" i="48"/>
  <c r="L176" i="48"/>
  <c r="M176" i="48" s="1"/>
  <c r="K176" i="48" s="1"/>
  <c r="AB70" i="48"/>
  <c r="AE70" i="48"/>
  <c r="W71" i="48" s="1"/>
  <c r="AQ184" i="48"/>
  <c r="AR183" i="48"/>
  <c r="AO48" i="21"/>
  <c r="AN48" i="21"/>
  <c r="W139" i="21"/>
  <c r="Y125" i="21"/>
  <c r="AC125" i="21" s="1"/>
  <c r="AE124" i="21"/>
  <c r="AF124" i="21" s="1"/>
  <c r="M141" i="21"/>
  <c r="N140" i="21"/>
  <c r="T140" i="21" s="1"/>
  <c r="W140" i="21" s="1"/>
  <c r="AC126" i="12"/>
  <c r="Y127" i="12" s="1"/>
  <c r="AM50" i="12"/>
  <c r="N137" i="12"/>
  <c r="T137" i="12" s="1"/>
  <c r="M138" i="12"/>
  <c r="AH88" i="48" l="1"/>
  <c r="T176" i="48"/>
  <c r="AC70" i="48"/>
  <c r="AD70" i="48" s="1"/>
  <c r="U70" i="48"/>
  <c r="L177" i="48"/>
  <c r="M177" i="48" s="1"/>
  <c r="K177" i="48" s="1"/>
  <c r="M23" i="50"/>
  <c r="J178" i="48"/>
  <c r="X71" i="48"/>
  <c r="N71" i="48" s="1"/>
  <c r="AQ185" i="48"/>
  <c r="AR184" i="48"/>
  <c r="M142" i="21"/>
  <c r="N141" i="21"/>
  <c r="T141" i="21" s="1"/>
  <c r="AE125" i="21"/>
  <c r="AF125" i="21" s="1"/>
  <c r="Y126" i="21"/>
  <c r="AC126" i="21" s="1"/>
  <c r="AP48" i="21"/>
  <c r="AQ48" i="21"/>
  <c r="AJ49" i="21" s="1"/>
  <c r="AC127" i="12"/>
  <c r="Y128" i="12" s="1"/>
  <c r="AO50" i="12"/>
  <c r="AQ50" i="12" s="1"/>
  <c r="AN50" i="12"/>
  <c r="N138" i="12"/>
  <c r="T138" i="12" s="1"/>
  <c r="M139" i="12"/>
  <c r="Q88" i="48" l="1"/>
  <c r="AI88" i="48"/>
  <c r="AL88" i="48"/>
  <c r="AF89" i="48" s="1"/>
  <c r="AP70" i="48"/>
  <c r="T177" i="48"/>
  <c r="J179" i="48"/>
  <c r="L178" i="48"/>
  <c r="M178" i="48" s="1"/>
  <c r="K178" i="48" s="1"/>
  <c r="Y71" i="48"/>
  <c r="O71" i="48" s="1"/>
  <c r="AO71" i="48"/>
  <c r="R71" i="48" s="1"/>
  <c r="AN71" i="48"/>
  <c r="AQ186" i="48"/>
  <c r="AR185" i="48"/>
  <c r="W141" i="21"/>
  <c r="M143" i="21"/>
  <c r="N142" i="21"/>
  <c r="T142" i="21" s="1"/>
  <c r="W142" i="21" s="1"/>
  <c r="AM49" i="21"/>
  <c r="Y127" i="21"/>
  <c r="AC127" i="21" s="1"/>
  <c r="AE126" i="21"/>
  <c r="AF126" i="21" s="1"/>
  <c r="AC128" i="12"/>
  <c r="Y129" i="12" s="1"/>
  <c r="AJ51" i="12"/>
  <c r="AP50" i="12"/>
  <c r="M140" i="12"/>
  <c r="N139" i="12"/>
  <c r="T139" i="12" s="1"/>
  <c r="AG89" i="48" l="1"/>
  <c r="P89" i="48" s="1"/>
  <c r="V88" i="48"/>
  <c r="AJ88" i="48"/>
  <c r="AK88" i="48" s="1"/>
  <c r="S70" i="48"/>
  <c r="T178" i="48"/>
  <c r="J180" i="48"/>
  <c r="L179" i="48"/>
  <c r="M179" i="48" s="1"/>
  <c r="K179" i="48" s="1"/>
  <c r="AB71" i="48"/>
  <c r="AE71" i="48"/>
  <c r="W72" i="48" s="1"/>
  <c r="AQ187" i="48"/>
  <c r="AR186" i="48"/>
  <c r="AE127" i="21"/>
  <c r="AF127" i="21" s="1"/>
  <c r="Y128" i="21"/>
  <c r="AC128" i="21" s="1"/>
  <c r="AO49" i="21"/>
  <c r="AN49" i="21"/>
  <c r="M144" i="21"/>
  <c r="N143" i="21"/>
  <c r="T143" i="21" s="1"/>
  <c r="W143" i="21" s="1"/>
  <c r="AC129" i="12"/>
  <c r="Y130" i="12" s="1"/>
  <c r="AM51" i="12"/>
  <c r="N140" i="12"/>
  <c r="T140" i="12" s="1"/>
  <c r="M141" i="12"/>
  <c r="AH89" i="48" l="1"/>
  <c r="T179" i="48"/>
  <c r="AC71" i="48"/>
  <c r="AD71" i="48" s="1"/>
  <c r="U71" i="48"/>
  <c r="J181" i="48"/>
  <c r="L180" i="48"/>
  <c r="M180" i="48" s="1"/>
  <c r="K180" i="48" s="1"/>
  <c r="X72" i="48"/>
  <c r="N72" i="48" s="1"/>
  <c r="AQ188" i="48"/>
  <c r="AR187" i="48"/>
  <c r="Y129" i="21"/>
  <c r="AC129" i="21" s="1"/>
  <c r="AE128" i="21"/>
  <c r="AF128" i="21" s="1"/>
  <c r="AQ49" i="21"/>
  <c r="AJ50" i="21" s="1"/>
  <c r="AP49" i="21"/>
  <c r="M145" i="21"/>
  <c r="N144" i="21"/>
  <c r="T144" i="21" s="1"/>
  <c r="W144" i="21" s="1"/>
  <c r="AC130" i="12"/>
  <c r="Y131" i="12" s="1"/>
  <c r="AO51" i="12"/>
  <c r="AQ51" i="12" s="1"/>
  <c r="AN51" i="12"/>
  <c r="M142" i="12"/>
  <c r="N141" i="12"/>
  <c r="T141" i="12" s="1"/>
  <c r="Q89" i="48" l="1"/>
  <c r="AI89" i="48"/>
  <c r="AL89" i="48"/>
  <c r="AF90" i="48" s="1"/>
  <c r="AP71" i="48"/>
  <c r="T180" i="48"/>
  <c r="J182" i="48"/>
  <c r="L181" i="48"/>
  <c r="M181" i="48" s="1"/>
  <c r="K181" i="48" s="1"/>
  <c r="Y72" i="48"/>
  <c r="O72" i="48" s="1"/>
  <c r="AN72" i="48"/>
  <c r="AO72" i="48"/>
  <c r="R72" i="48" s="1"/>
  <c r="AQ189" i="48"/>
  <c r="AR188" i="48"/>
  <c r="M146" i="21"/>
  <c r="N145" i="21"/>
  <c r="T145" i="21" s="1"/>
  <c r="W145" i="21" s="1"/>
  <c r="AE129" i="21"/>
  <c r="AF129" i="21" s="1"/>
  <c r="Y130" i="21"/>
  <c r="AC130" i="21" s="1"/>
  <c r="AM50" i="21"/>
  <c r="AC131" i="12"/>
  <c r="Y132" i="12" s="1"/>
  <c r="AJ52" i="12"/>
  <c r="AP51" i="12"/>
  <c r="M143" i="12"/>
  <c r="N142" i="12"/>
  <c r="T142" i="12" s="1"/>
  <c r="AG90" i="48" l="1"/>
  <c r="P90" i="48" s="1"/>
  <c r="V89" i="48"/>
  <c r="AJ89" i="48"/>
  <c r="AK89" i="48" s="1"/>
  <c r="S71" i="48"/>
  <c r="T181" i="48"/>
  <c r="J183" i="48"/>
  <c r="L182" i="48"/>
  <c r="M182" i="48" s="1"/>
  <c r="K182" i="48" s="1"/>
  <c r="AB72" i="48"/>
  <c r="AE72" i="48"/>
  <c r="W73" i="48" s="1"/>
  <c r="AQ190" i="48"/>
  <c r="AR189" i="48"/>
  <c r="AE130" i="21"/>
  <c r="AF130" i="21" s="1"/>
  <c r="Y131" i="21"/>
  <c r="AC131" i="21" s="1"/>
  <c r="AO50" i="21"/>
  <c r="AN50" i="21"/>
  <c r="M147" i="21"/>
  <c r="N146" i="21"/>
  <c r="T146" i="21" s="1"/>
  <c r="W146" i="21" s="1"/>
  <c r="AC132" i="12"/>
  <c r="Y133" i="12" s="1"/>
  <c r="AM52" i="12"/>
  <c r="M144" i="12"/>
  <c r="N143" i="12"/>
  <c r="T143" i="12" s="1"/>
  <c r="AH90" i="48" l="1"/>
  <c r="AL90" i="48" s="1"/>
  <c r="AF91" i="48" s="1"/>
  <c r="T182" i="48"/>
  <c r="AC72" i="48"/>
  <c r="AD72" i="48" s="1"/>
  <c r="U72" i="48"/>
  <c r="J184" i="48"/>
  <c r="L183" i="48"/>
  <c r="M183" i="48" s="1"/>
  <c r="K183" i="48" s="1"/>
  <c r="X73" i="48"/>
  <c r="N73" i="48" s="1"/>
  <c r="AQ191" i="48"/>
  <c r="AR190" i="48"/>
  <c r="AQ50" i="21"/>
  <c r="AJ51" i="21" s="1"/>
  <c r="AP50" i="21"/>
  <c r="AE131" i="21"/>
  <c r="AF131" i="21" s="1"/>
  <c r="Y132" i="21"/>
  <c r="AC132" i="21" s="1"/>
  <c r="M148" i="21"/>
  <c r="N147" i="21"/>
  <c r="T147" i="21" s="1"/>
  <c r="AC133" i="12"/>
  <c r="Y134" i="12" s="1"/>
  <c r="AO52" i="12"/>
  <c r="AQ52" i="12" s="1"/>
  <c r="AN52" i="12"/>
  <c r="M145" i="12"/>
  <c r="N144" i="12"/>
  <c r="T144" i="12" s="1"/>
  <c r="Q90" i="48" l="1"/>
  <c r="AI90" i="48"/>
  <c r="AG91" i="48"/>
  <c r="P91" i="48" s="1"/>
  <c r="AP72" i="48"/>
  <c r="T183" i="48"/>
  <c r="J185" i="48"/>
  <c r="L184" i="48"/>
  <c r="M184" i="48" s="1"/>
  <c r="K184" i="48" s="1"/>
  <c r="Y73" i="48"/>
  <c r="O73" i="48" s="1"/>
  <c r="AO73" i="48"/>
  <c r="R73" i="48" s="1"/>
  <c r="AN73" i="48"/>
  <c r="AQ192" i="48"/>
  <c r="AR191" i="48"/>
  <c r="W147" i="21"/>
  <c r="M149" i="21"/>
  <c r="N148" i="21"/>
  <c r="T148" i="21" s="1"/>
  <c r="W148" i="21" s="1"/>
  <c r="Y133" i="21"/>
  <c r="AC133" i="21" s="1"/>
  <c r="AE132" i="21"/>
  <c r="AF132" i="21" s="1"/>
  <c r="AM51" i="21"/>
  <c r="AC134" i="12"/>
  <c r="Y135" i="12" s="1"/>
  <c r="AJ53" i="12"/>
  <c r="AP52" i="12"/>
  <c r="M146" i="12"/>
  <c r="N145" i="12"/>
  <c r="T145" i="12" s="1"/>
  <c r="V90" i="48" l="1"/>
  <c r="AJ90" i="48"/>
  <c r="AK90" i="48" s="1"/>
  <c r="AH91" i="48"/>
  <c r="S72" i="48"/>
  <c r="T184" i="48"/>
  <c r="J186" i="48"/>
  <c r="L185" i="48"/>
  <c r="M185" i="48" s="1"/>
  <c r="K185" i="48" s="1"/>
  <c r="AB73" i="48"/>
  <c r="AE73" i="48"/>
  <c r="W74" i="48" s="1"/>
  <c r="AQ193" i="48"/>
  <c r="AR192" i="48"/>
  <c r="AO51" i="21"/>
  <c r="AN51" i="21"/>
  <c r="M150" i="21"/>
  <c r="N149" i="21"/>
  <c r="T149" i="21" s="1"/>
  <c r="AE133" i="21"/>
  <c r="AF133" i="21" s="1"/>
  <c r="Y134" i="21"/>
  <c r="AC134" i="21" s="1"/>
  <c r="AC135" i="12"/>
  <c r="Y136" i="12" s="1"/>
  <c r="AM53" i="12"/>
  <c r="N146" i="12"/>
  <c r="T146" i="12" s="1"/>
  <c r="M147" i="12"/>
  <c r="AI91" i="48" l="1"/>
  <c r="Q91" i="48"/>
  <c r="AL91" i="48"/>
  <c r="AF92" i="48" s="1"/>
  <c r="T185" i="48"/>
  <c r="AC73" i="48"/>
  <c r="AD73" i="48" s="1"/>
  <c r="U73" i="48"/>
  <c r="J187" i="48"/>
  <c r="L186" i="48"/>
  <c r="M186" i="48" s="1"/>
  <c r="K186" i="48" s="1"/>
  <c r="X74" i="48"/>
  <c r="N74" i="48" s="1"/>
  <c r="AQ194" i="48"/>
  <c r="AR193" i="48"/>
  <c r="M151" i="21"/>
  <c r="N150" i="21"/>
  <c r="T150" i="21" s="1"/>
  <c r="W150" i="21" s="1"/>
  <c r="Y135" i="21"/>
  <c r="AC135" i="21" s="1"/>
  <c r="AE134" i="21"/>
  <c r="AF134" i="21" s="1"/>
  <c r="W149" i="21"/>
  <c r="AP51" i="21"/>
  <c r="AQ51" i="21"/>
  <c r="AJ52" i="21" s="1"/>
  <c r="AC136" i="12"/>
  <c r="Y137" i="12" s="1"/>
  <c r="AO53" i="12"/>
  <c r="AQ53" i="12" s="1"/>
  <c r="AN53" i="12"/>
  <c r="M148" i="12"/>
  <c r="N147" i="12"/>
  <c r="T147" i="12" s="1"/>
  <c r="AG92" i="48" l="1"/>
  <c r="P92" i="48" s="1"/>
  <c r="V91" i="48"/>
  <c r="AJ91" i="48"/>
  <c r="AK91" i="48" s="1"/>
  <c r="AP73" i="48"/>
  <c r="S73" i="48" s="1"/>
  <c r="T186" i="48"/>
  <c r="L187" i="48"/>
  <c r="M187" i="48" s="1"/>
  <c r="K187" i="48" s="1"/>
  <c r="M24" i="50"/>
  <c r="J188" i="48"/>
  <c r="Y74" i="48"/>
  <c r="O74" i="48" s="1"/>
  <c r="AN74" i="48"/>
  <c r="AO74" i="48"/>
  <c r="R74" i="48" s="1"/>
  <c r="AQ195" i="48"/>
  <c r="AR194" i="48"/>
  <c r="AE135" i="21"/>
  <c r="AF135" i="21" s="1"/>
  <c r="Y136" i="21"/>
  <c r="AC136" i="21" s="1"/>
  <c r="AM52" i="21"/>
  <c r="M152" i="21"/>
  <c r="N151" i="21"/>
  <c r="T151" i="21" s="1"/>
  <c r="AC137" i="12"/>
  <c r="Y138" i="12" s="1"/>
  <c r="AJ54" i="12"/>
  <c r="AP53" i="12"/>
  <c r="N148" i="12"/>
  <c r="T148" i="12" s="1"/>
  <c r="M149" i="12"/>
  <c r="AH92" i="48" l="1"/>
  <c r="T187" i="48"/>
  <c r="J189" i="48"/>
  <c r="L188" i="48"/>
  <c r="M188" i="48" s="1"/>
  <c r="K188" i="48" s="1"/>
  <c r="AB74" i="48"/>
  <c r="AE74" i="48"/>
  <c r="W75" i="48" s="1"/>
  <c r="AQ196" i="48"/>
  <c r="AR195" i="48"/>
  <c r="W151" i="21"/>
  <c r="Y137" i="21"/>
  <c r="AC137" i="21" s="1"/>
  <c r="AE136" i="21"/>
  <c r="AF136" i="21" s="1"/>
  <c r="M153" i="21"/>
  <c r="N152" i="21"/>
  <c r="T152" i="21" s="1"/>
  <c r="W152" i="21" s="1"/>
  <c r="AO52" i="21"/>
  <c r="AN52" i="21"/>
  <c r="AC138" i="12"/>
  <c r="Y139" i="12" s="1"/>
  <c r="AM54" i="12"/>
  <c r="N149" i="12"/>
  <c r="T149" i="12" s="1"/>
  <c r="M150" i="12"/>
  <c r="Q92" i="48" l="1"/>
  <c r="AI92" i="48"/>
  <c r="AL92" i="48"/>
  <c r="AF93" i="48" s="1"/>
  <c r="T188" i="48"/>
  <c r="AC74" i="48"/>
  <c r="AD74" i="48" s="1"/>
  <c r="U74" i="48"/>
  <c r="J190" i="48"/>
  <c r="L189" i="48"/>
  <c r="M189" i="48" s="1"/>
  <c r="K189" i="48" s="1"/>
  <c r="X75" i="48"/>
  <c r="N75" i="48" s="1"/>
  <c r="AQ197" i="48"/>
  <c r="AR196" i="48"/>
  <c r="AP52" i="21"/>
  <c r="AQ52" i="21"/>
  <c r="AJ53" i="21" s="1"/>
  <c r="AE137" i="21"/>
  <c r="AF137" i="21" s="1"/>
  <c r="Y138" i="21"/>
  <c r="AC138" i="21" s="1"/>
  <c r="M154" i="21"/>
  <c r="N153" i="21"/>
  <c r="T153" i="21" s="1"/>
  <c r="AC139" i="12"/>
  <c r="Y140" i="12" s="1"/>
  <c r="AO54" i="12"/>
  <c r="AQ54" i="12" s="1"/>
  <c r="AN54" i="12"/>
  <c r="N150" i="12"/>
  <c r="T150" i="12" s="1"/>
  <c r="M151" i="12"/>
  <c r="AG93" i="48" l="1"/>
  <c r="P93" i="48" s="1"/>
  <c r="V92" i="48"/>
  <c r="AJ92" i="48"/>
  <c r="AK92" i="48" s="1"/>
  <c r="AP74" i="48"/>
  <c r="T189" i="48"/>
  <c r="J191" i="48"/>
  <c r="L190" i="48"/>
  <c r="M190" i="48" s="1"/>
  <c r="K190" i="48" s="1"/>
  <c r="Y75" i="48"/>
  <c r="O75" i="48" s="1"/>
  <c r="AO75" i="48"/>
  <c r="R75" i="48" s="1"/>
  <c r="AN75" i="48"/>
  <c r="AQ198" i="48"/>
  <c r="AR197" i="48"/>
  <c r="Y139" i="21"/>
  <c r="AC139" i="21" s="1"/>
  <c r="AE138" i="21"/>
  <c r="AF138" i="21" s="1"/>
  <c r="W153" i="21"/>
  <c r="M155" i="21"/>
  <c r="N154" i="21"/>
  <c r="T154" i="21" s="1"/>
  <c r="W154" i="21" s="1"/>
  <c r="AM53" i="21"/>
  <c r="AC140" i="12"/>
  <c r="Y141" i="12" s="1"/>
  <c r="AJ55" i="12"/>
  <c r="AP54" i="12"/>
  <c r="M152" i="12"/>
  <c r="N151" i="12"/>
  <c r="T151" i="12" s="1"/>
  <c r="AH93" i="48" l="1"/>
  <c r="S74" i="48"/>
  <c r="T190" i="48"/>
  <c r="J192" i="48"/>
  <c r="L191" i="48"/>
  <c r="M191" i="48" s="1"/>
  <c r="K191" i="48" s="1"/>
  <c r="AB75" i="48"/>
  <c r="AE75" i="48"/>
  <c r="W76" i="48" s="1"/>
  <c r="AQ199" i="48"/>
  <c r="AR198" i="48"/>
  <c r="AO53" i="21"/>
  <c r="AN53" i="21"/>
  <c r="M156" i="21"/>
  <c r="N155" i="21"/>
  <c r="T155" i="21" s="1"/>
  <c r="W155" i="21" s="1"/>
  <c r="AE139" i="21"/>
  <c r="AF139" i="21" s="1"/>
  <c r="Y140" i="21"/>
  <c r="AC140" i="21" s="1"/>
  <c r="AC141" i="12"/>
  <c r="Y142" i="12" s="1"/>
  <c r="AM55" i="12"/>
  <c r="N152" i="12"/>
  <c r="T152" i="12" s="1"/>
  <c r="M153" i="12"/>
  <c r="Q93" i="48" l="1"/>
  <c r="AI93" i="48"/>
  <c r="AL93" i="48"/>
  <c r="AF94" i="48" s="1"/>
  <c r="T191" i="48"/>
  <c r="AC75" i="48"/>
  <c r="AD75" i="48" s="1"/>
  <c r="U75" i="48"/>
  <c r="J193" i="48"/>
  <c r="L192" i="48"/>
  <c r="M192" i="48" s="1"/>
  <c r="K192" i="48" s="1"/>
  <c r="X76" i="48"/>
  <c r="N76" i="48" s="1"/>
  <c r="AQ200" i="48"/>
  <c r="AR199" i="48"/>
  <c r="M157" i="21"/>
  <c r="N156" i="21"/>
  <c r="T156" i="21" s="1"/>
  <c r="W156" i="21" s="1"/>
  <c r="Y141" i="21"/>
  <c r="AC141" i="21" s="1"/>
  <c r="AE140" i="21"/>
  <c r="AF140" i="21" s="1"/>
  <c r="AP53" i="21"/>
  <c r="AQ53" i="21"/>
  <c r="AJ54" i="21" s="1"/>
  <c r="AC142" i="12"/>
  <c r="Y143" i="12" s="1"/>
  <c r="AO55" i="12"/>
  <c r="AQ55" i="12" s="1"/>
  <c r="AN55" i="12"/>
  <c r="N153" i="12"/>
  <c r="T153" i="12" s="1"/>
  <c r="M154" i="12"/>
  <c r="AG94" i="48" l="1"/>
  <c r="P94" i="48" s="1"/>
  <c r="AH94" i="48"/>
  <c r="Q94" i="48" s="1"/>
  <c r="V93" i="48"/>
  <c r="AJ93" i="48"/>
  <c r="AK93" i="48" s="1"/>
  <c r="AP75" i="48"/>
  <c r="S75" i="48" s="1"/>
  <c r="T192" i="48"/>
  <c r="J194" i="48"/>
  <c r="L193" i="48"/>
  <c r="M193" i="48" s="1"/>
  <c r="K193" i="48" s="1"/>
  <c r="Y76" i="48"/>
  <c r="O76" i="48" s="1"/>
  <c r="AN76" i="48"/>
  <c r="AO76" i="48"/>
  <c r="R76" i="48" s="1"/>
  <c r="AQ201" i="48"/>
  <c r="AR200" i="48"/>
  <c r="AM54" i="21"/>
  <c r="AE141" i="21"/>
  <c r="AF141" i="21" s="1"/>
  <c r="Y142" i="21"/>
  <c r="AC142" i="21" s="1"/>
  <c r="M158" i="21"/>
  <c r="N157" i="21"/>
  <c r="T157" i="21" s="1"/>
  <c r="W157" i="21" s="1"/>
  <c r="AC143" i="12"/>
  <c r="Y144" i="12" s="1"/>
  <c r="AP55" i="12"/>
  <c r="AJ56" i="12"/>
  <c r="N154" i="12"/>
  <c r="T154" i="12" s="1"/>
  <c r="M155" i="12"/>
  <c r="AI94" i="48" l="1"/>
  <c r="AL94" i="48"/>
  <c r="AF95" i="48" s="1"/>
  <c r="V94" i="48"/>
  <c r="AJ94" i="48"/>
  <c r="AK94" i="48" s="1"/>
  <c r="T193" i="48"/>
  <c r="J195" i="48"/>
  <c r="L194" i="48"/>
  <c r="M194" i="48" s="1"/>
  <c r="K194" i="48" s="1"/>
  <c r="AB76" i="48"/>
  <c r="AE76" i="48"/>
  <c r="W77" i="48" s="1"/>
  <c r="AQ202" i="48"/>
  <c r="AR201" i="48"/>
  <c r="Y143" i="21"/>
  <c r="AC143" i="21" s="1"/>
  <c r="AE142" i="21"/>
  <c r="AF142" i="21" s="1"/>
  <c r="M159" i="21"/>
  <c r="N158" i="21"/>
  <c r="T158" i="21" s="1"/>
  <c r="W158" i="21" s="1"/>
  <c r="AO54" i="21"/>
  <c r="AN54" i="21"/>
  <c r="AC144" i="12"/>
  <c r="Y145" i="12" s="1"/>
  <c r="AM56" i="12"/>
  <c r="M156" i="12"/>
  <c r="N155" i="12"/>
  <c r="T155" i="12" s="1"/>
  <c r="AG95" i="48" l="1"/>
  <c r="P95" i="48" s="1"/>
  <c r="AH95" i="48"/>
  <c r="T194" i="48"/>
  <c r="AC76" i="48"/>
  <c r="AD76" i="48" s="1"/>
  <c r="U76" i="48"/>
  <c r="J196" i="48"/>
  <c r="L195" i="48"/>
  <c r="M195" i="48" s="1"/>
  <c r="K195" i="48" s="1"/>
  <c r="X77" i="48"/>
  <c r="N77" i="48" s="1"/>
  <c r="AQ203" i="48"/>
  <c r="AR202" i="48"/>
  <c r="M160" i="21"/>
  <c r="N159" i="21"/>
  <c r="T159" i="21" s="1"/>
  <c r="AQ54" i="21"/>
  <c r="AJ55" i="21" s="1"/>
  <c r="AP54" i="21"/>
  <c r="AE143" i="21"/>
  <c r="AF143" i="21" s="1"/>
  <c r="Y144" i="21"/>
  <c r="AC144" i="21" s="1"/>
  <c r="AC145" i="12"/>
  <c r="Y146" i="12" s="1"/>
  <c r="AO56" i="12"/>
  <c r="AQ56" i="12" s="1"/>
  <c r="AN56" i="12"/>
  <c r="N156" i="12"/>
  <c r="T156" i="12" s="1"/>
  <c r="M157" i="12"/>
  <c r="Q95" i="48" l="1"/>
  <c r="AI95" i="48"/>
  <c r="AL95" i="48"/>
  <c r="AF96" i="48" s="1"/>
  <c r="AP76" i="48"/>
  <c r="T195" i="48"/>
  <c r="J197" i="48"/>
  <c r="L196" i="48"/>
  <c r="M196" i="48" s="1"/>
  <c r="K196" i="48" s="1"/>
  <c r="Y77" i="48"/>
  <c r="O77" i="48" s="1"/>
  <c r="AO77" i="48"/>
  <c r="R77" i="48" s="1"/>
  <c r="AN77" i="48"/>
  <c r="AQ204" i="48"/>
  <c r="AR203" i="48"/>
  <c r="AM55" i="21"/>
  <c r="Y145" i="21"/>
  <c r="AC145" i="21" s="1"/>
  <c r="AE144" i="21"/>
  <c r="AF144" i="21" s="1"/>
  <c r="W159" i="21"/>
  <c r="M161" i="21"/>
  <c r="N160" i="21"/>
  <c r="T160" i="21" s="1"/>
  <c r="W160" i="21" s="1"/>
  <c r="AC146" i="12"/>
  <c r="Y147" i="12" s="1"/>
  <c r="AJ57" i="12"/>
  <c r="AP56" i="12"/>
  <c r="N157" i="12"/>
  <c r="T157" i="12" s="1"/>
  <c r="M158" i="12"/>
  <c r="AG96" i="48" l="1"/>
  <c r="P96" i="48" s="1"/>
  <c r="AH96" i="48"/>
  <c r="Q96" i="48" s="1"/>
  <c r="AL96" i="48"/>
  <c r="AF97" i="48" s="1"/>
  <c r="AJ95" i="48"/>
  <c r="AK95" i="48" s="1"/>
  <c r="V95" i="48"/>
  <c r="AI96" i="48"/>
  <c r="S76" i="48"/>
  <c r="T196" i="48"/>
  <c r="L197" i="48"/>
  <c r="M197" i="48" s="1"/>
  <c r="K197" i="48" s="1"/>
  <c r="M25" i="50"/>
  <c r="J198" i="48"/>
  <c r="AB77" i="48"/>
  <c r="AE77" i="48"/>
  <c r="W78" i="48" s="1"/>
  <c r="AQ205" i="48"/>
  <c r="AR204" i="48"/>
  <c r="M162" i="21"/>
  <c r="N161" i="21"/>
  <c r="T161" i="21" s="1"/>
  <c r="AE145" i="21"/>
  <c r="AF145" i="21" s="1"/>
  <c r="Y146" i="21"/>
  <c r="AC146" i="21" s="1"/>
  <c r="AO55" i="21"/>
  <c r="AN55" i="21"/>
  <c r="AC147" i="12"/>
  <c r="Y148" i="12" s="1"/>
  <c r="AM57" i="12"/>
  <c r="M159" i="12"/>
  <c r="N158" i="12"/>
  <c r="T158" i="12" s="1"/>
  <c r="AG97" i="48" l="1"/>
  <c r="P97" i="48" s="1"/>
  <c r="V96" i="48"/>
  <c r="AJ96" i="48"/>
  <c r="AK96" i="48" s="1"/>
  <c r="T197" i="48"/>
  <c r="AC77" i="48"/>
  <c r="AD77" i="48" s="1"/>
  <c r="U77" i="48"/>
  <c r="J199" i="48"/>
  <c r="L198" i="48"/>
  <c r="M198" i="48" s="1"/>
  <c r="K198" i="48" s="1"/>
  <c r="X78" i="48"/>
  <c r="N78" i="48" s="1"/>
  <c r="AQ206" i="48"/>
  <c r="AR205" i="48"/>
  <c r="W161" i="21"/>
  <c r="Y147" i="21"/>
  <c r="AC147" i="21" s="1"/>
  <c r="AE146" i="21"/>
  <c r="AF146" i="21" s="1"/>
  <c r="AP55" i="21"/>
  <c r="AQ55" i="21"/>
  <c r="AJ56" i="21" s="1"/>
  <c r="N162" i="21"/>
  <c r="T162" i="21" s="1"/>
  <c r="W162" i="21" s="1"/>
  <c r="M163" i="21"/>
  <c r="AC148" i="12"/>
  <c r="Y149" i="12" s="1"/>
  <c r="AO57" i="12"/>
  <c r="AQ57" i="12" s="1"/>
  <c r="AN57" i="12"/>
  <c r="M160" i="12"/>
  <c r="N159" i="12"/>
  <c r="T159" i="12" s="1"/>
  <c r="AH97" i="48" l="1"/>
  <c r="AP77" i="48"/>
  <c r="T198" i="48"/>
  <c r="J200" i="48"/>
  <c r="L199" i="48"/>
  <c r="M199" i="48" s="1"/>
  <c r="K199" i="48" s="1"/>
  <c r="Y78" i="48"/>
  <c r="O78" i="48" s="1"/>
  <c r="AN78" i="48"/>
  <c r="AO78" i="48"/>
  <c r="R78" i="48" s="1"/>
  <c r="AQ207" i="48"/>
  <c r="AR206" i="48"/>
  <c r="AM56" i="21"/>
  <c r="AE147" i="21"/>
  <c r="AF147" i="21" s="1"/>
  <c r="Y148" i="21"/>
  <c r="AC148" i="21" s="1"/>
  <c r="N163" i="21"/>
  <c r="T163" i="21" s="1"/>
  <c r="M164" i="21"/>
  <c r="AC149" i="12"/>
  <c r="Y150" i="12" s="1"/>
  <c r="AP57" i="12"/>
  <c r="AJ58" i="12"/>
  <c r="N160" i="12"/>
  <c r="T160" i="12" s="1"/>
  <c r="M161" i="12"/>
  <c r="Q97" i="48" l="1"/>
  <c r="AI97" i="48"/>
  <c r="AL97" i="48"/>
  <c r="AF98" i="48" s="1"/>
  <c r="S77" i="48"/>
  <c r="T199" i="48"/>
  <c r="J201" i="48"/>
  <c r="L200" i="48"/>
  <c r="M200" i="48" s="1"/>
  <c r="K200" i="48" s="1"/>
  <c r="AB78" i="48"/>
  <c r="AE78" i="48"/>
  <c r="W79" i="48" s="1"/>
  <c r="AQ208" i="48"/>
  <c r="AR207" i="48"/>
  <c r="Y149" i="21"/>
  <c r="AC149" i="21" s="1"/>
  <c r="AE148" i="21"/>
  <c r="AF148" i="21" s="1"/>
  <c r="N164" i="21"/>
  <c r="T164" i="21" s="1"/>
  <c r="W164" i="21" s="1"/>
  <c r="M165" i="21"/>
  <c r="AO56" i="21"/>
  <c r="AN56" i="21"/>
  <c r="W163" i="21"/>
  <c r="AC150" i="12"/>
  <c r="Y151" i="12" s="1"/>
  <c r="AM58" i="12"/>
  <c r="N161" i="12"/>
  <c r="T161" i="12" s="1"/>
  <c r="M162" i="12"/>
  <c r="AG98" i="48" l="1"/>
  <c r="P98" i="48" s="1"/>
  <c r="AH98" i="48"/>
  <c r="AJ97" i="48"/>
  <c r="AK97" i="48" s="1"/>
  <c r="V97" i="48"/>
  <c r="T200" i="48"/>
  <c r="AC78" i="48"/>
  <c r="AD78" i="48" s="1"/>
  <c r="U78" i="48"/>
  <c r="J202" i="48"/>
  <c r="L201" i="48"/>
  <c r="M201" i="48" s="1"/>
  <c r="K201" i="48" s="1"/>
  <c r="X79" i="48"/>
  <c r="N79" i="48" s="1"/>
  <c r="AQ209" i="48"/>
  <c r="AR208" i="48"/>
  <c r="N165" i="21"/>
  <c r="T165" i="21" s="1"/>
  <c r="M166" i="21"/>
  <c r="AQ56" i="21"/>
  <c r="AJ57" i="21" s="1"/>
  <c r="AP56" i="21"/>
  <c r="AE149" i="21"/>
  <c r="AF149" i="21" s="1"/>
  <c r="Y150" i="21"/>
  <c r="AC150" i="21" s="1"/>
  <c r="AC151" i="12"/>
  <c r="Y152" i="12" s="1"/>
  <c r="AO58" i="12"/>
  <c r="AQ58" i="12" s="1"/>
  <c r="AN58" i="12"/>
  <c r="N162" i="12"/>
  <c r="T162" i="12" s="1"/>
  <c r="M163" i="12"/>
  <c r="AI98" i="48" l="1"/>
  <c r="Q98" i="48"/>
  <c r="AL98" i="48"/>
  <c r="AF99" i="48" s="1"/>
  <c r="AG99" i="48" s="1"/>
  <c r="P99" i="48" s="1"/>
  <c r="AH99" i="48"/>
  <c r="AP78" i="48"/>
  <c r="T201" i="48"/>
  <c r="J203" i="48"/>
  <c r="L202" i="48"/>
  <c r="M202" i="48" s="1"/>
  <c r="K202" i="48" s="1"/>
  <c r="Y79" i="48"/>
  <c r="O79" i="48" s="1"/>
  <c r="AO79" i="48"/>
  <c r="R79" i="48" s="1"/>
  <c r="AN79" i="48"/>
  <c r="AQ210" i="48"/>
  <c r="AR209" i="48"/>
  <c r="Y151" i="21"/>
  <c r="AC151" i="21" s="1"/>
  <c r="AE150" i="21"/>
  <c r="AF150" i="21" s="1"/>
  <c r="N166" i="21"/>
  <c r="T166" i="21" s="1"/>
  <c r="W166" i="21" s="1"/>
  <c r="M167" i="21"/>
  <c r="AM57" i="21"/>
  <c r="W165" i="21"/>
  <c r="AC152" i="12"/>
  <c r="Y153" i="12" s="1"/>
  <c r="AJ59" i="12"/>
  <c r="AP58" i="12"/>
  <c r="M164" i="12"/>
  <c r="N163" i="12"/>
  <c r="T163" i="12" s="1"/>
  <c r="V98" i="48" l="1"/>
  <c r="AJ98" i="48"/>
  <c r="AK98" i="48" s="1"/>
  <c r="AL99" i="48"/>
  <c r="AF100" i="48" s="1"/>
  <c r="Q99" i="48"/>
  <c r="AI99" i="48"/>
  <c r="S78" i="48"/>
  <c r="T202" i="48"/>
  <c r="J204" i="48"/>
  <c r="L203" i="48"/>
  <c r="M203" i="48" s="1"/>
  <c r="K203" i="48" s="1"/>
  <c r="AB79" i="48"/>
  <c r="AE79" i="48"/>
  <c r="W80" i="48" s="1"/>
  <c r="AQ211" i="48"/>
  <c r="AR210" i="48"/>
  <c r="N167" i="21"/>
  <c r="T167" i="21" s="1"/>
  <c r="W167" i="21" s="1"/>
  <c r="M168" i="21"/>
  <c r="AO57" i="21"/>
  <c r="AN57" i="21"/>
  <c r="AE151" i="21"/>
  <c r="AF151" i="21" s="1"/>
  <c r="Y152" i="21"/>
  <c r="AC152" i="21" s="1"/>
  <c r="AC153" i="12"/>
  <c r="Y154" i="12" s="1"/>
  <c r="AM59" i="12"/>
  <c r="M165" i="12"/>
  <c r="N164" i="12"/>
  <c r="T164" i="12" s="1"/>
  <c r="V99" i="48" l="1"/>
  <c r="AJ99" i="48"/>
  <c r="AK99" i="48" s="1"/>
  <c r="AG100" i="48"/>
  <c r="P100" i="48" s="1"/>
  <c r="T203" i="48"/>
  <c r="AC79" i="48"/>
  <c r="AD79" i="48" s="1"/>
  <c r="U79" i="48"/>
  <c r="J205" i="48"/>
  <c r="L204" i="48"/>
  <c r="M204" i="48" s="1"/>
  <c r="K204" i="48" s="1"/>
  <c r="X80" i="48"/>
  <c r="N80" i="48" s="1"/>
  <c r="AQ212" i="48"/>
  <c r="AR211" i="48"/>
  <c r="Y153" i="21"/>
  <c r="AC153" i="21" s="1"/>
  <c r="AE152" i="21"/>
  <c r="AF152" i="21" s="1"/>
  <c r="N168" i="21"/>
  <c r="T168" i="21" s="1"/>
  <c r="W168" i="21" s="1"/>
  <c r="M169" i="21"/>
  <c r="AQ57" i="21"/>
  <c r="AJ58" i="21" s="1"/>
  <c r="AP57" i="21"/>
  <c r="AC154" i="12"/>
  <c r="Y155" i="12" s="1"/>
  <c r="AO59" i="12"/>
  <c r="AQ59" i="12" s="1"/>
  <c r="AN59" i="12"/>
  <c r="N165" i="12"/>
  <c r="T165" i="12" s="1"/>
  <c r="M166" i="12"/>
  <c r="AH100" i="48" l="1"/>
  <c r="AI100" i="48" s="1"/>
  <c r="AL100" i="48"/>
  <c r="AF101" i="48" s="1"/>
  <c r="AP79" i="48"/>
  <c r="S79" i="48" s="1"/>
  <c r="T204" i="48"/>
  <c r="J206" i="48"/>
  <c r="L205" i="48"/>
  <c r="M205" i="48" s="1"/>
  <c r="K205" i="48" s="1"/>
  <c r="Y80" i="48"/>
  <c r="O80" i="48" s="1"/>
  <c r="AN80" i="48"/>
  <c r="AO80" i="48"/>
  <c r="R80" i="48" s="1"/>
  <c r="AQ213" i="48"/>
  <c r="AR212" i="48"/>
  <c r="AE153" i="21"/>
  <c r="AF153" i="21" s="1"/>
  <c r="Y154" i="21"/>
  <c r="AC154" i="21" s="1"/>
  <c r="AM58" i="21"/>
  <c r="N169" i="21"/>
  <c r="T169" i="21" s="1"/>
  <c r="W169" i="21" s="1"/>
  <c r="M170" i="21"/>
  <c r="AC155" i="12"/>
  <c r="Y156" i="12" s="1"/>
  <c r="AP59" i="12"/>
  <c r="AJ60" i="12"/>
  <c r="M167" i="12"/>
  <c r="N166" i="12"/>
  <c r="T166" i="12" s="1"/>
  <c r="Q100" i="48" l="1"/>
  <c r="AG101" i="48"/>
  <c r="P101" i="48" s="1"/>
  <c r="AH101" i="48"/>
  <c r="Q101" i="48" s="1"/>
  <c r="V100" i="48"/>
  <c r="AJ100" i="48"/>
  <c r="AK100" i="48" s="1"/>
  <c r="T205" i="48"/>
  <c r="J207" i="48"/>
  <c r="L206" i="48"/>
  <c r="M206" i="48" s="1"/>
  <c r="K206" i="48" s="1"/>
  <c r="AB80" i="48"/>
  <c r="AE80" i="48"/>
  <c r="W81" i="48" s="1"/>
  <c r="AQ214" i="48"/>
  <c r="AR213" i="48"/>
  <c r="Y155" i="21"/>
  <c r="AC155" i="21" s="1"/>
  <c r="AE154" i="21"/>
  <c r="AF154" i="21" s="1"/>
  <c r="M171" i="21"/>
  <c r="N170" i="21"/>
  <c r="T170" i="21" s="1"/>
  <c r="W170" i="21" s="1"/>
  <c r="AO58" i="21"/>
  <c r="AN58" i="21"/>
  <c r="AC156" i="12"/>
  <c r="Y157" i="12" s="1"/>
  <c r="AM60" i="12"/>
  <c r="M168" i="12"/>
  <c r="N167" i="12"/>
  <c r="T167" i="12" s="1"/>
  <c r="AI101" i="48" l="1"/>
  <c r="AJ101" i="48" s="1"/>
  <c r="AK101" i="48" s="1"/>
  <c r="AL101" i="48"/>
  <c r="AF102" i="48" s="1"/>
  <c r="V101" i="48"/>
  <c r="T206" i="48"/>
  <c r="AC80" i="48"/>
  <c r="AD80" i="48" s="1"/>
  <c r="U80" i="48"/>
  <c r="L207" i="48"/>
  <c r="M207" i="48" s="1"/>
  <c r="K207" i="48" s="1"/>
  <c r="M26" i="50"/>
  <c r="J208" i="48"/>
  <c r="X81" i="48"/>
  <c r="N81" i="48" s="1"/>
  <c r="AQ215" i="48"/>
  <c r="AR214" i="48"/>
  <c r="N171" i="21"/>
  <c r="T171" i="21" s="1"/>
  <c r="M172" i="21"/>
  <c r="AP58" i="21"/>
  <c r="AQ58" i="21"/>
  <c r="AJ59" i="21" s="1"/>
  <c r="AE155" i="21"/>
  <c r="AF155" i="21" s="1"/>
  <c r="Y156" i="21"/>
  <c r="AC156" i="21" s="1"/>
  <c r="AC157" i="12"/>
  <c r="Y158" i="12" s="1"/>
  <c r="AO60" i="12"/>
  <c r="AQ60" i="12" s="1"/>
  <c r="AN60" i="12"/>
  <c r="M169" i="12"/>
  <c r="N168" i="12"/>
  <c r="T168" i="12" s="1"/>
  <c r="AG102" i="48" l="1"/>
  <c r="P102" i="48" s="1"/>
  <c r="AP80" i="48"/>
  <c r="S80" i="48" s="1"/>
  <c r="T207" i="48"/>
  <c r="J209" i="48"/>
  <c r="L208" i="48"/>
  <c r="M208" i="48" s="1"/>
  <c r="K208" i="48" s="1"/>
  <c r="Y81" i="48"/>
  <c r="O81" i="48" s="1"/>
  <c r="AO81" i="48"/>
  <c r="R81" i="48" s="1"/>
  <c r="AN81" i="48"/>
  <c r="AQ216" i="48"/>
  <c r="AR215" i="48"/>
  <c r="M173" i="21"/>
  <c r="N172" i="21"/>
  <c r="T172" i="21" s="1"/>
  <c r="W172" i="21" s="1"/>
  <c r="Y157" i="21"/>
  <c r="AC157" i="21" s="1"/>
  <c r="AE156" i="21"/>
  <c r="AF156" i="21" s="1"/>
  <c r="AM59" i="21"/>
  <c r="W171" i="21"/>
  <c r="AC158" i="12"/>
  <c r="Y159" i="12" s="1"/>
  <c r="AP60" i="12"/>
  <c r="AJ61" i="12"/>
  <c r="N169" i="12"/>
  <c r="T169" i="12" s="1"/>
  <c r="M170" i="12"/>
  <c r="AH102" i="48" l="1"/>
  <c r="T208" i="48"/>
  <c r="J210" i="48"/>
  <c r="L209" i="48"/>
  <c r="M209" i="48" s="1"/>
  <c r="K209" i="48" s="1"/>
  <c r="AB81" i="48"/>
  <c r="AE81" i="48"/>
  <c r="W82" i="48" s="1"/>
  <c r="AQ217" i="48"/>
  <c r="AR216" i="48"/>
  <c r="AE157" i="21"/>
  <c r="AF157" i="21" s="1"/>
  <c r="Y158" i="21"/>
  <c r="AC158" i="21" s="1"/>
  <c r="AO59" i="21"/>
  <c r="AN59" i="21"/>
  <c r="N173" i="21"/>
  <c r="T173" i="21" s="1"/>
  <c r="M174" i="21"/>
  <c r="AC159" i="12"/>
  <c r="Y160" i="12" s="1"/>
  <c r="AM61" i="12"/>
  <c r="N170" i="12"/>
  <c r="T170" i="12" s="1"/>
  <c r="M171" i="12"/>
  <c r="Q102" i="48" l="1"/>
  <c r="AI102" i="48"/>
  <c r="AL102" i="48"/>
  <c r="AF103" i="48" s="1"/>
  <c r="T209" i="48"/>
  <c r="AC81" i="48"/>
  <c r="AD81" i="48" s="1"/>
  <c r="U81" i="48"/>
  <c r="J211" i="48"/>
  <c r="L210" i="48"/>
  <c r="M210" i="48" s="1"/>
  <c r="K210" i="48" s="1"/>
  <c r="X82" i="48"/>
  <c r="N82" i="48" s="1"/>
  <c r="AQ218" i="48"/>
  <c r="AR217" i="48"/>
  <c r="AP59" i="21"/>
  <c r="AQ59" i="21"/>
  <c r="AJ60" i="21" s="1"/>
  <c r="M175" i="21"/>
  <c r="N174" i="21"/>
  <c r="T174" i="21" s="1"/>
  <c r="W174" i="21" s="1"/>
  <c r="Y159" i="21"/>
  <c r="AC159" i="21" s="1"/>
  <c r="AE158" i="21"/>
  <c r="AF158" i="21" s="1"/>
  <c r="W173" i="21"/>
  <c r="AC160" i="12"/>
  <c r="Y161" i="12" s="1"/>
  <c r="AO61" i="12"/>
  <c r="AQ61" i="12" s="1"/>
  <c r="AN61" i="12"/>
  <c r="M172" i="12"/>
  <c r="N171" i="12"/>
  <c r="T171" i="12" s="1"/>
  <c r="AG103" i="48" l="1"/>
  <c r="P103" i="48" s="1"/>
  <c r="AH103" i="48"/>
  <c r="Q103" i="48" s="1"/>
  <c r="V102" i="48"/>
  <c r="AJ102" i="48"/>
  <c r="AK102" i="48" s="1"/>
  <c r="AP81" i="48"/>
  <c r="S81" i="48" s="1"/>
  <c r="T210" i="48"/>
  <c r="J212" i="48"/>
  <c r="L211" i="48"/>
  <c r="M211" i="48" s="1"/>
  <c r="K211" i="48" s="1"/>
  <c r="Y82" i="48"/>
  <c r="O82" i="48" s="1"/>
  <c r="AN82" i="48"/>
  <c r="AO82" i="48"/>
  <c r="R82" i="48" s="1"/>
  <c r="AQ219" i="48"/>
  <c r="AR218" i="48"/>
  <c r="N175" i="21"/>
  <c r="T175" i="21" s="1"/>
  <c r="M176" i="21"/>
  <c r="AM60" i="21"/>
  <c r="AE159" i="21"/>
  <c r="AF159" i="21" s="1"/>
  <c r="Y160" i="21"/>
  <c r="AC160" i="21" s="1"/>
  <c r="AC161" i="12"/>
  <c r="Y162" i="12" s="1"/>
  <c r="AP61" i="12"/>
  <c r="AJ62" i="12"/>
  <c r="M173" i="12"/>
  <c r="N172" i="12"/>
  <c r="T172" i="12" s="1"/>
  <c r="AL103" i="48" l="1"/>
  <c r="AF104" i="48" s="1"/>
  <c r="AG104" i="48" s="1"/>
  <c r="P104" i="48" s="1"/>
  <c r="AI103" i="48"/>
  <c r="V103" i="48" s="1"/>
  <c r="AJ103" i="48"/>
  <c r="AK103" i="48" s="1"/>
  <c r="T211" i="48"/>
  <c r="J213" i="48"/>
  <c r="L212" i="48"/>
  <c r="M212" i="48" s="1"/>
  <c r="K212" i="48" s="1"/>
  <c r="AB82" i="48"/>
  <c r="AE82" i="48"/>
  <c r="W83" i="48" s="1"/>
  <c r="AQ220" i="48"/>
  <c r="AR219" i="48"/>
  <c r="AO60" i="21"/>
  <c r="AN60" i="21"/>
  <c r="M177" i="21"/>
  <c r="N176" i="21"/>
  <c r="T176" i="21" s="1"/>
  <c r="W176" i="21" s="1"/>
  <c r="Y161" i="21"/>
  <c r="AC161" i="21" s="1"/>
  <c r="AE160" i="21"/>
  <c r="AF160" i="21" s="1"/>
  <c r="W175" i="21"/>
  <c r="AC162" i="12"/>
  <c r="Y163" i="12" s="1"/>
  <c r="AM62" i="12"/>
  <c r="N173" i="12"/>
  <c r="T173" i="12" s="1"/>
  <c r="M174" i="12"/>
  <c r="AH104" i="48" l="1"/>
  <c r="Q104" i="48" s="1"/>
  <c r="T212" i="48"/>
  <c r="AC82" i="48"/>
  <c r="AD82" i="48" s="1"/>
  <c r="U82" i="48"/>
  <c r="J214" i="48"/>
  <c r="L213" i="48"/>
  <c r="M213" i="48" s="1"/>
  <c r="K213" i="48" s="1"/>
  <c r="X83" i="48"/>
  <c r="N83" i="48" s="1"/>
  <c r="AQ221" i="48"/>
  <c r="AR220" i="48"/>
  <c r="N177" i="21"/>
  <c r="T177" i="21" s="1"/>
  <c r="M178" i="21"/>
  <c r="AE161" i="21"/>
  <c r="AF161" i="21" s="1"/>
  <c r="Y162" i="21"/>
  <c r="AC162" i="21" s="1"/>
  <c r="AQ60" i="21"/>
  <c r="AJ61" i="21" s="1"/>
  <c r="AP60" i="21"/>
  <c r="AC163" i="12"/>
  <c r="Y164" i="12" s="1"/>
  <c r="AO62" i="12"/>
  <c r="AQ62" i="12" s="1"/>
  <c r="AN62" i="12"/>
  <c r="N174" i="12"/>
  <c r="T174" i="12" s="1"/>
  <c r="M175" i="12"/>
  <c r="AL104" i="48" l="1"/>
  <c r="AF105" i="48" s="1"/>
  <c r="AG105" i="48" s="1"/>
  <c r="P105" i="48" s="1"/>
  <c r="AI104" i="48"/>
  <c r="AH105" i="48"/>
  <c r="AL105" i="48" s="1"/>
  <c r="AF106" i="48" s="1"/>
  <c r="AP82" i="48"/>
  <c r="T213" i="48"/>
  <c r="J215" i="48"/>
  <c r="L214" i="48"/>
  <c r="M214" i="48" s="1"/>
  <c r="K214" i="48" s="1"/>
  <c r="Y83" i="48"/>
  <c r="O83" i="48" s="1"/>
  <c r="AO83" i="48"/>
  <c r="R83" i="48" s="1"/>
  <c r="AN83" i="48"/>
  <c r="AQ222" i="48"/>
  <c r="AR221" i="48"/>
  <c r="AM61" i="21"/>
  <c r="M179" i="21"/>
  <c r="N178" i="21"/>
  <c r="T178" i="21" s="1"/>
  <c r="W178" i="21" s="1"/>
  <c r="Y163" i="21"/>
  <c r="AC163" i="21" s="1"/>
  <c r="AE162" i="21"/>
  <c r="AF162" i="21" s="1"/>
  <c r="W177" i="21"/>
  <c r="AC164" i="12"/>
  <c r="Y165" i="12" s="1"/>
  <c r="AP62" i="12"/>
  <c r="AJ63" i="12"/>
  <c r="M176" i="12"/>
  <c r="N175" i="12"/>
  <c r="T175" i="12" s="1"/>
  <c r="V104" i="48" l="1"/>
  <c r="AJ104" i="48"/>
  <c r="AK104" i="48" s="1"/>
  <c r="Q105" i="48"/>
  <c r="AI105" i="48"/>
  <c r="AG106" i="48"/>
  <c r="P106" i="48" s="1"/>
  <c r="AH106" i="48"/>
  <c r="AL106" i="48" s="1"/>
  <c r="AF107" i="48" s="1"/>
  <c r="S82" i="48"/>
  <c r="T214" i="48"/>
  <c r="J216" i="48"/>
  <c r="L215" i="48"/>
  <c r="M215" i="48" s="1"/>
  <c r="K215" i="48" s="1"/>
  <c r="AB83" i="48"/>
  <c r="AE83" i="48"/>
  <c r="W84" i="48" s="1"/>
  <c r="AQ223" i="48"/>
  <c r="AR222" i="48"/>
  <c r="N179" i="21"/>
  <c r="T179" i="21" s="1"/>
  <c r="W179" i="21" s="1"/>
  <c r="M180" i="21"/>
  <c r="AO61" i="21"/>
  <c r="AN61" i="21"/>
  <c r="AE163" i="21"/>
  <c r="AF163" i="21" s="1"/>
  <c r="Y164" i="21"/>
  <c r="AC164" i="21" s="1"/>
  <c r="AC165" i="12"/>
  <c r="Y166" i="12" s="1"/>
  <c r="AM63" i="12"/>
  <c r="M177" i="12"/>
  <c r="N176" i="12"/>
  <c r="T176" i="12" s="1"/>
  <c r="AJ105" i="48" l="1"/>
  <c r="AK105" i="48" s="1"/>
  <c r="V105" i="48"/>
  <c r="AG107" i="48"/>
  <c r="P107" i="48" s="1"/>
  <c r="AH107" i="48"/>
  <c r="AL107" i="48" s="1"/>
  <c r="AF108" i="48" s="1"/>
  <c r="Q106" i="48"/>
  <c r="AI106" i="48"/>
  <c r="T215" i="48"/>
  <c r="AC83" i="48"/>
  <c r="AD83" i="48" s="1"/>
  <c r="U83" i="48"/>
  <c r="J217" i="48"/>
  <c r="L216" i="48"/>
  <c r="M216" i="48" s="1"/>
  <c r="K216" i="48" s="1"/>
  <c r="X84" i="48"/>
  <c r="N84" i="48" s="1"/>
  <c r="AQ224" i="48"/>
  <c r="AR223" i="48"/>
  <c r="M181" i="21"/>
  <c r="N180" i="21"/>
  <c r="T180" i="21" s="1"/>
  <c r="W180" i="21" s="1"/>
  <c r="AP61" i="21"/>
  <c r="AQ61" i="21"/>
  <c r="AJ62" i="21" s="1"/>
  <c r="AE164" i="21"/>
  <c r="AF164" i="21" s="1"/>
  <c r="Y165" i="21"/>
  <c r="AC165" i="21" s="1"/>
  <c r="AC166" i="12"/>
  <c r="Y167" i="12" s="1"/>
  <c r="AO63" i="12"/>
  <c r="AQ63" i="12" s="1"/>
  <c r="AN63" i="12"/>
  <c r="N177" i="12"/>
  <c r="T177" i="12" s="1"/>
  <c r="M178" i="12"/>
  <c r="AI107" i="48" l="1"/>
  <c r="Q107" i="48"/>
  <c r="AG108" i="48"/>
  <c r="P108" i="48" s="1"/>
  <c r="V106" i="48"/>
  <c r="AJ106" i="48"/>
  <c r="AK106" i="48" s="1"/>
  <c r="AP83" i="48"/>
  <c r="S83" i="48" s="1"/>
  <c r="T216" i="48"/>
  <c r="L217" i="48"/>
  <c r="M217" i="48" s="1"/>
  <c r="K217" i="48" s="1"/>
  <c r="M27" i="50"/>
  <c r="J218" i="48"/>
  <c r="Y84" i="48"/>
  <c r="O84" i="48" s="1"/>
  <c r="AN84" i="48"/>
  <c r="AO84" i="48"/>
  <c r="R84" i="48" s="1"/>
  <c r="AQ225" i="48"/>
  <c r="AR224" i="48"/>
  <c r="AE165" i="21"/>
  <c r="AF165" i="21" s="1"/>
  <c r="Y166" i="21"/>
  <c r="AC166" i="21" s="1"/>
  <c r="AM62" i="21"/>
  <c r="N181" i="21"/>
  <c r="T181" i="21" s="1"/>
  <c r="W181" i="21" s="1"/>
  <c r="M182" i="21"/>
  <c r="AC167" i="12"/>
  <c r="Y168" i="12" s="1"/>
  <c r="AJ64" i="12"/>
  <c r="AP63" i="12"/>
  <c r="N178" i="12"/>
  <c r="T178" i="12" s="1"/>
  <c r="M179" i="12"/>
  <c r="AH108" i="48" l="1"/>
  <c r="Q108" i="48" s="1"/>
  <c r="V107" i="48"/>
  <c r="AJ107" i="48"/>
  <c r="AK107" i="48" s="1"/>
  <c r="AI108" i="48"/>
  <c r="T217" i="48"/>
  <c r="J219" i="48"/>
  <c r="L218" i="48"/>
  <c r="M218" i="48" s="1"/>
  <c r="K218" i="48" s="1"/>
  <c r="AB84" i="48"/>
  <c r="AE84" i="48"/>
  <c r="W85" i="48" s="1"/>
  <c r="AQ226" i="48"/>
  <c r="AR225" i="48"/>
  <c r="AE166" i="21"/>
  <c r="AF166" i="21" s="1"/>
  <c r="Y167" i="21"/>
  <c r="AC167" i="21" s="1"/>
  <c r="M183" i="21"/>
  <c r="N182" i="21"/>
  <c r="T182" i="21" s="1"/>
  <c r="W182" i="21" s="1"/>
  <c r="AO62" i="21"/>
  <c r="AN62" i="21"/>
  <c r="AC168" i="12"/>
  <c r="Y169" i="12" s="1"/>
  <c r="AM64" i="12"/>
  <c r="M180" i="12"/>
  <c r="N179" i="12"/>
  <c r="T179" i="12" s="1"/>
  <c r="AL108" i="48" l="1"/>
  <c r="AF109" i="48" s="1"/>
  <c r="AJ108" i="48"/>
  <c r="AK108" i="48" s="1"/>
  <c r="V108" i="48"/>
  <c r="AG109" i="48"/>
  <c r="P109" i="48" s="1"/>
  <c r="T218" i="48"/>
  <c r="AC84" i="48"/>
  <c r="AD84" i="48" s="1"/>
  <c r="U84" i="48"/>
  <c r="J220" i="48"/>
  <c r="L219" i="48"/>
  <c r="M219" i="48" s="1"/>
  <c r="K219" i="48" s="1"/>
  <c r="X85" i="48"/>
  <c r="N85" i="48" s="1"/>
  <c r="AQ227" i="48"/>
  <c r="AR226" i="48"/>
  <c r="N183" i="21"/>
  <c r="T183" i="21" s="1"/>
  <c r="M184" i="21"/>
  <c r="AE167" i="21"/>
  <c r="AF167" i="21" s="1"/>
  <c r="Y168" i="21"/>
  <c r="AC168" i="21" s="1"/>
  <c r="AP62" i="21"/>
  <c r="AQ62" i="21"/>
  <c r="AJ63" i="21" s="1"/>
  <c r="AC169" i="12"/>
  <c r="Y170" i="12" s="1"/>
  <c r="AO64" i="12"/>
  <c r="AQ64" i="12" s="1"/>
  <c r="AN64" i="12"/>
  <c r="M181" i="12"/>
  <c r="N181" i="12" s="1"/>
  <c r="N180" i="12"/>
  <c r="T180" i="12" s="1"/>
  <c r="AH109" i="48" l="1"/>
  <c r="AP84" i="48"/>
  <c r="S84" i="48" s="1"/>
  <c r="T219" i="48"/>
  <c r="J221" i="48"/>
  <c r="L220" i="48"/>
  <c r="M220" i="48" s="1"/>
  <c r="K220" i="48" s="1"/>
  <c r="Y85" i="48"/>
  <c r="O85" i="48" s="1"/>
  <c r="AO85" i="48"/>
  <c r="R85" i="48" s="1"/>
  <c r="AN85" i="48"/>
  <c r="AQ228" i="48"/>
  <c r="AR227" i="48"/>
  <c r="N184" i="21"/>
  <c r="T184" i="21" s="1"/>
  <c r="W184" i="21" s="1"/>
  <c r="M185" i="21"/>
  <c r="AM63" i="21"/>
  <c r="AE168" i="21"/>
  <c r="AF168" i="21" s="1"/>
  <c r="Y169" i="21"/>
  <c r="AC169" i="21" s="1"/>
  <c r="W183" i="21"/>
  <c r="AC170" i="12"/>
  <c r="Y171" i="12" s="1"/>
  <c r="AJ65" i="12"/>
  <c r="AP64" i="12"/>
  <c r="T181" i="12"/>
  <c r="W181" i="12" s="1"/>
  <c r="M182" i="12"/>
  <c r="N182" i="12" s="1"/>
  <c r="W23" i="12"/>
  <c r="W106" i="12"/>
  <c r="W43" i="12"/>
  <c r="W20" i="12"/>
  <c r="W52" i="12"/>
  <c r="W74" i="12"/>
  <c r="W16" i="12"/>
  <c r="W148" i="12"/>
  <c r="W170" i="12"/>
  <c r="W149" i="12"/>
  <c r="W105" i="12"/>
  <c r="W4" i="12"/>
  <c r="W49" i="12"/>
  <c r="W179" i="12"/>
  <c r="W11" i="12"/>
  <c r="W13" i="12"/>
  <c r="W156" i="12"/>
  <c r="W54" i="12"/>
  <c r="W6" i="12"/>
  <c r="W68" i="12"/>
  <c r="W120" i="12"/>
  <c r="W113" i="12"/>
  <c r="W168" i="12"/>
  <c r="W61" i="12"/>
  <c r="W55" i="12"/>
  <c r="W63" i="12"/>
  <c r="W85" i="12"/>
  <c r="W72" i="12"/>
  <c r="W66" i="12"/>
  <c r="W94" i="12"/>
  <c r="W14" i="12"/>
  <c r="W178" i="12"/>
  <c r="W3" i="12"/>
  <c r="W24" i="12"/>
  <c r="W10" i="12"/>
  <c r="W51" i="12"/>
  <c r="W39" i="12"/>
  <c r="W110" i="12"/>
  <c r="W69" i="12"/>
  <c r="W45" i="12"/>
  <c r="W107" i="12"/>
  <c r="W137" i="12"/>
  <c r="W145" i="12"/>
  <c r="W76" i="12"/>
  <c r="W56" i="12"/>
  <c r="W80" i="12"/>
  <c r="W126" i="12"/>
  <c r="W124" i="12"/>
  <c r="W15" i="12"/>
  <c r="W12" i="12"/>
  <c r="W75" i="12"/>
  <c r="W109" i="12"/>
  <c r="W167" i="12"/>
  <c r="W35" i="12"/>
  <c r="W171" i="12"/>
  <c r="W32" i="12"/>
  <c r="W102" i="12"/>
  <c r="W57" i="12"/>
  <c r="W84" i="12"/>
  <c r="W44" i="12"/>
  <c r="W154" i="12"/>
  <c r="W139" i="12"/>
  <c r="W50" i="12"/>
  <c r="W38" i="12"/>
  <c r="W33" i="12"/>
  <c r="W67" i="12"/>
  <c r="W28" i="12"/>
  <c r="W119" i="12"/>
  <c r="W172" i="12"/>
  <c r="W165" i="12"/>
  <c r="W151" i="12"/>
  <c r="W5" i="12"/>
  <c r="W17" i="12"/>
  <c r="W42" i="12"/>
  <c r="W25" i="12"/>
  <c r="W64" i="12"/>
  <c r="W111" i="12"/>
  <c r="W100" i="12"/>
  <c r="W70" i="12"/>
  <c r="W37" i="12"/>
  <c r="W159" i="12"/>
  <c r="W30" i="12"/>
  <c r="W73" i="12"/>
  <c r="W19" i="12"/>
  <c r="W79" i="12"/>
  <c r="W58" i="12"/>
  <c r="W177" i="12"/>
  <c r="W118" i="12"/>
  <c r="W81" i="12"/>
  <c r="W60" i="12"/>
  <c r="W117" i="12"/>
  <c r="W46" i="12"/>
  <c r="W77" i="12"/>
  <c r="W114" i="12"/>
  <c r="W158" i="12"/>
  <c r="W62" i="12"/>
  <c r="W82" i="12"/>
  <c r="W7" i="12"/>
  <c r="W88" i="12"/>
  <c r="W71" i="12"/>
  <c r="W122" i="12"/>
  <c r="W9" i="12"/>
  <c r="W47" i="12"/>
  <c r="W40" i="12"/>
  <c r="W41" i="12"/>
  <c r="W173" i="12"/>
  <c r="W26" i="12"/>
  <c r="W21" i="12"/>
  <c r="W59" i="12"/>
  <c r="W65" i="12"/>
  <c r="W34" i="12"/>
  <c r="W166" i="12"/>
  <c r="W157" i="12"/>
  <c r="W144" i="12"/>
  <c r="W115" i="12"/>
  <c r="W48" i="12"/>
  <c r="W134" i="12"/>
  <c r="W132" i="12"/>
  <c r="W135" i="12"/>
  <c r="W8" i="12"/>
  <c r="W83" i="12"/>
  <c r="W78" i="12"/>
  <c r="W146" i="12"/>
  <c r="W125" i="12"/>
  <c r="W53" i="12"/>
  <c r="W29" i="12"/>
  <c r="W141" i="12"/>
  <c r="W18" i="12"/>
  <c r="W147" i="12"/>
  <c r="W31" i="12"/>
  <c r="W91" i="12"/>
  <c r="W27" i="12"/>
  <c r="W22" i="12"/>
  <c r="W36" i="12"/>
  <c r="AL109" i="48" l="1"/>
  <c r="AF110" i="48" s="1"/>
  <c r="Q109" i="48"/>
  <c r="AI109" i="48"/>
  <c r="T220" i="48"/>
  <c r="J222" i="48"/>
  <c r="L221" i="48"/>
  <c r="M221" i="48" s="1"/>
  <c r="K221" i="48" s="1"/>
  <c r="AB85" i="48"/>
  <c r="AE85" i="48"/>
  <c r="W86" i="48" s="1"/>
  <c r="AQ229" i="48"/>
  <c r="AR228" i="48"/>
  <c r="AE169" i="21"/>
  <c r="AF169" i="21" s="1"/>
  <c r="Y170" i="21"/>
  <c r="AC170" i="21" s="1"/>
  <c r="AO63" i="21"/>
  <c r="AN63" i="21"/>
  <c r="M186" i="21"/>
  <c r="N185" i="21"/>
  <c r="T185" i="21" s="1"/>
  <c r="AC171" i="12"/>
  <c r="Y172" i="12" s="1"/>
  <c r="AM65" i="12"/>
  <c r="T182" i="12"/>
  <c r="W182" i="12" s="1"/>
  <c r="M183" i="12"/>
  <c r="N183" i="12" s="1"/>
  <c r="W150" i="12"/>
  <c r="W180" i="12"/>
  <c r="W103" i="12"/>
  <c r="W98" i="12"/>
  <c r="W92" i="12"/>
  <c r="W160" i="12"/>
  <c r="W161" i="12"/>
  <c r="W121" i="12"/>
  <c r="W152" i="12"/>
  <c r="W174" i="12"/>
  <c r="W142" i="12"/>
  <c r="W128" i="12"/>
  <c r="W116" i="12"/>
  <c r="W95" i="12"/>
  <c r="W90" i="12"/>
  <c r="W86" i="12"/>
  <c r="W162" i="12"/>
  <c r="W136" i="12"/>
  <c r="W112" i="12"/>
  <c r="W99" i="12"/>
  <c r="W176" i="12"/>
  <c r="W138" i="12"/>
  <c r="W89" i="12"/>
  <c r="W175" i="12"/>
  <c r="W153" i="12"/>
  <c r="W101" i="12"/>
  <c r="W96" i="12"/>
  <c r="W140" i="12"/>
  <c r="W93" i="12"/>
  <c r="W155" i="12"/>
  <c r="W164" i="12"/>
  <c r="W127" i="12"/>
  <c r="W97" i="12"/>
  <c r="W143" i="12"/>
  <c r="W129" i="12"/>
  <c r="W104" i="12"/>
  <c r="W133" i="12"/>
  <c r="W123" i="12"/>
  <c r="W131" i="12"/>
  <c r="W130" i="12"/>
  <c r="W87" i="12"/>
  <c r="W108" i="12"/>
  <c r="W169" i="12"/>
  <c r="W163" i="12"/>
  <c r="AJ109" i="48" l="1"/>
  <c r="AK109" i="48" s="1"/>
  <c r="V109" i="48"/>
  <c r="AG110" i="48"/>
  <c r="P110" i="48" s="1"/>
  <c r="T221" i="48"/>
  <c r="AC85" i="48"/>
  <c r="AD85" i="48" s="1"/>
  <c r="U85" i="48"/>
  <c r="J223" i="48"/>
  <c r="L222" i="48"/>
  <c r="M222" i="48" s="1"/>
  <c r="K222" i="48" s="1"/>
  <c r="X86" i="48"/>
  <c r="N86" i="48" s="1"/>
  <c r="AQ230" i="48"/>
  <c r="AR229" i="48"/>
  <c r="W185" i="21"/>
  <c r="AP63" i="21"/>
  <c r="AQ63" i="21"/>
  <c r="AJ64" i="21" s="1"/>
  <c r="N186" i="21"/>
  <c r="T186" i="21" s="1"/>
  <c r="W186" i="21" s="1"/>
  <c r="M187" i="21"/>
  <c r="AE170" i="21"/>
  <c r="AF170" i="21" s="1"/>
  <c r="Y171" i="21"/>
  <c r="AC171" i="21" s="1"/>
  <c r="AC172" i="12"/>
  <c r="Y173" i="12" s="1"/>
  <c r="AO65" i="12"/>
  <c r="AQ65" i="12" s="1"/>
  <c r="AN65" i="12"/>
  <c r="M184" i="12"/>
  <c r="T183" i="12"/>
  <c r="AH110" i="48" l="1"/>
  <c r="AP85" i="48"/>
  <c r="S85" i="48" s="1"/>
  <c r="T222" i="48"/>
  <c r="J224" i="48"/>
  <c r="L223" i="48"/>
  <c r="M223" i="48" s="1"/>
  <c r="K223" i="48" s="1"/>
  <c r="Y86" i="48"/>
  <c r="O86" i="48" s="1"/>
  <c r="AN86" i="48"/>
  <c r="AO86" i="48"/>
  <c r="R86" i="48" s="1"/>
  <c r="AQ231" i="48"/>
  <c r="AR230" i="48"/>
  <c r="AE171" i="21"/>
  <c r="AF171" i="21" s="1"/>
  <c r="Y172" i="21"/>
  <c r="AC172" i="21" s="1"/>
  <c r="AM64" i="21"/>
  <c r="M188" i="21"/>
  <c r="N187" i="21"/>
  <c r="T187" i="21" s="1"/>
  <c r="AC173" i="12"/>
  <c r="Y174" i="12" s="1"/>
  <c r="AP65" i="12"/>
  <c r="AJ66" i="12"/>
  <c r="W183" i="12"/>
  <c r="AD3" i="12"/>
  <c r="AD4" i="12"/>
  <c r="AE4" i="12" s="1"/>
  <c r="AF4" i="12" s="1"/>
  <c r="M185" i="12"/>
  <c r="N184" i="12"/>
  <c r="T184" i="12" s="1"/>
  <c r="W184" i="12" s="1"/>
  <c r="Q110" i="48" l="1"/>
  <c r="AI110" i="48"/>
  <c r="AL110" i="48"/>
  <c r="AF111" i="48" s="1"/>
  <c r="T223" i="48"/>
  <c r="J225" i="48"/>
  <c r="L224" i="48"/>
  <c r="M224" i="48" s="1"/>
  <c r="K224" i="48" s="1"/>
  <c r="AB86" i="48"/>
  <c r="AE86" i="48"/>
  <c r="W87" i="48" s="1"/>
  <c r="AQ232" i="48"/>
  <c r="AR231" i="48"/>
  <c r="W187" i="21"/>
  <c r="N188" i="21"/>
  <c r="T188" i="21" s="1"/>
  <c r="W188" i="21" s="1"/>
  <c r="M189" i="21"/>
  <c r="AE172" i="21"/>
  <c r="AF172" i="21" s="1"/>
  <c r="Y173" i="21"/>
  <c r="AC173" i="21" s="1"/>
  <c r="AO64" i="21"/>
  <c r="AN64" i="21"/>
  <c r="AC174" i="12"/>
  <c r="Y175" i="12" s="1"/>
  <c r="AE3" i="12"/>
  <c r="AF3" i="12" s="1"/>
  <c r="AM66" i="12"/>
  <c r="M186" i="12"/>
  <c r="N185" i="12"/>
  <c r="T185" i="12" s="1"/>
  <c r="AG111" i="48" l="1"/>
  <c r="P111" i="48" s="1"/>
  <c r="V110" i="48"/>
  <c r="AJ110" i="48"/>
  <c r="AK110" i="48" s="1"/>
  <c r="T224" i="48"/>
  <c r="AC86" i="48"/>
  <c r="AD86" i="48" s="1"/>
  <c r="U86" i="48"/>
  <c r="J226" i="48"/>
  <c r="L225" i="48"/>
  <c r="M225" i="48" s="1"/>
  <c r="K225" i="48" s="1"/>
  <c r="X87" i="48"/>
  <c r="N87" i="48" s="1"/>
  <c r="AQ233" i="48"/>
  <c r="AR232" i="48"/>
  <c r="M190" i="21"/>
  <c r="N189" i="21"/>
  <c r="T189" i="21" s="1"/>
  <c r="AQ64" i="21"/>
  <c r="AJ65" i="21" s="1"/>
  <c r="AP64" i="21"/>
  <c r="AE173" i="21"/>
  <c r="AF173" i="21" s="1"/>
  <c r="Y174" i="21"/>
  <c r="AC174" i="21" s="1"/>
  <c r="AC175" i="12"/>
  <c r="Y176" i="12" s="1"/>
  <c r="AO66" i="12"/>
  <c r="AQ66" i="12" s="1"/>
  <c r="AN66" i="12"/>
  <c r="W185" i="12"/>
  <c r="AD5" i="12"/>
  <c r="AE5" i="12" s="1"/>
  <c r="AF5" i="12" s="1"/>
  <c r="M187" i="12"/>
  <c r="N186" i="12"/>
  <c r="T186" i="12" s="1"/>
  <c r="AH111" i="48" l="1"/>
  <c r="AP86" i="48"/>
  <c r="S86" i="48" s="1"/>
  <c r="T225" i="48"/>
  <c r="J227" i="48"/>
  <c r="L226" i="48"/>
  <c r="M226" i="48" s="1"/>
  <c r="K226" i="48" s="1"/>
  <c r="Y87" i="48"/>
  <c r="O87" i="48" s="1"/>
  <c r="AO87" i="48"/>
  <c r="R87" i="48" s="1"/>
  <c r="AN87" i="48"/>
  <c r="AQ234" i="48"/>
  <c r="AR233" i="48"/>
  <c r="AE174" i="21"/>
  <c r="AF174" i="21" s="1"/>
  <c r="Y175" i="21"/>
  <c r="AC175" i="21" s="1"/>
  <c r="W189" i="21"/>
  <c r="AM65" i="21"/>
  <c r="N190" i="21"/>
  <c r="T190" i="21" s="1"/>
  <c r="W190" i="21" s="1"/>
  <c r="M191" i="21"/>
  <c r="AC176" i="12"/>
  <c r="Y177" i="12" s="1"/>
  <c r="AJ67" i="12"/>
  <c r="AP66" i="12"/>
  <c r="W186" i="12"/>
  <c r="AD6" i="12"/>
  <c r="AE6" i="12" s="1"/>
  <c r="AF6" i="12" s="1"/>
  <c r="M188" i="12"/>
  <c r="N188" i="12" s="1"/>
  <c r="N187" i="12"/>
  <c r="T187" i="12" s="1"/>
  <c r="Q111" i="48" l="1"/>
  <c r="AI111" i="48"/>
  <c r="AL111" i="48"/>
  <c r="AF112" i="48" s="1"/>
  <c r="T226" i="48"/>
  <c r="L227" i="48"/>
  <c r="M227" i="48" s="1"/>
  <c r="K227" i="48" s="1"/>
  <c r="M28" i="50"/>
  <c r="J228" i="48"/>
  <c r="AB87" i="48"/>
  <c r="AE87" i="48"/>
  <c r="W88" i="48" s="1"/>
  <c r="AQ235" i="48"/>
  <c r="AR234" i="48"/>
  <c r="AO65" i="21"/>
  <c r="AN65" i="21"/>
  <c r="AE175" i="21"/>
  <c r="AF175" i="21" s="1"/>
  <c r="Y176" i="21"/>
  <c r="AC176" i="21" s="1"/>
  <c r="M192" i="21"/>
  <c r="N191" i="21"/>
  <c r="T191" i="21" s="1"/>
  <c r="W191" i="21" s="1"/>
  <c r="AC177" i="12"/>
  <c r="Y178" i="12" s="1"/>
  <c r="AM67" i="12"/>
  <c r="W187" i="12"/>
  <c r="AD7" i="12"/>
  <c r="AE7" i="12" s="1"/>
  <c r="AF7" i="12" s="1"/>
  <c r="M189" i="12"/>
  <c r="T188" i="12"/>
  <c r="AG112" i="48" l="1"/>
  <c r="P112" i="48" s="1"/>
  <c r="AJ111" i="48"/>
  <c r="AK111" i="48" s="1"/>
  <c r="V111" i="48"/>
  <c r="T227" i="48"/>
  <c r="AC87" i="48"/>
  <c r="AD87" i="48" s="1"/>
  <c r="U87" i="48"/>
  <c r="J229" i="48"/>
  <c r="L228" i="48"/>
  <c r="M228" i="48" s="1"/>
  <c r="K228" i="48" s="1"/>
  <c r="X88" i="48"/>
  <c r="N88" i="48" s="1"/>
  <c r="AQ236" i="48"/>
  <c r="AR235" i="48"/>
  <c r="N192" i="21"/>
  <c r="T192" i="21" s="1"/>
  <c r="W192" i="21" s="1"/>
  <c r="M193" i="21"/>
  <c r="AE176" i="21"/>
  <c r="AF176" i="21" s="1"/>
  <c r="Y177" i="21"/>
  <c r="AC177" i="21" s="1"/>
  <c r="AP65" i="21"/>
  <c r="AQ65" i="21"/>
  <c r="AJ66" i="21" s="1"/>
  <c r="AC178" i="12"/>
  <c r="Y179" i="12" s="1"/>
  <c r="AO67" i="12"/>
  <c r="AQ67" i="12" s="1"/>
  <c r="AN67" i="12"/>
  <c r="W188" i="12"/>
  <c r="AD8" i="12"/>
  <c r="AE8" i="12" s="1"/>
  <c r="AF8" i="12" s="1"/>
  <c r="M190" i="12"/>
  <c r="N189" i="12"/>
  <c r="T189" i="12" s="1"/>
  <c r="AH112" i="48" l="1"/>
  <c r="Q112" i="48" s="1"/>
  <c r="AI112" i="48"/>
  <c r="AP87" i="48"/>
  <c r="T228" i="48"/>
  <c r="J230" i="48"/>
  <c r="L229" i="48"/>
  <c r="M229" i="48" s="1"/>
  <c r="K229" i="48" s="1"/>
  <c r="Y88" i="48"/>
  <c r="O88" i="48" s="1"/>
  <c r="AN88" i="48"/>
  <c r="AO88" i="48"/>
  <c r="R88" i="48" s="1"/>
  <c r="AQ237" i="48"/>
  <c r="AR236" i="48"/>
  <c r="M194" i="21"/>
  <c r="N194" i="21" s="1"/>
  <c r="T194" i="21" s="1"/>
  <c r="N193" i="21"/>
  <c r="T193" i="21" s="1"/>
  <c r="W193" i="21" s="1"/>
  <c r="AM66" i="21"/>
  <c r="AE177" i="21"/>
  <c r="AF177" i="21" s="1"/>
  <c r="Y178" i="21"/>
  <c r="AC178" i="21" s="1"/>
  <c r="AC179" i="12"/>
  <c r="Y180" i="12" s="1"/>
  <c r="AP67" i="12"/>
  <c r="AJ68" i="12"/>
  <c r="W189" i="12"/>
  <c r="AD9" i="12"/>
  <c r="AE9" i="12" s="1"/>
  <c r="AF9" i="12" s="1"/>
  <c r="N190" i="12"/>
  <c r="T190" i="12" s="1"/>
  <c r="M191" i="12"/>
  <c r="AL112" i="48" l="1"/>
  <c r="AF113" i="48" s="1"/>
  <c r="AG113" i="48" s="1"/>
  <c r="P113" i="48" s="1"/>
  <c r="V112" i="48"/>
  <c r="AJ112" i="48"/>
  <c r="AK112" i="48" s="1"/>
  <c r="S87" i="48"/>
  <c r="T229" i="48"/>
  <c r="J231" i="48"/>
  <c r="L230" i="48"/>
  <c r="M230" i="48" s="1"/>
  <c r="K230" i="48" s="1"/>
  <c r="AB88" i="48"/>
  <c r="AE88" i="48"/>
  <c r="W89" i="48" s="1"/>
  <c r="AQ238" i="48"/>
  <c r="AR237" i="48"/>
  <c r="AE178" i="21"/>
  <c r="AF178" i="21" s="1"/>
  <c r="Y179" i="21"/>
  <c r="AC179" i="21" s="1"/>
  <c r="AO66" i="21"/>
  <c r="AN66" i="21"/>
  <c r="W194" i="21"/>
  <c r="C11" i="21"/>
  <c r="C13" i="21"/>
  <c r="C14" i="21"/>
  <c r="C15" i="21"/>
  <c r="C16" i="21"/>
  <c r="C17" i="21"/>
  <c r="C18" i="21"/>
  <c r="C19" i="21"/>
  <c r="C20" i="21"/>
  <c r="C21" i="21"/>
  <c r="C22" i="21"/>
  <c r="C23" i="21"/>
  <c r="C24" i="21"/>
  <c r="C25" i="21"/>
  <c r="C26" i="21"/>
  <c r="AC180" i="12"/>
  <c r="Y181" i="12" s="1"/>
  <c r="AM68" i="12"/>
  <c r="W190" i="12"/>
  <c r="AD10" i="12"/>
  <c r="AE10" i="12" s="1"/>
  <c r="AF10" i="12" s="1"/>
  <c r="M192" i="12"/>
  <c r="N191" i="12"/>
  <c r="T191" i="12" s="1"/>
  <c r="W191" i="12" s="1"/>
  <c r="AH113" i="48" l="1"/>
  <c r="Q113" i="48" s="1"/>
  <c r="AL113" i="48"/>
  <c r="AF114" i="48" s="1"/>
  <c r="T230" i="48"/>
  <c r="AC88" i="48"/>
  <c r="AD88" i="48" s="1"/>
  <c r="U88" i="48"/>
  <c r="J232" i="48"/>
  <c r="L231" i="48"/>
  <c r="M231" i="48" s="1"/>
  <c r="K231" i="48" s="1"/>
  <c r="X89" i="48"/>
  <c r="N89" i="48" s="1"/>
  <c r="AQ239" i="48"/>
  <c r="AR238" i="48"/>
  <c r="G24" i="21"/>
  <c r="H24" i="21"/>
  <c r="G12" i="21"/>
  <c r="H12" i="21"/>
  <c r="H23" i="21"/>
  <c r="G23" i="21"/>
  <c r="G19" i="21"/>
  <c r="H19" i="21"/>
  <c r="H15" i="21"/>
  <c r="G15" i="21"/>
  <c r="H11" i="21"/>
  <c r="G11" i="21"/>
  <c r="AP66" i="21"/>
  <c r="AQ66" i="21"/>
  <c r="AJ67" i="21" s="1"/>
  <c r="G16" i="21"/>
  <c r="H16" i="21"/>
  <c r="G26" i="21"/>
  <c r="H26" i="21"/>
  <c r="H22" i="21"/>
  <c r="G22" i="21"/>
  <c r="H18" i="21"/>
  <c r="G18" i="21"/>
  <c r="H14" i="21"/>
  <c r="G14" i="21"/>
  <c r="AE179" i="21"/>
  <c r="AF179" i="21" s="1"/>
  <c r="Y180" i="21"/>
  <c r="AC180" i="21" s="1"/>
  <c r="H20" i="21"/>
  <c r="G20" i="21"/>
  <c r="G25" i="21"/>
  <c r="H25" i="21"/>
  <c r="G21" i="21"/>
  <c r="H21" i="21"/>
  <c r="H17" i="21"/>
  <c r="G17" i="21"/>
  <c r="G13" i="21"/>
  <c r="H13" i="21"/>
  <c r="AC181" i="12"/>
  <c r="Y182" i="12" s="1"/>
  <c r="AO68" i="12"/>
  <c r="AQ68" i="12" s="1"/>
  <c r="AN68" i="12"/>
  <c r="AD11" i="12"/>
  <c r="AE11" i="12" s="1"/>
  <c r="AF11" i="12" s="1"/>
  <c r="M193" i="12"/>
  <c r="N192" i="12"/>
  <c r="T192" i="12" s="1"/>
  <c r="AI113" i="48" l="1"/>
  <c r="AG114" i="48"/>
  <c r="P114" i="48" s="1"/>
  <c r="AH114" i="48"/>
  <c r="AL114" i="48" s="1"/>
  <c r="AF115" i="48" s="1"/>
  <c r="AP88" i="48"/>
  <c r="T231" i="48"/>
  <c r="J233" i="48"/>
  <c r="L232" i="48"/>
  <c r="M232" i="48" s="1"/>
  <c r="K232" i="48" s="1"/>
  <c r="Y89" i="48"/>
  <c r="O89" i="48" s="1"/>
  <c r="AO89" i="48"/>
  <c r="R89" i="48" s="1"/>
  <c r="AN89" i="48"/>
  <c r="AQ240" i="48"/>
  <c r="AR239" i="48"/>
  <c r="AE180" i="21"/>
  <c r="AF180" i="21" s="1"/>
  <c r="Y181" i="21"/>
  <c r="AC181" i="21" s="1"/>
  <c r="AM67" i="21"/>
  <c r="AC182" i="12"/>
  <c r="Y183" i="12" s="1"/>
  <c r="AJ69" i="12"/>
  <c r="AP68" i="12"/>
  <c r="W192" i="12"/>
  <c r="AD12" i="12"/>
  <c r="AE12" i="12" s="1"/>
  <c r="AF12" i="12" s="1"/>
  <c r="M194" i="12"/>
  <c r="N194" i="12" s="1"/>
  <c r="T194" i="12" s="1"/>
  <c r="N193" i="12"/>
  <c r="T193" i="12" s="1"/>
  <c r="W193" i="12" s="1"/>
  <c r="V113" i="48" l="1"/>
  <c r="AJ113" i="48"/>
  <c r="AK113" i="48" s="1"/>
  <c r="AG115" i="48"/>
  <c r="P115" i="48" s="1"/>
  <c r="AH115" i="48"/>
  <c r="Q114" i="48"/>
  <c r="AI114" i="48"/>
  <c r="S88" i="48"/>
  <c r="T232" i="48"/>
  <c r="J234" i="48"/>
  <c r="L233" i="48"/>
  <c r="M233" i="48" s="1"/>
  <c r="K233" i="48" s="1"/>
  <c r="AB89" i="48"/>
  <c r="AE89" i="48"/>
  <c r="W90" i="48" s="1"/>
  <c r="AQ241" i="48"/>
  <c r="AR240" i="48"/>
  <c r="AO67" i="21"/>
  <c r="AN67" i="21"/>
  <c r="AE181" i="21"/>
  <c r="AF181" i="21" s="1"/>
  <c r="Y182" i="21"/>
  <c r="AC182" i="21" s="1"/>
  <c r="AC183" i="12"/>
  <c r="Y184" i="12" s="1"/>
  <c r="AM69" i="12"/>
  <c r="C13" i="12"/>
  <c r="C26" i="12"/>
  <c r="G11" i="12"/>
  <c r="C12" i="12"/>
  <c r="C14" i="12"/>
  <c r="C15" i="12"/>
  <c r="C16" i="12"/>
  <c r="C17" i="12"/>
  <c r="C18" i="12"/>
  <c r="C19" i="12"/>
  <c r="C20" i="12"/>
  <c r="C21" i="12"/>
  <c r="C22" i="12"/>
  <c r="C23" i="12"/>
  <c r="C24" i="12"/>
  <c r="C25" i="12"/>
  <c r="W194" i="12"/>
  <c r="AD13" i="12"/>
  <c r="AE13" i="12" s="1"/>
  <c r="AF13" i="12" s="1"/>
  <c r="V114" i="48" l="1"/>
  <c r="AJ114" i="48"/>
  <c r="AK114" i="48" s="1"/>
  <c r="AI115" i="48"/>
  <c r="AL115" i="48"/>
  <c r="AF116" i="48" s="1"/>
  <c r="Q115" i="48"/>
  <c r="T233" i="48"/>
  <c r="AC89" i="48"/>
  <c r="AD89" i="48" s="1"/>
  <c r="U89" i="48"/>
  <c r="J235" i="48"/>
  <c r="L234" i="48"/>
  <c r="M234" i="48" s="1"/>
  <c r="K234" i="48" s="1"/>
  <c r="X90" i="48"/>
  <c r="N90" i="48" s="1"/>
  <c r="AQ242" i="48"/>
  <c r="AR241" i="48"/>
  <c r="AE182" i="21"/>
  <c r="AF182" i="21" s="1"/>
  <c r="Y183" i="21"/>
  <c r="AC183" i="21" s="1"/>
  <c r="AP67" i="21"/>
  <c r="AQ67" i="21"/>
  <c r="AJ68" i="21" s="1"/>
  <c r="H23" i="12"/>
  <c r="H19" i="12"/>
  <c r="H15" i="12"/>
  <c r="H26" i="12"/>
  <c r="H22" i="12"/>
  <c r="H18" i="12"/>
  <c r="H14" i="12"/>
  <c r="H13" i="12"/>
  <c r="H25" i="12"/>
  <c r="H21" i="12"/>
  <c r="H17" i="12"/>
  <c r="H12" i="12"/>
  <c r="H24" i="12"/>
  <c r="H20" i="12"/>
  <c r="H16" i="12"/>
  <c r="G23" i="12"/>
  <c r="G13" i="12"/>
  <c r="G15" i="12"/>
  <c r="G21" i="12"/>
  <c r="G17" i="12"/>
  <c r="G19" i="12"/>
  <c r="G20" i="12"/>
  <c r="G16" i="12"/>
  <c r="AC184" i="12"/>
  <c r="Y185" i="12" s="1"/>
  <c r="H8" i="13"/>
  <c r="J8" i="13" s="1"/>
  <c r="AO69" i="12"/>
  <c r="AQ69" i="12" s="1"/>
  <c r="AN69" i="12"/>
  <c r="J6" i="13"/>
  <c r="H10" i="13"/>
  <c r="J10" i="13" s="1"/>
  <c r="H15" i="13"/>
  <c r="J15" i="13" s="1"/>
  <c r="H16" i="13"/>
  <c r="J16" i="13" s="1"/>
  <c r="H11" i="13"/>
  <c r="J11" i="13" s="1"/>
  <c r="H12" i="13"/>
  <c r="J12" i="13" s="1"/>
  <c r="H14" i="13"/>
  <c r="J14" i="13" s="1"/>
  <c r="H18" i="13"/>
  <c r="J18" i="13" s="1"/>
  <c r="H13" i="13"/>
  <c r="J13" i="13" s="1"/>
  <c r="G18" i="12"/>
  <c r="H20" i="13"/>
  <c r="J20" i="13" s="1"/>
  <c r="G25" i="12"/>
  <c r="H21" i="13"/>
  <c r="J21" i="13" s="1"/>
  <c r="G26" i="12"/>
  <c r="H17" i="13"/>
  <c r="J17" i="13" s="1"/>
  <c r="G22" i="12"/>
  <c r="H19" i="13"/>
  <c r="J19" i="13" s="1"/>
  <c r="G24" i="12"/>
  <c r="H7" i="13"/>
  <c r="J7" i="13" s="1"/>
  <c r="G12" i="12"/>
  <c r="H9" i="13"/>
  <c r="J9" i="13" s="1"/>
  <c r="G14" i="12"/>
  <c r="AD14" i="12"/>
  <c r="AE14" i="12" s="1"/>
  <c r="AF14" i="12" s="1"/>
  <c r="AG116" i="48" l="1"/>
  <c r="P116" i="48" s="1"/>
  <c r="AJ115" i="48"/>
  <c r="AK115" i="48" s="1"/>
  <c r="V115" i="48"/>
  <c r="AP89" i="48"/>
  <c r="T234" i="48"/>
  <c r="J236" i="48"/>
  <c r="L235" i="48"/>
  <c r="M235" i="48" s="1"/>
  <c r="K235" i="48" s="1"/>
  <c r="Y90" i="48"/>
  <c r="O90" i="48" s="1"/>
  <c r="AN90" i="48"/>
  <c r="AO90" i="48"/>
  <c r="R90" i="48" s="1"/>
  <c r="AQ243" i="48"/>
  <c r="AR242" i="48"/>
  <c r="AE183" i="21"/>
  <c r="AF183" i="21" s="1"/>
  <c r="Y184" i="21"/>
  <c r="AC184" i="21" s="1"/>
  <c r="AM68" i="21"/>
  <c r="AC185" i="12"/>
  <c r="Y186" i="12" s="1"/>
  <c r="AP69" i="12"/>
  <c r="AJ70" i="12"/>
  <c r="AD15" i="12"/>
  <c r="AE15" i="12" s="1"/>
  <c r="AF15" i="12" s="1"/>
  <c r="AH116" i="48" l="1"/>
  <c r="AL116" i="48" s="1"/>
  <c r="AF117" i="48" s="1"/>
  <c r="S89" i="48"/>
  <c r="T235" i="48"/>
  <c r="J237" i="48"/>
  <c r="L236" i="48"/>
  <c r="M236" i="48" s="1"/>
  <c r="K236" i="48" s="1"/>
  <c r="AB90" i="48"/>
  <c r="AE90" i="48"/>
  <c r="W91" i="48" s="1"/>
  <c r="AQ244" i="48"/>
  <c r="AR243" i="48"/>
  <c r="AE184" i="21"/>
  <c r="AF184" i="21" s="1"/>
  <c r="Y185" i="21"/>
  <c r="AC185" i="21" s="1"/>
  <c r="AO68" i="21"/>
  <c r="AN68" i="21"/>
  <c r="AC186" i="12"/>
  <c r="Y187" i="12" s="1"/>
  <c r="AM70" i="12"/>
  <c r="AD16" i="12"/>
  <c r="AE16" i="12" s="1"/>
  <c r="AF16" i="12" s="1"/>
  <c r="Q116" i="48" l="1"/>
  <c r="AI116" i="48"/>
  <c r="AG117" i="48"/>
  <c r="P117" i="48" s="1"/>
  <c r="AH117" i="48"/>
  <c r="AL117" i="48" s="1"/>
  <c r="AF118" i="48" s="1"/>
  <c r="T236" i="48"/>
  <c r="AC90" i="48"/>
  <c r="AD90" i="48" s="1"/>
  <c r="U90" i="48"/>
  <c r="L237" i="48"/>
  <c r="M237" i="48" s="1"/>
  <c r="K237" i="48" s="1"/>
  <c r="M29" i="50"/>
  <c r="J238" i="48"/>
  <c r="X91" i="48"/>
  <c r="N91" i="48" s="1"/>
  <c r="AQ245" i="48"/>
  <c r="AR244" i="48"/>
  <c r="AP68" i="21"/>
  <c r="AQ68" i="21"/>
  <c r="AJ69" i="21" s="1"/>
  <c r="Y186" i="21"/>
  <c r="AC186" i="21" s="1"/>
  <c r="AE185" i="21"/>
  <c r="AF185" i="21" s="1"/>
  <c r="AC187" i="12"/>
  <c r="Y188" i="12" s="1"/>
  <c r="AO70" i="12"/>
  <c r="AQ70" i="12" s="1"/>
  <c r="AN70" i="12"/>
  <c r="AD17" i="12"/>
  <c r="AE17" i="12" s="1"/>
  <c r="AF17" i="12" s="1"/>
  <c r="AJ116" i="48" l="1"/>
  <c r="AK116" i="48" s="1"/>
  <c r="V116" i="48"/>
  <c r="AG118" i="48"/>
  <c r="P118" i="48" s="1"/>
  <c r="Q117" i="48"/>
  <c r="AI117" i="48"/>
  <c r="AP90" i="48"/>
  <c r="S90" i="48" s="1"/>
  <c r="T237" i="48"/>
  <c r="J239" i="48"/>
  <c r="L238" i="48"/>
  <c r="M238" i="48" s="1"/>
  <c r="K238" i="48" s="1"/>
  <c r="Y91" i="48"/>
  <c r="O91" i="48" s="1"/>
  <c r="AO91" i="48"/>
  <c r="R91" i="48" s="1"/>
  <c r="AN91" i="48"/>
  <c r="AQ246" i="48"/>
  <c r="AR245" i="48"/>
  <c r="AM69" i="21"/>
  <c r="AE186" i="21"/>
  <c r="AF186" i="21" s="1"/>
  <c r="Y187" i="21"/>
  <c r="AC187" i="21" s="1"/>
  <c r="AC188" i="12"/>
  <c r="Y189" i="12" s="1"/>
  <c r="AJ71" i="12"/>
  <c r="AP70" i="12"/>
  <c r="AD18" i="12"/>
  <c r="AE18" i="12" s="1"/>
  <c r="AF18" i="12" s="1"/>
  <c r="AJ117" i="48" l="1"/>
  <c r="AK117" i="48" s="1"/>
  <c r="V117" i="48"/>
  <c r="AH118" i="48"/>
  <c r="T238" i="48"/>
  <c r="J240" i="48"/>
  <c r="L239" i="48"/>
  <c r="M239" i="48" s="1"/>
  <c r="K239" i="48" s="1"/>
  <c r="AB91" i="48"/>
  <c r="AE91" i="48"/>
  <c r="W92" i="48" s="1"/>
  <c r="AQ247" i="48"/>
  <c r="AR246" i="48"/>
  <c r="AE187" i="21"/>
  <c r="AF187" i="21" s="1"/>
  <c r="Y188" i="21"/>
  <c r="AC188" i="21" s="1"/>
  <c r="AO69" i="21"/>
  <c r="AN69" i="21"/>
  <c r="AC189" i="12"/>
  <c r="Y190" i="12" s="1"/>
  <c r="AM71" i="12"/>
  <c r="AD19" i="12"/>
  <c r="AE19" i="12" s="1"/>
  <c r="AF19" i="12" s="1"/>
  <c r="Q118" i="48" l="1"/>
  <c r="AL118" i="48"/>
  <c r="AF119" i="48" s="1"/>
  <c r="AI118" i="48"/>
  <c r="T239" i="48"/>
  <c r="AC91" i="48"/>
  <c r="AD91" i="48" s="1"/>
  <c r="U91" i="48"/>
  <c r="J241" i="48"/>
  <c r="L240" i="48"/>
  <c r="M240" i="48" s="1"/>
  <c r="K240" i="48" s="1"/>
  <c r="X92" i="48"/>
  <c r="N92" i="48" s="1"/>
  <c r="AQ248" i="48"/>
  <c r="AR247" i="48"/>
  <c r="AQ69" i="21"/>
  <c r="AJ70" i="21" s="1"/>
  <c r="AP69" i="21"/>
  <c r="AE188" i="21"/>
  <c r="AF188" i="21" s="1"/>
  <c r="Y189" i="21"/>
  <c r="AC189" i="21" s="1"/>
  <c r="AC190" i="12"/>
  <c r="Y191" i="12" s="1"/>
  <c r="AO71" i="12"/>
  <c r="AQ71" i="12" s="1"/>
  <c r="AN71" i="12"/>
  <c r="AD20" i="12"/>
  <c r="AE20" i="12" s="1"/>
  <c r="AF20" i="12" s="1"/>
  <c r="V118" i="48" l="1"/>
  <c r="AJ118" i="48"/>
  <c r="AK118" i="48" s="1"/>
  <c r="AG119" i="48"/>
  <c r="P119" i="48" s="1"/>
  <c r="AP91" i="48"/>
  <c r="S91" i="48" s="1"/>
  <c r="T240" i="48"/>
  <c r="J242" i="48"/>
  <c r="L241" i="48"/>
  <c r="M241" i="48" s="1"/>
  <c r="K241" i="48" s="1"/>
  <c r="Y92" i="48"/>
  <c r="O92" i="48" s="1"/>
  <c r="AN92" i="48"/>
  <c r="AO92" i="48"/>
  <c r="R92" i="48" s="1"/>
  <c r="AQ249" i="48"/>
  <c r="AR248" i="48"/>
  <c r="Y190" i="21"/>
  <c r="AC190" i="21" s="1"/>
  <c r="AE189" i="21"/>
  <c r="AF189" i="21" s="1"/>
  <c r="AM70" i="21"/>
  <c r="AC191" i="12"/>
  <c r="Y192" i="12" s="1"/>
  <c r="AP71" i="12"/>
  <c r="AJ72" i="12"/>
  <c r="AD21" i="12"/>
  <c r="AE21" i="12" s="1"/>
  <c r="AF21" i="12" s="1"/>
  <c r="AH119" i="48" l="1"/>
  <c r="T241" i="48"/>
  <c r="J243" i="48"/>
  <c r="L242" i="48"/>
  <c r="M242" i="48" s="1"/>
  <c r="K242" i="48" s="1"/>
  <c r="AB92" i="48"/>
  <c r="AE92" i="48"/>
  <c r="W93" i="48" s="1"/>
  <c r="AQ250" i="48"/>
  <c r="AR249" i="48"/>
  <c r="AO70" i="21"/>
  <c r="AN70" i="21"/>
  <c r="AE190" i="21"/>
  <c r="AF190" i="21" s="1"/>
  <c r="Y191" i="21"/>
  <c r="AC191" i="21" s="1"/>
  <c r="AC192" i="12"/>
  <c r="Y193" i="12" s="1"/>
  <c r="AM72" i="12"/>
  <c r="AD22" i="12"/>
  <c r="AE22" i="12" s="1"/>
  <c r="AF22" i="12" s="1"/>
  <c r="Q119" i="48" l="1"/>
  <c r="AL119" i="48"/>
  <c r="AF120" i="48" s="1"/>
  <c r="AI119" i="48"/>
  <c r="T242" i="48"/>
  <c r="AC92" i="48"/>
  <c r="AD92" i="48" s="1"/>
  <c r="U92" i="48"/>
  <c r="J244" i="48"/>
  <c r="L243" i="48"/>
  <c r="M243" i="48" s="1"/>
  <c r="K243" i="48" s="1"/>
  <c r="X93" i="48"/>
  <c r="N93" i="48" s="1"/>
  <c r="AQ251" i="48"/>
  <c r="AR250" i="48"/>
  <c r="AE191" i="21"/>
  <c r="AF191" i="21" s="1"/>
  <c r="Y192" i="21"/>
  <c r="AC192" i="21" s="1"/>
  <c r="AP70" i="21"/>
  <c r="AQ70" i="21"/>
  <c r="AJ71" i="21" s="1"/>
  <c r="AC193" i="12"/>
  <c r="Y194" i="12" s="1"/>
  <c r="AO72" i="12"/>
  <c r="AQ72" i="12" s="1"/>
  <c r="AN72" i="12"/>
  <c r="AD23" i="12"/>
  <c r="AE23" i="12" s="1"/>
  <c r="AF23" i="12" s="1"/>
  <c r="V119" i="48" l="1"/>
  <c r="AJ119" i="48"/>
  <c r="AK119" i="48" s="1"/>
  <c r="AG120" i="48"/>
  <c r="P120" i="48" s="1"/>
  <c r="AP92" i="48"/>
  <c r="S92" i="48" s="1"/>
  <c r="T243" i="48"/>
  <c r="J245" i="48"/>
  <c r="L244" i="48"/>
  <c r="M244" i="48" s="1"/>
  <c r="K244" i="48" s="1"/>
  <c r="Y93" i="48"/>
  <c r="O93" i="48" s="1"/>
  <c r="AO93" i="48"/>
  <c r="R93" i="48" s="1"/>
  <c r="AN93" i="48"/>
  <c r="AQ252" i="48"/>
  <c r="AR251" i="48"/>
  <c r="AE192" i="21"/>
  <c r="AF192" i="21" s="1"/>
  <c r="Y193" i="21"/>
  <c r="AC193" i="21" s="1"/>
  <c r="AM71" i="21"/>
  <c r="AC194" i="12"/>
  <c r="AJ73" i="12"/>
  <c r="AP72" i="12"/>
  <c r="AD24" i="12"/>
  <c r="AE24" i="12" s="1"/>
  <c r="AF24" i="12" s="1"/>
  <c r="AH120" i="48" l="1"/>
  <c r="T244" i="48"/>
  <c r="J246" i="48"/>
  <c r="L245" i="48"/>
  <c r="M245" i="48" s="1"/>
  <c r="K245" i="48" s="1"/>
  <c r="AB93" i="48"/>
  <c r="AE93" i="48"/>
  <c r="W94" i="48" s="1"/>
  <c r="AQ253" i="48"/>
  <c r="AR252" i="48"/>
  <c r="Y194" i="21"/>
  <c r="AC194" i="21" s="1"/>
  <c r="AE194" i="21" s="1"/>
  <c r="AF194" i="21" s="1"/>
  <c r="AE193" i="21"/>
  <c r="AF193" i="21" s="1"/>
  <c r="AO71" i="21"/>
  <c r="AN71" i="21"/>
  <c r="AM73" i="12"/>
  <c r="AD25" i="12"/>
  <c r="AE25" i="12" s="1"/>
  <c r="AF25" i="12" s="1"/>
  <c r="Q120" i="48" l="1"/>
  <c r="AL120" i="48"/>
  <c r="AF121" i="48" s="1"/>
  <c r="AI120" i="48"/>
  <c r="T245" i="48"/>
  <c r="AC93" i="48"/>
  <c r="AD93" i="48" s="1"/>
  <c r="U93" i="48"/>
  <c r="J247" i="48"/>
  <c r="L246" i="48"/>
  <c r="M246" i="48" s="1"/>
  <c r="K246" i="48" s="1"/>
  <c r="X94" i="48"/>
  <c r="N94" i="48" s="1"/>
  <c r="AQ254" i="48"/>
  <c r="AR253" i="48"/>
  <c r="AP71" i="21"/>
  <c r="AQ71" i="21"/>
  <c r="AJ72" i="21" s="1"/>
  <c r="AO73" i="12"/>
  <c r="AQ73" i="12" s="1"/>
  <c r="AN73" i="12"/>
  <c r="AD26" i="12"/>
  <c r="AE26" i="12" s="1"/>
  <c r="AF26" i="12" s="1"/>
  <c r="V120" i="48" l="1"/>
  <c r="AJ120" i="48"/>
  <c r="AK120" i="48" s="1"/>
  <c r="AG121" i="48"/>
  <c r="P121" i="48" s="1"/>
  <c r="AP93" i="48"/>
  <c r="S93" i="48" s="1"/>
  <c r="T246" i="48"/>
  <c r="L247" i="48"/>
  <c r="M247" i="48" s="1"/>
  <c r="K247" i="48" s="1"/>
  <c r="M30" i="50"/>
  <c r="J248" i="48"/>
  <c r="Y94" i="48"/>
  <c r="O94" i="48" s="1"/>
  <c r="AN94" i="48"/>
  <c r="AO94" i="48"/>
  <c r="R94" i="48" s="1"/>
  <c r="AQ255" i="48"/>
  <c r="AR254" i="48"/>
  <c r="AM72" i="21"/>
  <c r="AP73" i="12"/>
  <c r="AJ74" i="12"/>
  <c r="AD27" i="12"/>
  <c r="AE27" i="12" s="1"/>
  <c r="AF27" i="12" s="1"/>
  <c r="AH121" i="48" l="1"/>
  <c r="T247" i="48"/>
  <c r="J249" i="48"/>
  <c r="L248" i="48"/>
  <c r="M248" i="48" s="1"/>
  <c r="K248" i="48" s="1"/>
  <c r="AB94" i="48"/>
  <c r="AE94" i="48"/>
  <c r="W95" i="48" s="1"/>
  <c r="AQ256" i="48"/>
  <c r="AR255" i="48"/>
  <c r="AO72" i="21"/>
  <c r="AN72" i="21"/>
  <c r="AM74" i="12"/>
  <c r="AD28" i="12"/>
  <c r="AE28" i="12" s="1"/>
  <c r="AF28" i="12" s="1"/>
  <c r="AL121" i="48" l="1"/>
  <c r="AF122" i="48" s="1"/>
  <c r="Q121" i="48"/>
  <c r="AI121" i="48"/>
  <c r="T248" i="48"/>
  <c r="AC94" i="48"/>
  <c r="AD94" i="48" s="1"/>
  <c r="U94" i="48"/>
  <c r="J250" i="48"/>
  <c r="L249" i="48"/>
  <c r="M249" i="48" s="1"/>
  <c r="K249" i="48" s="1"/>
  <c r="X95" i="48"/>
  <c r="N95" i="48" s="1"/>
  <c r="AQ257" i="48"/>
  <c r="AR256" i="48"/>
  <c r="AQ72" i="21"/>
  <c r="AJ73" i="21" s="1"/>
  <c r="AP72" i="21"/>
  <c r="AO74" i="12"/>
  <c r="AQ74" i="12" s="1"/>
  <c r="AN74" i="12"/>
  <c r="AD29" i="12"/>
  <c r="AE29" i="12" s="1"/>
  <c r="AF29" i="12" s="1"/>
  <c r="AJ121" i="48" l="1"/>
  <c r="AK121" i="48" s="1"/>
  <c r="V121" i="48"/>
  <c r="AG122" i="48"/>
  <c r="P122" i="48" s="1"/>
  <c r="AP94" i="48"/>
  <c r="T249" i="48"/>
  <c r="J251" i="48"/>
  <c r="L250" i="48"/>
  <c r="M250" i="48" s="1"/>
  <c r="K250" i="48" s="1"/>
  <c r="Y95" i="48"/>
  <c r="O95" i="48" s="1"/>
  <c r="AO95" i="48"/>
  <c r="R95" i="48" s="1"/>
  <c r="AN95" i="48"/>
  <c r="AQ258" i="48"/>
  <c r="AR257" i="48"/>
  <c r="AM73" i="21"/>
  <c r="AP74" i="12"/>
  <c r="AJ75" i="12"/>
  <c r="AD30" i="12"/>
  <c r="AE30" i="12" s="1"/>
  <c r="AF30" i="12" s="1"/>
  <c r="AH122" i="48" l="1"/>
  <c r="S94" i="48"/>
  <c r="T250" i="48"/>
  <c r="J252" i="48"/>
  <c r="L251" i="48"/>
  <c r="M251" i="48" s="1"/>
  <c r="K251" i="48" s="1"/>
  <c r="AB95" i="48"/>
  <c r="AE95" i="48"/>
  <c r="W96" i="48" s="1"/>
  <c r="AQ259" i="48"/>
  <c r="AR258" i="48"/>
  <c r="AO73" i="21"/>
  <c r="AN73" i="21"/>
  <c r="AM75" i="12"/>
  <c r="AD31" i="12"/>
  <c r="AE31" i="12" s="1"/>
  <c r="AF31" i="12" s="1"/>
  <c r="Q122" i="48" l="1"/>
  <c r="AL122" i="48"/>
  <c r="AF123" i="48" s="1"/>
  <c r="AI122" i="48"/>
  <c r="T251" i="48"/>
  <c r="AC95" i="48"/>
  <c r="AD95" i="48" s="1"/>
  <c r="U95" i="48"/>
  <c r="J253" i="48"/>
  <c r="L252" i="48"/>
  <c r="M252" i="48" s="1"/>
  <c r="K252" i="48" s="1"/>
  <c r="X96" i="48"/>
  <c r="N96" i="48" s="1"/>
  <c r="AQ260" i="48"/>
  <c r="AR259" i="48"/>
  <c r="AP73" i="21"/>
  <c r="AQ73" i="21"/>
  <c r="AJ74" i="21" s="1"/>
  <c r="AO75" i="12"/>
  <c r="AQ75" i="12" s="1"/>
  <c r="AN75" i="12"/>
  <c r="AD32" i="12"/>
  <c r="AE32" i="12" s="1"/>
  <c r="AF32" i="12" s="1"/>
  <c r="AJ122" i="48" l="1"/>
  <c r="AK122" i="48" s="1"/>
  <c r="V122" i="48"/>
  <c r="AG123" i="48"/>
  <c r="P123" i="48" s="1"/>
  <c r="AP95" i="48"/>
  <c r="T252" i="48"/>
  <c r="J254" i="48"/>
  <c r="L253" i="48"/>
  <c r="M253" i="48" s="1"/>
  <c r="K253" i="48" s="1"/>
  <c r="Y96" i="48"/>
  <c r="O96" i="48" s="1"/>
  <c r="AN96" i="48"/>
  <c r="AO96" i="48"/>
  <c r="R96" i="48" s="1"/>
  <c r="AQ261" i="48"/>
  <c r="AR260" i="48"/>
  <c r="AM74" i="21"/>
  <c r="AP75" i="12"/>
  <c r="AJ76" i="12"/>
  <c r="AD33" i="12"/>
  <c r="AE33" i="12" s="1"/>
  <c r="AF33" i="12" s="1"/>
  <c r="AH123" i="48" l="1"/>
  <c r="S95" i="48"/>
  <c r="T253" i="48"/>
  <c r="J255" i="48"/>
  <c r="L254" i="48"/>
  <c r="M254" i="48" s="1"/>
  <c r="K254" i="48" s="1"/>
  <c r="AB96" i="48"/>
  <c r="AE96" i="48"/>
  <c r="W97" i="48" s="1"/>
  <c r="AQ262" i="48"/>
  <c r="AR261" i="48"/>
  <c r="AO74" i="21"/>
  <c r="AN74" i="21"/>
  <c r="AM76" i="12"/>
  <c r="AD34" i="12"/>
  <c r="AE34" i="12" s="1"/>
  <c r="AF34" i="12" s="1"/>
  <c r="Q123" i="48" l="1"/>
  <c r="AL123" i="48"/>
  <c r="AF124" i="48" s="1"/>
  <c r="AI123" i="48"/>
  <c r="T254" i="48"/>
  <c r="AC96" i="48"/>
  <c r="AD96" i="48" s="1"/>
  <c r="U96" i="48"/>
  <c r="J256" i="48"/>
  <c r="L255" i="48"/>
  <c r="M255" i="48" s="1"/>
  <c r="K255" i="48" s="1"/>
  <c r="X97" i="48"/>
  <c r="N97" i="48" s="1"/>
  <c r="AQ263" i="48"/>
  <c r="AR262" i="48"/>
  <c r="AQ74" i="21"/>
  <c r="AJ75" i="21" s="1"/>
  <c r="AP74" i="21"/>
  <c r="AO76" i="12"/>
  <c r="AQ76" i="12" s="1"/>
  <c r="AN76" i="12"/>
  <c r="AD35" i="12"/>
  <c r="AE35" i="12" s="1"/>
  <c r="AF35" i="12" s="1"/>
  <c r="AJ123" i="48" l="1"/>
  <c r="AK123" i="48" s="1"/>
  <c r="V123" i="48"/>
  <c r="AG124" i="48"/>
  <c r="P124" i="48" s="1"/>
  <c r="AP96" i="48"/>
  <c r="T255" i="48"/>
  <c r="J257" i="48"/>
  <c r="L256" i="48"/>
  <c r="M256" i="48" s="1"/>
  <c r="K256" i="48" s="1"/>
  <c r="Y97" i="48"/>
  <c r="O97" i="48" s="1"/>
  <c r="AO97" i="48"/>
  <c r="R97" i="48" s="1"/>
  <c r="AN97" i="48"/>
  <c r="AQ264" i="48"/>
  <c r="AR263" i="48"/>
  <c r="AM75" i="21"/>
  <c r="AP76" i="12"/>
  <c r="AJ77" i="12"/>
  <c r="AD36" i="12"/>
  <c r="AE36" i="12" s="1"/>
  <c r="AF36" i="12" s="1"/>
  <c r="AH124" i="48" l="1"/>
  <c r="S96" i="48"/>
  <c r="T256" i="48"/>
  <c r="L257" i="48"/>
  <c r="M257" i="48" s="1"/>
  <c r="K257" i="48" s="1"/>
  <c r="J258" i="48"/>
  <c r="M31" i="50"/>
  <c r="AB97" i="48"/>
  <c r="AE97" i="48"/>
  <c r="W98" i="48" s="1"/>
  <c r="AQ265" i="48"/>
  <c r="AR264" i="48"/>
  <c r="AO75" i="21"/>
  <c r="AN75" i="21"/>
  <c r="AM77" i="12"/>
  <c r="AD37" i="12"/>
  <c r="AE37" i="12" s="1"/>
  <c r="AF37" i="12" s="1"/>
  <c r="Q124" i="48" l="1"/>
  <c r="AL124" i="48"/>
  <c r="AF125" i="48" s="1"/>
  <c r="AI124" i="48"/>
  <c r="T257" i="48"/>
  <c r="AC97" i="48"/>
  <c r="AD97" i="48" s="1"/>
  <c r="U97" i="48"/>
  <c r="J259" i="48"/>
  <c r="L258" i="48"/>
  <c r="M258" i="48" s="1"/>
  <c r="K258" i="48" s="1"/>
  <c r="X98" i="48"/>
  <c r="N98" i="48" s="1"/>
  <c r="AQ266" i="48"/>
  <c r="AR265" i="48"/>
  <c r="AP75" i="21"/>
  <c r="AQ75" i="21"/>
  <c r="AJ76" i="21" s="1"/>
  <c r="AO77" i="12"/>
  <c r="AQ77" i="12" s="1"/>
  <c r="AN77" i="12"/>
  <c r="AD38" i="12"/>
  <c r="AE38" i="12" s="1"/>
  <c r="AF38" i="12" s="1"/>
  <c r="V124" i="48" l="1"/>
  <c r="AJ124" i="48"/>
  <c r="AK124" i="48" s="1"/>
  <c r="AG125" i="48"/>
  <c r="P125" i="48" s="1"/>
  <c r="AP97" i="48"/>
  <c r="T258" i="48"/>
  <c r="J260" i="48"/>
  <c r="L259" i="48"/>
  <c r="M259" i="48" s="1"/>
  <c r="K259" i="48" s="1"/>
  <c r="Y98" i="48"/>
  <c r="O98" i="48" s="1"/>
  <c r="AN98" i="48"/>
  <c r="AO98" i="48"/>
  <c r="R98" i="48" s="1"/>
  <c r="AQ267" i="48"/>
  <c r="AR266" i="48"/>
  <c r="AM76" i="21"/>
  <c r="AP77" i="12"/>
  <c r="AJ78" i="12"/>
  <c r="AD39" i="12"/>
  <c r="AE39" i="12" s="1"/>
  <c r="AF39" i="12" s="1"/>
  <c r="AH125" i="48" l="1"/>
  <c r="S97" i="48"/>
  <c r="T259" i="48"/>
  <c r="J261" i="48"/>
  <c r="L260" i="48"/>
  <c r="M260" i="48" s="1"/>
  <c r="K260" i="48" s="1"/>
  <c r="AB98" i="48"/>
  <c r="AE98" i="48"/>
  <c r="W99" i="48" s="1"/>
  <c r="AQ268" i="48"/>
  <c r="AR267" i="48"/>
  <c r="AO76" i="21"/>
  <c r="AN76" i="21"/>
  <c r="AM78" i="12"/>
  <c r="AD40" i="12"/>
  <c r="AE40" i="12" s="1"/>
  <c r="AF40" i="12" s="1"/>
  <c r="Q125" i="48" l="1"/>
  <c r="AL125" i="48"/>
  <c r="AF126" i="48" s="1"/>
  <c r="AI125" i="48"/>
  <c r="T260" i="48"/>
  <c r="AC98" i="48"/>
  <c r="AD98" i="48" s="1"/>
  <c r="U98" i="48"/>
  <c r="J262" i="48"/>
  <c r="L261" i="48"/>
  <c r="M261" i="48" s="1"/>
  <c r="K261" i="48" s="1"/>
  <c r="X99" i="48"/>
  <c r="N99" i="48" s="1"/>
  <c r="AQ269" i="48"/>
  <c r="AR268" i="48"/>
  <c r="AQ76" i="21"/>
  <c r="AJ77" i="21" s="1"/>
  <c r="AP76" i="21"/>
  <c r="AO78" i="12"/>
  <c r="AQ78" i="12" s="1"/>
  <c r="AN78" i="12"/>
  <c r="AD41" i="12"/>
  <c r="AE41" i="12" s="1"/>
  <c r="AF41" i="12" s="1"/>
  <c r="AJ125" i="48" l="1"/>
  <c r="AK125" i="48" s="1"/>
  <c r="V125" i="48"/>
  <c r="AG126" i="48"/>
  <c r="P126" i="48" s="1"/>
  <c r="AP98" i="48"/>
  <c r="T261" i="48"/>
  <c r="J263" i="48"/>
  <c r="L262" i="48"/>
  <c r="M262" i="48" s="1"/>
  <c r="K262" i="48" s="1"/>
  <c r="Y99" i="48"/>
  <c r="O99" i="48" s="1"/>
  <c r="AO99" i="48"/>
  <c r="R99" i="48" s="1"/>
  <c r="AN99" i="48"/>
  <c r="AQ270" i="48"/>
  <c r="AR269" i="48"/>
  <c r="AM77" i="21"/>
  <c r="AJ79" i="12"/>
  <c r="AP78" i="12"/>
  <c r="AD42" i="12"/>
  <c r="AE42" i="12" s="1"/>
  <c r="AF42" i="12" s="1"/>
  <c r="AH126" i="48" l="1"/>
  <c r="S98" i="48"/>
  <c r="T262" i="48"/>
  <c r="J264" i="48"/>
  <c r="L263" i="48"/>
  <c r="M263" i="48" s="1"/>
  <c r="K263" i="48" s="1"/>
  <c r="AB99" i="48"/>
  <c r="AE99" i="48"/>
  <c r="W100" i="48" s="1"/>
  <c r="AQ271" i="48"/>
  <c r="AR270" i="48"/>
  <c r="AO77" i="21"/>
  <c r="AN77" i="21"/>
  <c r="AM79" i="12"/>
  <c r="AD43" i="12"/>
  <c r="AE43" i="12" s="1"/>
  <c r="AF43" i="12" s="1"/>
  <c r="Q126" i="48" l="1"/>
  <c r="AL126" i="48"/>
  <c r="AF127" i="48" s="1"/>
  <c r="AI126" i="48"/>
  <c r="T263" i="48"/>
  <c r="AC99" i="48"/>
  <c r="AD99" i="48" s="1"/>
  <c r="U99" i="48"/>
  <c r="J265" i="48"/>
  <c r="L264" i="48"/>
  <c r="M264" i="48" s="1"/>
  <c r="K264" i="48" s="1"/>
  <c r="X100" i="48"/>
  <c r="N100" i="48" s="1"/>
  <c r="AQ272" i="48"/>
  <c r="AR271" i="48"/>
  <c r="AP77" i="21"/>
  <c r="AQ77" i="21"/>
  <c r="AJ78" i="21" s="1"/>
  <c r="AO79" i="12"/>
  <c r="AQ79" i="12" s="1"/>
  <c r="AN79" i="12"/>
  <c r="AD44" i="12"/>
  <c r="AE44" i="12" s="1"/>
  <c r="AF44" i="12" s="1"/>
  <c r="AE45" i="12"/>
  <c r="AJ126" i="48" l="1"/>
  <c r="AK126" i="48" s="1"/>
  <c r="V126" i="48"/>
  <c r="AG127" i="48"/>
  <c r="P127" i="48" s="1"/>
  <c r="AP99" i="48"/>
  <c r="T264" i="48"/>
  <c r="J266" i="48"/>
  <c r="L265" i="48"/>
  <c r="M265" i="48" s="1"/>
  <c r="K265" i="48" s="1"/>
  <c r="Y100" i="48"/>
  <c r="O100" i="48" s="1"/>
  <c r="AN100" i="48"/>
  <c r="AO100" i="48"/>
  <c r="R100" i="48" s="1"/>
  <c r="AQ273" i="48"/>
  <c r="AR272" i="48"/>
  <c r="AM78" i="21"/>
  <c r="AP79" i="12"/>
  <c r="AJ80" i="12"/>
  <c r="AF45" i="12"/>
  <c r="AE46" i="12"/>
  <c r="AH127" i="48" l="1"/>
  <c r="S99" i="48"/>
  <c r="T265" i="48"/>
  <c r="J267" i="48"/>
  <c r="L266" i="48"/>
  <c r="M266" i="48" s="1"/>
  <c r="K266" i="48" s="1"/>
  <c r="AB100" i="48"/>
  <c r="AE100" i="48"/>
  <c r="W101" i="48" s="1"/>
  <c r="AQ274" i="48"/>
  <c r="AR273" i="48"/>
  <c r="AO78" i="21"/>
  <c r="AN78" i="21"/>
  <c r="AM80" i="12"/>
  <c r="AF46" i="12"/>
  <c r="AE47" i="12"/>
  <c r="Q127" i="48" l="1"/>
  <c r="AL127" i="48"/>
  <c r="AF128" i="48" s="1"/>
  <c r="AI127" i="48"/>
  <c r="T266" i="48"/>
  <c r="AC100" i="48"/>
  <c r="AD100" i="48" s="1"/>
  <c r="U100" i="48"/>
  <c r="L267" i="48"/>
  <c r="M267" i="48" s="1"/>
  <c r="K267" i="48" s="1"/>
  <c r="M32" i="50"/>
  <c r="J268" i="48"/>
  <c r="X101" i="48"/>
  <c r="N101" i="48" s="1"/>
  <c r="AQ275" i="48"/>
  <c r="AR274" i="48"/>
  <c r="AP78" i="21"/>
  <c r="AQ78" i="21"/>
  <c r="AJ79" i="21" s="1"/>
  <c r="AO80" i="12"/>
  <c r="AQ80" i="12" s="1"/>
  <c r="AN80" i="12"/>
  <c r="AF47" i="12"/>
  <c r="AE48" i="12"/>
  <c r="AJ127" i="48" l="1"/>
  <c r="AK127" i="48" s="1"/>
  <c r="V127" i="48"/>
  <c r="AG128" i="48"/>
  <c r="P128" i="48" s="1"/>
  <c r="AP100" i="48"/>
  <c r="T267" i="48"/>
  <c r="J269" i="48"/>
  <c r="L268" i="48"/>
  <c r="M268" i="48" s="1"/>
  <c r="K268" i="48" s="1"/>
  <c r="Y101" i="48"/>
  <c r="O101" i="48" s="1"/>
  <c r="AO101" i="48"/>
  <c r="R101" i="48" s="1"/>
  <c r="AN101" i="48"/>
  <c r="AQ276" i="48"/>
  <c r="AR275" i="48"/>
  <c r="AM79" i="21"/>
  <c r="AJ81" i="12"/>
  <c r="AP80" i="12"/>
  <c r="AF48" i="12"/>
  <c r="AE49" i="12"/>
  <c r="AH128" i="48" l="1"/>
  <c r="S100" i="48"/>
  <c r="T268" i="48"/>
  <c r="J270" i="48"/>
  <c r="L269" i="48"/>
  <c r="M269" i="48" s="1"/>
  <c r="K269" i="48" s="1"/>
  <c r="AB101" i="48"/>
  <c r="AE101" i="48"/>
  <c r="W102" i="48" s="1"/>
  <c r="AQ277" i="48"/>
  <c r="AR276" i="48"/>
  <c r="AO79" i="21"/>
  <c r="AN79" i="21"/>
  <c r="AM81" i="12"/>
  <c r="AF49" i="12"/>
  <c r="AE50" i="12"/>
  <c r="Q128" i="48" l="1"/>
  <c r="AL128" i="48"/>
  <c r="AF129" i="48" s="1"/>
  <c r="AI128" i="48"/>
  <c r="T269" i="48"/>
  <c r="AC101" i="48"/>
  <c r="AD101" i="48" s="1"/>
  <c r="U101" i="48"/>
  <c r="J271" i="48"/>
  <c r="L270" i="48"/>
  <c r="M270" i="48" s="1"/>
  <c r="K270" i="48" s="1"/>
  <c r="X102" i="48"/>
  <c r="N102" i="48" s="1"/>
  <c r="AQ278" i="48"/>
  <c r="AR277" i="48"/>
  <c r="AP79" i="21"/>
  <c r="AQ79" i="21"/>
  <c r="AJ80" i="21" s="1"/>
  <c r="AO81" i="12"/>
  <c r="AQ81" i="12" s="1"/>
  <c r="AN81" i="12"/>
  <c r="AF50" i="12"/>
  <c r="AE51" i="12"/>
  <c r="V128" i="48" l="1"/>
  <c r="AJ128" i="48"/>
  <c r="AK128" i="48" s="1"/>
  <c r="AG129" i="48"/>
  <c r="P129" i="48" s="1"/>
  <c r="AP101" i="48"/>
  <c r="S101" i="48" s="1"/>
  <c r="T270" i="48"/>
  <c r="J272" i="48"/>
  <c r="L271" i="48"/>
  <c r="M271" i="48" s="1"/>
  <c r="K271" i="48" s="1"/>
  <c r="Y102" i="48"/>
  <c r="O102" i="48" s="1"/>
  <c r="AN102" i="48"/>
  <c r="AO102" i="48"/>
  <c r="R102" i="48" s="1"/>
  <c r="AQ279" i="48"/>
  <c r="AR278" i="48"/>
  <c r="AM80" i="21"/>
  <c r="AP81" i="12"/>
  <c r="AJ82" i="12"/>
  <c r="AF51" i="12"/>
  <c r="AE52" i="12"/>
  <c r="AH129" i="48" l="1"/>
  <c r="T271" i="48"/>
  <c r="J273" i="48"/>
  <c r="L272" i="48"/>
  <c r="M272" i="48" s="1"/>
  <c r="K272" i="48" s="1"/>
  <c r="AB102" i="48"/>
  <c r="AE102" i="48"/>
  <c r="W103" i="48" s="1"/>
  <c r="AQ280" i="48"/>
  <c r="AR279" i="48"/>
  <c r="AO80" i="21"/>
  <c r="AN80" i="21"/>
  <c r="AM82" i="12"/>
  <c r="AF52" i="12"/>
  <c r="AE53" i="12"/>
  <c r="Q129" i="48" l="1"/>
  <c r="AL129" i="48"/>
  <c r="AF130" i="48" s="1"/>
  <c r="AI129" i="48"/>
  <c r="T272" i="48"/>
  <c r="AC102" i="48"/>
  <c r="AD102" i="48" s="1"/>
  <c r="U102" i="48"/>
  <c r="J274" i="48"/>
  <c r="L273" i="48"/>
  <c r="M273" i="48" s="1"/>
  <c r="K273" i="48" s="1"/>
  <c r="X103" i="48"/>
  <c r="N103" i="48" s="1"/>
  <c r="AQ281" i="48"/>
  <c r="AR280" i="48"/>
  <c r="AP80" i="21"/>
  <c r="AQ80" i="21"/>
  <c r="AJ81" i="21" s="1"/>
  <c r="AO82" i="12"/>
  <c r="AQ82" i="12" s="1"/>
  <c r="AN82" i="12"/>
  <c r="AF53" i="12"/>
  <c r="AE54" i="12"/>
  <c r="V129" i="48" l="1"/>
  <c r="AJ129" i="48"/>
  <c r="AK129" i="48" s="1"/>
  <c r="AG130" i="48"/>
  <c r="P130" i="48" s="1"/>
  <c r="AP102" i="48"/>
  <c r="T273" i="48"/>
  <c r="J275" i="48"/>
  <c r="L274" i="48"/>
  <c r="M274" i="48" s="1"/>
  <c r="K274" i="48" s="1"/>
  <c r="Y103" i="48"/>
  <c r="O103" i="48" s="1"/>
  <c r="AO103" i="48"/>
  <c r="R103" i="48" s="1"/>
  <c r="AN103" i="48"/>
  <c r="AQ282" i="48"/>
  <c r="AR281" i="48"/>
  <c r="AM81" i="21"/>
  <c r="AJ83" i="12"/>
  <c r="AP82" i="12"/>
  <c r="AF54" i="12"/>
  <c r="AE55" i="12"/>
  <c r="AH130" i="48" l="1"/>
  <c r="S102" i="48"/>
  <c r="T274" i="48"/>
  <c r="J276" i="48"/>
  <c r="L275" i="48"/>
  <c r="M275" i="48" s="1"/>
  <c r="K275" i="48" s="1"/>
  <c r="AB103" i="48"/>
  <c r="AE103" i="48"/>
  <c r="W104" i="48" s="1"/>
  <c r="AQ283" i="48"/>
  <c r="AR282" i="48"/>
  <c r="AO81" i="21"/>
  <c r="AN81" i="21"/>
  <c r="AM83" i="12"/>
  <c r="AF55" i="12"/>
  <c r="AE56" i="12"/>
  <c r="Q130" i="48" l="1"/>
  <c r="AL130" i="48"/>
  <c r="AF131" i="48" s="1"/>
  <c r="AI130" i="48"/>
  <c r="T275" i="48"/>
  <c r="AC103" i="48"/>
  <c r="AD103" i="48" s="1"/>
  <c r="U103" i="48"/>
  <c r="J277" i="48"/>
  <c r="L276" i="48"/>
  <c r="M276" i="48" s="1"/>
  <c r="K276" i="48" s="1"/>
  <c r="X104" i="48"/>
  <c r="N104" i="48" s="1"/>
  <c r="AQ284" i="48"/>
  <c r="AR283" i="48"/>
  <c r="AQ81" i="21"/>
  <c r="AJ82" i="21" s="1"/>
  <c r="AP81" i="21"/>
  <c r="AO83" i="12"/>
  <c r="AQ83" i="12" s="1"/>
  <c r="AN83" i="12"/>
  <c r="AF56" i="12"/>
  <c r="AE57" i="12"/>
  <c r="AJ130" i="48" l="1"/>
  <c r="AK130" i="48" s="1"/>
  <c r="V130" i="48"/>
  <c r="AG131" i="48"/>
  <c r="P131" i="48" s="1"/>
  <c r="AP103" i="48"/>
  <c r="S103" i="48" s="1"/>
  <c r="T276" i="48"/>
  <c r="L277" i="48"/>
  <c r="M277" i="48" s="1"/>
  <c r="K277" i="48" s="1"/>
  <c r="M33" i="50"/>
  <c r="J278" i="48"/>
  <c r="Y104" i="48"/>
  <c r="O104" i="48" s="1"/>
  <c r="AN104" i="48"/>
  <c r="AO104" i="48"/>
  <c r="R104" i="48" s="1"/>
  <c r="AQ285" i="48"/>
  <c r="AR284" i="48"/>
  <c r="AM82" i="21"/>
  <c r="AP83" i="12"/>
  <c r="AJ84" i="12"/>
  <c r="AF57" i="12"/>
  <c r="AE58" i="12"/>
  <c r="AH131" i="48" l="1"/>
  <c r="T277" i="48"/>
  <c r="J279" i="48"/>
  <c r="L278" i="48"/>
  <c r="M278" i="48" s="1"/>
  <c r="K278" i="48" s="1"/>
  <c r="AB104" i="48"/>
  <c r="AE104" i="48"/>
  <c r="W105" i="48" s="1"/>
  <c r="AQ286" i="48"/>
  <c r="AR285" i="48"/>
  <c r="AO82" i="21"/>
  <c r="AN82" i="21"/>
  <c r="AM84" i="12"/>
  <c r="AF58" i="12"/>
  <c r="AE59" i="12"/>
  <c r="Q131" i="48" l="1"/>
  <c r="AL131" i="48"/>
  <c r="AF132" i="48" s="1"/>
  <c r="AI131" i="48"/>
  <c r="T278" i="48"/>
  <c r="AC104" i="48"/>
  <c r="AD104" i="48" s="1"/>
  <c r="U104" i="48"/>
  <c r="J280" i="48"/>
  <c r="L279" i="48"/>
  <c r="M279" i="48" s="1"/>
  <c r="K279" i="48" s="1"/>
  <c r="X105" i="48"/>
  <c r="N105" i="48" s="1"/>
  <c r="AQ287" i="48"/>
  <c r="AR286" i="48"/>
  <c r="AP82" i="21"/>
  <c r="AQ82" i="21"/>
  <c r="AJ83" i="21" s="1"/>
  <c r="AO84" i="12"/>
  <c r="AQ84" i="12" s="1"/>
  <c r="AN84" i="12"/>
  <c r="AF59" i="12"/>
  <c r="AE60" i="12"/>
  <c r="V131" i="48" l="1"/>
  <c r="AJ131" i="48"/>
  <c r="AK131" i="48" s="1"/>
  <c r="AG132" i="48"/>
  <c r="P132" i="48" s="1"/>
  <c r="AP104" i="48"/>
  <c r="S104" i="48" s="1"/>
  <c r="T279" i="48"/>
  <c r="J281" i="48"/>
  <c r="L280" i="48"/>
  <c r="M280" i="48" s="1"/>
  <c r="K280" i="48" s="1"/>
  <c r="Y105" i="48"/>
  <c r="O105" i="48" s="1"/>
  <c r="AO105" i="48"/>
  <c r="R105" i="48" s="1"/>
  <c r="AN105" i="48"/>
  <c r="AQ288" i="48"/>
  <c r="AR287" i="48"/>
  <c r="AM83" i="21"/>
  <c r="AJ85" i="12"/>
  <c r="AP84" i="12"/>
  <c r="AF60" i="12"/>
  <c r="AE61" i="12"/>
  <c r="AH132" i="48" l="1"/>
  <c r="T280" i="48"/>
  <c r="J282" i="48"/>
  <c r="L281" i="48"/>
  <c r="M281" i="48" s="1"/>
  <c r="K281" i="48" s="1"/>
  <c r="AB105" i="48"/>
  <c r="AE105" i="48"/>
  <c r="W106" i="48" s="1"/>
  <c r="AQ289" i="48"/>
  <c r="AR288" i="48"/>
  <c r="AO83" i="21"/>
  <c r="AN83" i="21"/>
  <c r="AM85" i="12"/>
  <c r="AF61" i="12"/>
  <c r="AE62" i="12"/>
  <c r="Q132" i="48" l="1"/>
  <c r="AI132" i="48"/>
  <c r="AL132" i="48"/>
  <c r="AF133" i="48" s="1"/>
  <c r="T281" i="48"/>
  <c r="AC105" i="48"/>
  <c r="AD105" i="48" s="1"/>
  <c r="U105" i="48"/>
  <c r="J283" i="48"/>
  <c r="L282" i="48"/>
  <c r="M282" i="48" s="1"/>
  <c r="K282" i="48" s="1"/>
  <c r="X106" i="48"/>
  <c r="N106" i="48" s="1"/>
  <c r="AQ290" i="48"/>
  <c r="AR289" i="48"/>
  <c r="AQ83" i="21"/>
  <c r="AJ84" i="21" s="1"/>
  <c r="AP83" i="21"/>
  <c r="AO85" i="12"/>
  <c r="AQ85" i="12" s="1"/>
  <c r="AN85" i="12"/>
  <c r="AF62" i="12"/>
  <c r="AE63" i="12"/>
  <c r="AG133" i="48" l="1"/>
  <c r="P133" i="48" s="1"/>
  <c r="AH133" i="48"/>
  <c r="AL133" i="48" s="1"/>
  <c r="AF134" i="48" s="1"/>
  <c r="V132" i="48"/>
  <c r="AJ132" i="48"/>
  <c r="AK132" i="48" s="1"/>
  <c r="AP105" i="48"/>
  <c r="S105" i="48" s="1"/>
  <c r="T282" i="48"/>
  <c r="J284" i="48"/>
  <c r="L283" i="48"/>
  <c r="M283" i="48" s="1"/>
  <c r="K283" i="48" s="1"/>
  <c r="Y106" i="48"/>
  <c r="O106" i="48" s="1"/>
  <c r="AN106" i="48"/>
  <c r="AO106" i="48"/>
  <c r="R106" i="48" s="1"/>
  <c r="AQ291" i="48"/>
  <c r="AR290" i="48"/>
  <c r="AM84" i="21"/>
  <c r="AP85" i="12"/>
  <c r="AJ86" i="12"/>
  <c r="AF63" i="12"/>
  <c r="AE64" i="12"/>
  <c r="AG134" i="48" l="1"/>
  <c r="P134" i="48" s="1"/>
  <c r="AH134" i="48"/>
  <c r="AI133" i="48"/>
  <c r="Q133" i="48"/>
  <c r="T283" i="48"/>
  <c r="J285" i="48"/>
  <c r="L284" i="48"/>
  <c r="M284" i="48" s="1"/>
  <c r="K284" i="48" s="1"/>
  <c r="AB106" i="48"/>
  <c r="AE106" i="48"/>
  <c r="W107" i="48" s="1"/>
  <c r="AQ292" i="48"/>
  <c r="AR291" i="48"/>
  <c r="AO84" i="21"/>
  <c r="AN84" i="21"/>
  <c r="AM86" i="12"/>
  <c r="AF64" i="12"/>
  <c r="AE65" i="12"/>
  <c r="AL134" i="48" l="1"/>
  <c r="AF135" i="48" s="1"/>
  <c r="Q134" i="48"/>
  <c r="V133" i="48"/>
  <c r="AJ133" i="48"/>
  <c r="AK133" i="48" s="1"/>
  <c r="AI134" i="48"/>
  <c r="T284" i="48"/>
  <c r="AC106" i="48"/>
  <c r="AD106" i="48" s="1"/>
  <c r="U106" i="48"/>
  <c r="J286" i="48"/>
  <c r="L285" i="48"/>
  <c r="M285" i="48" s="1"/>
  <c r="K285" i="48" s="1"/>
  <c r="X107" i="48"/>
  <c r="N107" i="48" s="1"/>
  <c r="AQ293" i="48"/>
  <c r="AR292" i="48"/>
  <c r="AP84" i="21"/>
  <c r="AQ84" i="21"/>
  <c r="AJ85" i="21" s="1"/>
  <c r="AO86" i="12"/>
  <c r="AQ86" i="12" s="1"/>
  <c r="AN86" i="12"/>
  <c r="AF65" i="12"/>
  <c r="AE66" i="12"/>
  <c r="AJ134" i="48" l="1"/>
  <c r="AK134" i="48" s="1"/>
  <c r="V134" i="48"/>
  <c r="AG135" i="48"/>
  <c r="P135" i="48" s="1"/>
  <c r="AP106" i="48"/>
  <c r="S106" i="48" s="1"/>
  <c r="T285" i="48"/>
  <c r="J287" i="48"/>
  <c r="L286" i="48"/>
  <c r="M286" i="48" s="1"/>
  <c r="K286" i="48" s="1"/>
  <c r="Y107" i="48"/>
  <c r="O107" i="48" s="1"/>
  <c r="AO107" i="48"/>
  <c r="R107" i="48" s="1"/>
  <c r="AN107" i="48"/>
  <c r="AQ294" i="48"/>
  <c r="AR293" i="48"/>
  <c r="AM85" i="21"/>
  <c r="AJ87" i="12"/>
  <c r="AP86" i="12"/>
  <c r="AF66" i="12"/>
  <c r="AE67" i="12"/>
  <c r="AH135" i="48" l="1"/>
  <c r="T286" i="48"/>
  <c r="L287" i="48"/>
  <c r="M287" i="48" s="1"/>
  <c r="K287" i="48" s="1"/>
  <c r="M34" i="50"/>
  <c r="J288" i="48"/>
  <c r="AB107" i="48"/>
  <c r="AE107" i="48"/>
  <c r="W108" i="48" s="1"/>
  <c r="AQ295" i="48"/>
  <c r="AR294" i="48"/>
  <c r="AO85" i="21"/>
  <c r="AN85" i="21"/>
  <c r="AM87" i="12"/>
  <c r="AF67" i="12"/>
  <c r="AE68" i="12"/>
  <c r="Q135" i="48" l="1"/>
  <c r="AL135" i="48"/>
  <c r="AF136" i="48" s="1"/>
  <c r="AI135" i="48"/>
  <c r="T287" i="48"/>
  <c r="AC107" i="48"/>
  <c r="AD107" i="48" s="1"/>
  <c r="U107" i="48"/>
  <c r="J289" i="48"/>
  <c r="L288" i="48"/>
  <c r="M288" i="48" s="1"/>
  <c r="K288" i="48" s="1"/>
  <c r="X108" i="48"/>
  <c r="N108" i="48" s="1"/>
  <c r="AQ296" i="48"/>
  <c r="AR295" i="48"/>
  <c r="AQ85" i="21"/>
  <c r="AJ86" i="21" s="1"/>
  <c r="AP85" i="21"/>
  <c r="AO87" i="12"/>
  <c r="AQ87" i="12" s="1"/>
  <c r="AN87" i="12"/>
  <c r="AF68" i="12"/>
  <c r="AE69" i="12"/>
  <c r="V135" i="48" l="1"/>
  <c r="AJ135" i="48"/>
  <c r="AK135" i="48" s="1"/>
  <c r="AG136" i="48"/>
  <c r="P136" i="48" s="1"/>
  <c r="AP107" i="48"/>
  <c r="T288" i="48"/>
  <c r="J290" i="48"/>
  <c r="L289" i="48"/>
  <c r="M289" i="48" s="1"/>
  <c r="K289" i="48" s="1"/>
  <c r="Y108" i="48"/>
  <c r="O108" i="48" s="1"/>
  <c r="AN108" i="48"/>
  <c r="AO108" i="48"/>
  <c r="R108" i="48" s="1"/>
  <c r="AQ297" i="48"/>
  <c r="AR296" i="48"/>
  <c r="AM86" i="21"/>
  <c r="AJ88" i="12"/>
  <c r="AP87" i="12"/>
  <c r="AF69" i="12"/>
  <c r="AE70" i="12"/>
  <c r="AH136" i="48" l="1"/>
  <c r="S107" i="48"/>
  <c r="T289" i="48"/>
  <c r="J291" i="48"/>
  <c r="L290" i="48"/>
  <c r="M290" i="48" s="1"/>
  <c r="K290" i="48" s="1"/>
  <c r="AB108" i="48"/>
  <c r="AE108" i="48"/>
  <c r="W109" i="48" s="1"/>
  <c r="AQ298" i="48"/>
  <c r="AR297" i="48"/>
  <c r="AO86" i="21"/>
  <c r="AN86" i="21"/>
  <c r="AM88" i="12"/>
  <c r="AF70" i="12"/>
  <c r="AE71" i="12"/>
  <c r="Q136" i="48" l="1"/>
  <c r="AL136" i="48"/>
  <c r="AF137" i="48" s="1"/>
  <c r="AI136" i="48"/>
  <c r="T290" i="48"/>
  <c r="AC108" i="48"/>
  <c r="AD108" i="48" s="1"/>
  <c r="U108" i="48"/>
  <c r="J292" i="48"/>
  <c r="L291" i="48"/>
  <c r="M291" i="48" s="1"/>
  <c r="K291" i="48" s="1"/>
  <c r="X109" i="48"/>
  <c r="N109" i="48" s="1"/>
  <c r="AQ299" i="48"/>
  <c r="AR298" i="48"/>
  <c r="AP86" i="21"/>
  <c r="AQ86" i="21"/>
  <c r="AJ87" i="21" s="1"/>
  <c r="AO88" i="12"/>
  <c r="AQ88" i="12" s="1"/>
  <c r="AN88" i="12"/>
  <c r="AF71" i="12"/>
  <c r="AE72" i="12"/>
  <c r="AJ136" i="48" l="1"/>
  <c r="AK136" i="48" s="1"/>
  <c r="V136" i="48"/>
  <c r="AG137" i="48"/>
  <c r="P137" i="48" s="1"/>
  <c r="AP108" i="48"/>
  <c r="S108" i="48" s="1"/>
  <c r="T291" i="48"/>
  <c r="J293" i="48"/>
  <c r="L292" i="48"/>
  <c r="M292" i="48" s="1"/>
  <c r="K292" i="48" s="1"/>
  <c r="Y109" i="48"/>
  <c r="O109" i="48" s="1"/>
  <c r="AO109" i="48"/>
  <c r="R109" i="48" s="1"/>
  <c r="AN109" i="48"/>
  <c r="AQ300" i="48"/>
  <c r="AR299" i="48"/>
  <c r="AM87" i="21"/>
  <c r="AJ89" i="12"/>
  <c r="AP88" i="12"/>
  <c r="AF72" i="12"/>
  <c r="AE73" i="12"/>
  <c r="AH137" i="48" l="1"/>
  <c r="T292" i="48"/>
  <c r="J294" i="48"/>
  <c r="L293" i="48"/>
  <c r="M293" i="48" s="1"/>
  <c r="K293" i="48" s="1"/>
  <c r="AB109" i="48"/>
  <c r="AE109" i="48"/>
  <c r="W110" i="48" s="1"/>
  <c r="AQ301" i="48"/>
  <c r="AR300" i="48"/>
  <c r="AO87" i="21"/>
  <c r="AN87" i="21"/>
  <c r="AM89" i="12"/>
  <c r="AF73" i="12"/>
  <c r="AE74" i="12"/>
  <c r="AL137" i="48" l="1"/>
  <c r="AF138" i="48" s="1"/>
  <c r="Q137" i="48"/>
  <c r="AI137" i="48"/>
  <c r="T293" i="48"/>
  <c r="AC109" i="48"/>
  <c r="AD109" i="48" s="1"/>
  <c r="U109" i="48"/>
  <c r="J295" i="48"/>
  <c r="L294" i="48"/>
  <c r="M294" i="48" s="1"/>
  <c r="K294" i="48" s="1"/>
  <c r="X110" i="48"/>
  <c r="N110" i="48" s="1"/>
  <c r="AQ302" i="48"/>
  <c r="AR301" i="48"/>
  <c r="AQ87" i="21"/>
  <c r="AJ88" i="21" s="1"/>
  <c r="AP87" i="21"/>
  <c r="AO89" i="12"/>
  <c r="AQ89" i="12" s="1"/>
  <c r="AN89" i="12"/>
  <c r="AF74" i="12"/>
  <c r="AE75" i="12"/>
  <c r="V137" i="48" l="1"/>
  <c r="AJ137" i="48"/>
  <c r="AK137" i="48" s="1"/>
  <c r="AG138" i="48"/>
  <c r="P138" i="48" s="1"/>
  <c r="AP109" i="48"/>
  <c r="T294" i="48"/>
  <c r="J296" i="48"/>
  <c r="L295" i="48"/>
  <c r="M295" i="48" s="1"/>
  <c r="K295" i="48" s="1"/>
  <c r="Y110" i="48"/>
  <c r="O110" i="48" s="1"/>
  <c r="AN110" i="48"/>
  <c r="AO110" i="48"/>
  <c r="R110" i="48" s="1"/>
  <c r="AQ303" i="48"/>
  <c r="AR302" i="48"/>
  <c r="AM88" i="21"/>
  <c r="AP89" i="12"/>
  <c r="AJ90" i="12"/>
  <c r="AF75" i="12"/>
  <c r="AE76" i="12"/>
  <c r="AH138" i="48" l="1"/>
  <c r="Q138" i="48" s="1"/>
  <c r="AL138" i="48"/>
  <c r="AF139" i="48" s="1"/>
  <c r="S109" i="48"/>
  <c r="T295" i="48"/>
  <c r="J297" i="48"/>
  <c r="L296" i="48"/>
  <c r="M296" i="48" s="1"/>
  <c r="K296" i="48" s="1"/>
  <c r="AB110" i="48"/>
  <c r="AE110" i="48"/>
  <c r="W111" i="48" s="1"/>
  <c r="AQ304" i="48"/>
  <c r="AR303" i="48"/>
  <c r="AO88" i="21"/>
  <c r="AN88" i="21"/>
  <c r="AM90" i="12"/>
  <c r="AF76" i="12"/>
  <c r="AE77" i="12"/>
  <c r="AI138" i="48" l="1"/>
  <c r="AG139" i="48"/>
  <c r="P139" i="48" s="1"/>
  <c r="AJ138" i="48"/>
  <c r="AK138" i="48" s="1"/>
  <c r="V138" i="48"/>
  <c r="T296" i="48"/>
  <c r="AC110" i="48"/>
  <c r="AD110" i="48" s="1"/>
  <c r="U110" i="48"/>
  <c r="L297" i="48"/>
  <c r="M297" i="48" s="1"/>
  <c r="K297" i="48" s="1"/>
  <c r="J298" i="48"/>
  <c r="M35" i="50"/>
  <c r="X111" i="48"/>
  <c r="N111" i="48" s="1"/>
  <c r="AQ305" i="48"/>
  <c r="AR304" i="48"/>
  <c r="AP88" i="21"/>
  <c r="AQ88" i="21"/>
  <c r="AJ89" i="21" s="1"/>
  <c r="AO90" i="12"/>
  <c r="AQ90" i="12" s="1"/>
  <c r="AN90" i="12"/>
  <c r="AF77" i="12"/>
  <c r="AE78" i="12"/>
  <c r="AH139" i="48" l="1"/>
  <c r="AL139" i="48" s="1"/>
  <c r="AF140" i="48" s="1"/>
  <c r="AP110" i="48"/>
  <c r="S110" i="48" s="1"/>
  <c r="T297" i="48"/>
  <c r="J299" i="48"/>
  <c r="L298" i="48"/>
  <c r="M298" i="48" s="1"/>
  <c r="K298" i="48" s="1"/>
  <c r="Y111" i="48"/>
  <c r="O111" i="48" s="1"/>
  <c r="AO111" i="48"/>
  <c r="R111" i="48" s="1"/>
  <c r="AN111" i="48"/>
  <c r="AQ306" i="48"/>
  <c r="AR305" i="48"/>
  <c r="AM89" i="21"/>
  <c r="AJ91" i="12"/>
  <c r="AP90" i="12"/>
  <c r="AF78" i="12"/>
  <c r="AE79" i="12"/>
  <c r="Q139" i="48" l="1"/>
  <c r="AI139" i="48"/>
  <c r="AG140" i="48"/>
  <c r="P140" i="48" s="1"/>
  <c r="T298" i="48"/>
  <c r="J300" i="48"/>
  <c r="L299" i="48"/>
  <c r="M299" i="48" s="1"/>
  <c r="K299" i="48" s="1"/>
  <c r="AB111" i="48"/>
  <c r="AE111" i="48"/>
  <c r="W112" i="48" s="1"/>
  <c r="AQ307" i="48"/>
  <c r="AR306" i="48"/>
  <c r="AO89" i="21"/>
  <c r="AN89" i="21"/>
  <c r="AM91" i="12"/>
  <c r="AF79" i="12"/>
  <c r="AE80" i="12"/>
  <c r="AJ139" i="48" l="1"/>
  <c r="AK139" i="48" s="1"/>
  <c r="V139" i="48"/>
  <c r="AH140" i="48"/>
  <c r="T299" i="48"/>
  <c r="AC111" i="48"/>
  <c r="AD111" i="48" s="1"/>
  <c r="U111" i="48"/>
  <c r="J301" i="48"/>
  <c r="L300" i="48"/>
  <c r="M300" i="48" s="1"/>
  <c r="K300" i="48" s="1"/>
  <c r="X112" i="48"/>
  <c r="N112" i="48" s="1"/>
  <c r="AQ308" i="48"/>
  <c r="AR307" i="48"/>
  <c r="AQ89" i="21"/>
  <c r="AJ90" i="21" s="1"/>
  <c r="AP89" i="21"/>
  <c r="AO91" i="12"/>
  <c r="AQ91" i="12" s="1"/>
  <c r="AN91" i="12"/>
  <c r="AF80" i="12"/>
  <c r="AE81" i="12"/>
  <c r="Q140" i="48" l="1"/>
  <c r="AI140" i="48"/>
  <c r="AL140" i="48"/>
  <c r="AF141" i="48" s="1"/>
  <c r="AP111" i="48"/>
  <c r="S111" i="48" s="1"/>
  <c r="T300" i="48"/>
  <c r="J302" i="48"/>
  <c r="L301" i="48"/>
  <c r="M301" i="48" s="1"/>
  <c r="K301" i="48" s="1"/>
  <c r="Y112" i="48"/>
  <c r="O112" i="48" s="1"/>
  <c r="AN112" i="48"/>
  <c r="AO112" i="48"/>
  <c r="R112" i="48" s="1"/>
  <c r="AQ309" i="48"/>
  <c r="AR308" i="48"/>
  <c r="AM90" i="21"/>
  <c r="AP91" i="12"/>
  <c r="AJ92" i="12"/>
  <c r="AF81" i="12"/>
  <c r="AE82" i="12"/>
  <c r="AG141" i="48" l="1"/>
  <c r="P141" i="48" s="1"/>
  <c r="V140" i="48"/>
  <c r="AJ140" i="48"/>
  <c r="AK140" i="48" s="1"/>
  <c r="T301" i="48"/>
  <c r="J303" i="48"/>
  <c r="L302" i="48"/>
  <c r="M302" i="48" s="1"/>
  <c r="K302" i="48" s="1"/>
  <c r="AB112" i="48"/>
  <c r="AE112" i="48"/>
  <c r="W113" i="48" s="1"/>
  <c r="AQ310" i="48"/>
  <c r="AR309" i="48"/>
  <c r="AO90" i="21"/>
  <c r="AN90" i="21"/>
  <c r="AM92" i="12"/>
  <c r="AF82" i="12"/>
  <c r="AE83" i="12"/>
  <c r="AH141" i="48" l="1"/>
  <c r="Q141" i="48" s="1"/>
  <c r="AL141" i="48"/>
  <c r="AF142" i="48" s="1"/>
  <c r="T302" i="48"/>
  <c r="AC112" i="48"/>
  <c r="AD112" i="48" s="1"/>
  <c r="U112" i="48"/>
  <c r="J304" i="48"/>
  <c r="L303" i="48"/>
  <c r="M303" i="48" s="1"/>
  <c r="K303" i="48" s="1"/>
  <c r="X113" i="48"/>
  <c r="N113" i="48" s="1"/>
  <c r="AQ311" i="48"/>
  <c r="AR310" i="48"/>
  <c r="AP90" i="21"/>
  <c r="AQ90" i="21"/>
  <c r="AJ91" i="21" s="1"/>
  <c r="AO92" i="12"/>
  <c r="AQ92" i="12" s="1"/>
  <c r="AN92" i="12"/>
  <c r="AF83" i="12"/>
  <c r="AE84" i="12"/>
  <c r="AI141" i="48" l="1"/>
  <c r="AG142" i="48"/>
  <c r="P142" i="48" s="1"/>
  <c r="AH142" i="48"/>
  <c r="AL142" i="48"/>
  <c r="AF143" i="48" s="1"/>
  <c r="AP112" i="48"/>
  <c r="T303" i="48"/>
  <c r="J305" i="48"/>
  <c r="L304" i="48"/>
  <c r="M304" i="48" s="1"/>
  <c r="K304" i="48" s="1"/>
  <c r="Y113" i="48"/>
  <c r="O113" i="48" s="1"/>
  <c r="AO113" i="48"/>
  <c r="R113" i="48" s="1"/>
  <c r="AN113" i="48"/>
  <c r="AQ312" i="48"/>
  <c r="AR311" i="48"/>
  <c r="AM91" i="21"/>
  <c r="AJ93" i="12"/>
  <c r="AP92" i="12"/>
  <c r="AF84" i="12"/>
  <c r="AE85" i="12"/>
  <c r="AJ141" i="48" l="1"/>
  <c r="AK141" i="48" s="1"/>
  <c r="V141" i="48"/>
  <c r="AG143" i="48"/>
  <c r="P143" i="48" s="1"/>
  <c r="AH143" i="48"/>
  <c r="Q142" i="48"/>
  <c r="AI142" i="48"/>
  <c r="S112" i="48"/>
  <c r="T304" i="48"/>
  <c r="J306" i="48"/>
  <c r="L305" i="48"/>
  <c r="M305" i="48" s="1"/>
  <c r="K305" i="48" s="1"/>
  <c r="AB113" i="48"/>
  <c r="AE113" i="48"/>
  <c r="W114" i="48" s="1"/>
  <c r="AQ313" i="48"/>
  <c r="AR312" i="48"/>
  <c r="AO91" i="21"/>
  <c r="AN91" i="21"/>
  <c r="AM93" i="12"/>
  <c r="AF85" i="12"/>
  <c r="AE86" i="12"/>
  <c r="AJ142" i="48" l="1"/>
  <c r="AK142" i="48" s="1"/>
  <c r="V142" i="48"/>
  <c r="AI143" i="48"/>
  <c r="AL143" i="48"/>
  <c r="AF144" i="48" s="1"/>
  <c r="Q143" i="48"/>
  <c r="T305" i="48"/>
  <c r="AC113" i="48"/>
  <c r="AD113" i="48" s="1"/>
  <c r="U113" i="48"/>
  <c r="J307" i="48"/>
  <c r="L306" i="48"/>
  <c r="M306" i="48" s="1"/>
  <c r="K306" i="48" s="1"/>
  <c r="X114" i="48"/>
  <c r="N114" i="48" s="1"/>
  <c r="AQ314" i="48"/>
  <c r="AR313" i="48"/>
  <c r="AQ91" i="21"/>
  <c r="AJ92" i="21" s="1"/>
  <c r="AP91" i="21"/>
  <c r="AO93" i="12"/>
  <c r="AQ93" i="12" s="1"/>
  <c r="AN93" i="12"/>
  <c r="AF86" i="12"/>
  <c r="AE87" i="12"/>
  <c r="AG144" i="48" l="1"/>
  <c r="P144" i="48" s="1"/>
  <c r="AH144" i="48"/>
  <c r="V143" i="48"/>
  <c r="AJ143" i="48"/>
  <c r="AK143" i="48" s="1"/>
  <c r="AP113" i="48"/>
  <c r="T306" i="48"/>
  <c r="J308" i="48"/>
  <c r="L307" i="48"/>
  <c r="M307" i="48" s="1"/>
  <c r="K307" i="48" s="1"/>
  <c r="Y114" i="48"/>
  <c r="O114" i="48" s="1"/>
  <c r="AN114" i="48"/>
  <c r="AO114" i="48"/>
  <c r="R114" i="48" s="1"/>
  <c r="AQ315" i="48"/>
  <c r="AR314" i="48"/>
  <c r="AM92" i="21"/>
  <c r="AP93" i="12"/>
  <c r="AJ94" i="12"/>
  <c r="AF87" i="12"/>
  <c r="AE88" i="12"/>
  <c r="AL144" i="48" l="1"/>
  <c r="AF145" i="48" s="1"/>
  <c r="Q144" i="48"/>
  <c r="AI144" i="48"/>
  <c r="S113" i="48"/>
  <c r="T307" i="48"/>
  <c r="J309" i="48"/>
  <c r="L308" i="48"/>
  <c r="M308" i="48" s="1"/>
  <c r="K308" i="48" s="1"/>
  <c r="AB114" i="48"/>
  <c r="AE114" i="48"/>
  <c r="W115" i="48" s="1"/>
  <c r="AQ316" i="48"/>
  <c r="AR315" i="48"/>
  <c r="AO92" i="21"/>
  <c r="AN92" i="21"/>
  <c r="AM94" i="12"/>
  <c r="AF88" i="12"/>
  <c r="AE89" i="12"/>
  <c r="AJ144" i="48" l="1"/>
  <c r="AK144" i="48" s="1"/>
  <c r="V144" i="48"/>
  <c r="AG145" i="48"/>
  <c r="P145" i="48" s="1"/>
  <c r="T308" i="48"/>
  <c r="AC114" i="48"/>
  <c r="AD114" i="48" s="1"/>
  <c r="U114" i="48"/>
  <c r="J310" i="48"/>
  <c r="L309" i="48"/>
  <c r="M309" i="48" s="1"/>
  <c r="K309" i="48" s="1"/>
  <c r="X115" i="48"/>
  <c r="N115" i="48" s="1"/>
  <c r="AQ317" i="48"/>
  <c r="AR316" i="48"/>
  <c r="AQ92" i="21"/>
  <c r="AJ93" i="21" s="1"/>
  <c r="AP92" i="21"/>
  <c r="AO94" i="12"/>
  <c r="AQ94" i="12" s="1"/>
  <c r="AN94" i="12"/>
  <c r="AF89" i="12"/>
  <c r="AE90" i="12"/>
  <c r="AH145" i="48" l="1"/>
  <c r="AP114" i="48"/>
  <c r="T309" i="48"/>
  <c r="J311" i="48"/>
  <c r="L310" i="48"/>
  <c r="M310" i="48" s="1"/>
  <c r="K310" i="48" s="1"/>
  <c r="Y115" i="48"/>
  <c r="O115" i="48" s="1"/>
  <c r="AO115" i="48"/>
  <c r="R115" i="48" s="1"/>
  <c r="AN115" i="48"/>
  <c r="AQ318" i="48"/>
  <c r="AR317" i="48"/>
  <c r="AM93" i="21"/>
  <c r="AJ95" i="12"/>
  <c r="AP94" i="12"/>
  <c r="AF90" i="12"/>
  <c r="AE91" i="12"/>
  <c r="Q145" i="48" l="1"/>
  <c r="AI145" i="48"/>
  <c r="AL145" i="48"/>
  <c r="AF146" i="48" s="1"/>
  <c r="S114" i="48"/>
  <c r="T310" i="48"/>
  <c r="J312" i="48"/>
  <c r="L311" i="48"/>
  <c r="M311" i="48" s="1"/>
  <c r="K311" i="48" s="1"/>
  <c r="AB115" i="48"/>
  <c r="AE115" i="48"/>
  <c r="W116" i="48" s="1"/>
  <c r="AQ319" i="48"/>
  <c r="AR318" i="48"/>
  <c r="AO93" i="21"/>
  <c r="AN93" i="21"/>
  <c r="AM95" i="12"/>
  <c r="AF91" i="12"/>
  <c r="AE92" i="12"/>
  <c r="AG146" i="48" l="1"/>
  <c r="P146" i="48" s="1"/>
  <c r="V145" i="48"/>
  <c r="AJ145" i="48"/>
  <c r="AK145" i="48" s="1"/>
  <c r="T311" i="48"/>
  <c r="AC115" i="48"/>
  <c r="AD115" i="48" s="1"/>
  <c r="U115" i="48"/>
  <c r="L312" i="48"/>
  <c r="M312" i="48" s="1"/>
  <c r="K312" i="48" s="1"/>
  <c r="M36" i="50"/>
  <c r="J313" i="48"/>
  <c r="X116" i="48"/>
  <c r="N116" i="48" s="1"/>
  <c r="AQ320" i="48"/>
  <c r="AR319" i="48"/>
  <c r="AP93" i="21"/>
  <c r="AQ93" i="21"/>
  <c r="AJ94" i="21" s="1"/>
  <c r="AO95" i="12"/>
  <c r="AQ95" i="12" s="1"/>
  <c r="AN95" i="12"/>
  <c r="AF92" i="12"/>
  <c r="AE93" i="12"/>
  <c r="AH146" i="48" l="1"/>
  <c r="AP115" i="48"/>
  <c r="S115" i="48" s="1"/>
  <c r="T312" i="48"/>
  <c r="J314" i="48"/>
  <c r="L313" i="48"/>
  <c r="M313" i="48" s="1"/>
  <c r="K313" i="48" s="1"/>
  <c r="Y116" i="48"/>
  <c r="O116" i="48" s="1"/>
  <c r="AN116" i="48"/>
  <c r="AO116" i="48"/>
  <c r="R116" i="48" s="1"/>
  <c r="AQ321" i="48"/>
  <c r="AR320" i="48"/>
  <c r="AM94" i="21"/>
  <c r="AJ96" i="12"/>
  <c r="AP95" i="12"/>
  <c r="AF93" i="12"/>
  <c r="AE94" i="12"/>
  <c r="Q146" i="48" l="1"/>
  <c r="AI146" i="48"/>
  <c r="AL146" i="48"/>
  <c r="AF147" i="48" s="1"/>
  <c r="AG147" i="48" s="1"/>
  <c r="P147" i="48" s="1"/>
  <c r="T313" i="48"/>
  <c r="J315" i="48"/>
  <c r="L314" i="48"/>
  <c r="M314" i="48" s="1"/>
  <c r="K314" i="48" s="1"/>
  <c r="AB116" i="48"/>
  <c r="AE116" i="48"/>
  <c r="W117" i="48" s="1"/>
  <c r="AQ322" i="48"/>
  <c r="AR321" i="48"/>
  <c r="AO94" i="21"/>
  <c r="AN94" i="21"/>
  <c r="AM96" i="12"/>
  <c r="AF94" i="12"/>
  <c r="AE95" i="12"/>
  <c r="V146" i="48" l="1"/>
  <c r="AJ146" i="48"/>
  <c r="AK146" i="48" s="1"/>
  <c r="AH147" i="48"/>
  <c r="AL147" i="48" s="1"/>
  <c r="AF148" i="48" s="1"/>
  <c r="Q147" i="48"/>
  <c r="T314" i="48"/>
  <c r="AC116" i="48"/>
  <c r="AD116" i="48" s="1"/>
  <c r="U116" i="48"/>
  <c r="J316" i="48"/>
  <c r="L315" i="48"/>
  <c r="M315" i="48" s="1"/>
  <c r="K315" i="48" s="1"/>
  <c r="X117" i="48"/>
  <c r="N117" i="48" s="1"/>
  <c r="AQ323" i="48"/>
  <c r="AR322" i="48"/>
  <c r="AQ94" i="21"/>
  <c r="AJ95" i="21" s="1"/>
  <c r="AP94" i="21"/>
  <c r="AO96" i="12"/>
  <c r="AQ96" i="12" s="1"/>
  <c r="AN96" i="12"/>
  <c r="AF95" i="12"/>
  <c r="AE96" i="12"/>
  <c r="AI147" i="48" l="1"/>
  <c r="AJ147" i="48"/>
  <c r="AK147" i="48" s="1"/>
  <c r="V147" i="48"/>
  <c r="AG148" i="48"/>
  <c r="P148" i="48" s="1"/>
  <c r="AP116" i="48"/>
  <c r="T315" i="48"/>
  <c r="J317" i="48"/>
  <c r="M37" i="50" s="1"/>
  <c r="L316" i="48"/>
  <c r="M316" i="48" s="1"/>
  <c r="K316" i="48" s="1"/>
  <c r="Y117" i="48"/>
  <c r="O117" i="48" s="1"/>
  <c r="AN117" i="48"/>
  <c r="AO117" i="48"/>
  <c r="R117" i="48" s="1"/>
  <c r="AQ324" i="48"/>
  <c r="AR323" i="48"/>
  <c r="AM95" i="21"/>
  <c r="AJ97" i="12"/>
  <c r="AP96" i="12"/>
  <c r="AF96" i="12"/>
  <c r="AE97" i="12"/>
  <c r="AH148" i="48" l="1"/>
  <c r="S116" i="48"/>
  <c r="T316" i="48"/>
  <c r="J318" i="48"/>
  <c r="L317" i="48"/>
  <c r="M317" i="48" s="1"/>
  <c r="K317" i="48" s="1"/>
  <c r="AB117" i="48"/>
  <c r="AE117" i="48"/>
  <c r="W118" i="48" s="1"/>
  <c r="AQ325" i="48"/>
  <c r="AR324" i="48"/>
  <c r="AO95" i="21"/>
  <c r="AN95" i="21"/>
  <c r="AM97" i="12"/>
  <c r="AF97" i="12"/>
  <c r="AE98" i="12"/>
  <c r="Q148" i="48" l="1"/>
  <c r="AL148" i="48"/>
  <c r="AF149" i="48" s="1"/>
  <c r="AI148" i="48"/>
  <c r="T317" i="48"/>
  <c r="AC117" i="48"/>
  <c r="AD117" i="48" s="1"/>
  <c r="U117" i="48"/>
  <c r="J319" i="48"/>
  <c r="L318" i="48"/>
  <c r="M318" i="48" s="1"/>
  <c r="K318" i="48" s="1"/>
  <c r="X118" i="48"/>
  <c r="N118" i="48" s="1"/>
  <c r="AQ326" i="48"/>
  <c r="AR325" i="48"/>
  <c r="AP95" i="21"/>
  <c r="AQ95" i="21"/>
  <c r="AJ96" i="21" s="1"/>
  <c r="AO97" i="12"/>
  <c r="AQ97" i="12" s="1"/>
  <c r="AN97" i="12"/>
  <c r="AF98" i="12"/>
  <c r="AE99" i="12"/>
  <c r="AJ148" i="48" l="1"/>
  <c r="AK148" i="48" s="1"/>
  <c r="V148" i="48"/>
  <c r="AG149" i="48"/>
  <c r="P149" i="48" s="1"/>
  <c r="AP117" i="48"/>
  <c r="T318" i="48"/>
  <c r="J320" i="48"/>
  <c r="L319" i="48"/>
  <c r="M319" i="48" s="1"/>
  <c r="K319" i="48" s="1"/>
  <c r="Y118" i="48"/>
  <c r="O118" i="48" s="1"/>
  <c r="AO118" i="48"/>
  <c r="R118" i="48" s="1"/>
  <c r="AN118" i="48"/>
  <c r="AQ327" i="48"/>
  <c r="AR326" i="48"/>
  <c r="AM96" i="21"/>
  <c r="AP97" i="12"/>
  <c r="AJ98" i="12"/>
  <c r="AF99" i="12"/>
  <c r="AE100" i="12"/>
  <c r="AH149" i="48" l="1"/>
  <c r="S117" i="48"/>
  <c r="T319" i="48"/>
  <c r="J321" i="48"/>
  <c r="L320" i="48"/>
  <c r="M320" i="48" s="1"/>
  <c r="K320" i="48" s="1"/>
  <c r="AB118" i="48"/>
  <c r="AE118" i="48"/>
  <c r="W119" i="48" s="1"/>
  <c r="AQ328" i="48"/>
  <c r="AR327" i="48"/>
  <c r="AO96" i="21"/>
  <c r="AN96" i="21"/>
  <c r="AM98" i="12"/>
  <c r="AF100" i="12"/>
  <c r="AE101" i="12"/>
  <c r="Q149" i="48" l="1"/>
  <c r="AL149" i="48"/>
  <c r="AF150" i="48" s="1"/>
  <c r="AI149" i="48"/>
  <c r="T320" i="48"/>
  <c r="AC118" i="48"/>
  <c r="AD118" i="48" s="1"/>
  <c r="U118" i="48"/>
  <c r="J322" i="48"/>
  <c r="L321" i="48"/>
  <c r="M321" i="48" s="1"/>
  <c r="K321" i="48" s="1"/>
  <c r="X119" i="48"/>
  <c r="N119" i="48" s="1"/>
  <c r="AQ329" i="48"/>
  <c r="AR328" i="48"/>
  <c r="AQ96" i="21"/>
  <c r="AJ97" i="21" s="1"/>
  <c r="AP96" i="21"/>
  <c r="AO98" i="12"/>
  <c r="AQ98" i="12" s="1"/>
  <c r="AN98" i="12"/>
  <c r="AF101" i="12"/>
  <c r="AE102" i="12"/>
  <c r="V149" i="48" l="1"/>
  <c r="AJ149" i="48"/>
  <c r="AK149" i="48" s="1"/>
  <c r="AG150" i="48"/>
  <c r="P150" i="48" s="1"/>
  <c r="AH150" i="48"/>
  <c r="AP118" i="48"/>
  <c r="T321" i="48"/>
  <c r="J323" i="48"/>
  <c r="L322" i="48"/>
  <c r="M322" i="48" s="1"/>
  <c r="K322" i="48" s="1"/>
  <c r="Y119" i="48"/>
  <c r="O119" i="48" s="1"/>
  <c r="AN119" i="48"/>
  <c r="AO119" i="48"/>
  <c r="R119" i="48" s="1"/>
  <c r="AQ330" i="48"/>
  <c r="AR329" i="48"/>
  <c r="AM97" i="21"/>
  <c r="AJ99" i="12"/>
  <c r="AP98" i="12"/>
  <c r="AF102" i="12"/>
  <c r="AE103" i="12"/>
  <c r="AI150" i="48" l="1"/>
  <c r="Q150" i="48"/>
  <c r="AL150" i="48"/>
  <c r="AF151" i="48" s="1"/>
  <c r="S118" i="48"/>
  <c r="T322" i="48"/>
  <c r="J324" i="48"/>
  <c r="L323" i="48"/>
  <c r="M323" i="48" s="1"/>
  <c r="K323" i="48" s="1"/>
  <c r="AB119" i="48"/>
  <c r="AE119" i="48"/>
  <c r="W120" i="48" s="1"/>
  <c r="AQ331" i="48"/>
  <c r="AR330" i="48"/>
  <c r="AO97" i="21"/>
  <c r="AN97" i="21"/>
  <c r="AM99" i="12"/>
  <c r="AF103" i="12"/>
  <c r="AE104" i="12"/>
  <c r="AG151" i="48" l="1"/>
  <c r="P151" i="48" s="1"/>
  <c r="AJ150" i="48"/>
  <c r="AK150" i="48" s="1"/>
  <c r="V150" i="48"/>
  <c r="T323" i="48"/>
  <c r="AC119" i="48"/>
  <c r="AD119" i="48" s="1"/>
  <c r="U119" i="48"/>
  <c r="J325" i="48"/>
  <c r="L324" i="48"/>
  <c r="M324" i="48" s="1"/>
  <c r="K324" i="48" s="1"/>
  <c r="X120" i="48"/>
  <c r="N120" i="48" s="1"/>
  <c r="AQ332" i="48"/>
  <c r="AR331" i="48"/>
  <c r="AP97" i="21"/>
  <c r="AQ97" i="21"/>
  <c r="AJ98" i="21" s="1"/>
  <c r="AO99" i="12"/>
  <c r="AQ99" i="12" s="1"/>
  <c r="AN99" i="12"/>
  <c r="AF104" i="12"/>
  <c r="AE105" i="12"/>
  <c r="AH151" i="48" l="1"/>
  <c r="Q151" i="48" s="1"/>
  <c r="AL151" i="48"/>
  <c r="AF152" i="48" s="1"/>
  <c r="AG152" i="48" s="1"/>
  <c r="P152" i="48" s="1"/>
  <c r="AP119" i="48"/>
  <c r="T324" i="48"/>
  <c r="J326" i="48"/>
  <c r="L325" i="48"/>
  <c r="M325" i="48" s="1"/>
  <c r="K325" i="48" s="1"/>
  <c r="Y120" i="48"/>
  <c r="O120" i="48" s="1"/>
  <c r="AO120" i="48"/>
  <c r="R120" i="48" s="1"/>
  <c r="AN120" i="48"/>
  <c r="AQ333" i="48"/>
  <c r="AR332" i="48"/>
  <c r="AM98" i="21"/>
  <c r="AP99" i="12"/>
  <c r="AJ100" i="12"/>
  <c r="AF105" i="12"/>
  <c r="AE106" i="12"/>
  <c r="AH152" i="48" l="1"/>
  <c r="Q152" i="48" s="1"/>
  <c r="AI151" i="48"/>
  <c r="AI152" i="48" s="1"/>
  <c r="V152" i="48" s="1"/>
  <c r="AL152" i="48"/>
  <c r="AF153" i="48" s="1"/>
  <c r="S119" i="48"/>
  <c r="T325" i="48"/>
  <c r="J327" i="48"/>
  <c r="L326" i="48"/>
  <c r="M326" i="48" s="1"/>
  <c r="K326" i="48" s="1"/>
  <c r="AB120" i="48"/>
  <c r="AE120" i="48"/>
  <c r="W121" i="48" s="1"/>
  <c r="AQ334" i="48"/>
  <c r="AR333" i="48"/>
  <c r="AO98" i="21"/>
  <c r="AN98" i="21"/>
  <c r="AM100" i="12"/>
  <c r="AF106" i="12"/>
  <c r="AE107" i="12"/>
  <c r="AJ151" i="48" l="1"/>
  <c r="AK151" i="48" s="1"/>
  <c r="V151" i="48"/>
  <c r="AJ152" i="48"/>
  <c r="AK152" i="48" s="1"/>
  <c r="AG153" i="48"/>
  <c r="P153" i="48" s="1"/>
  <c r="T326" i="48"/>
  <c r="AC120" i="48"/>
  <c r="AD120" i="48" s="1"/>
  <c r="U120" i="48"/>
  <c r="J328" i="48"/>
  <c r="L327" i="48"/>
  <c r="M327" i="48" s="1"/>
  <c r="K327" i="48" s="1"/>
  <c r="X121" i="48"/>
  <c r="N121" i="48" s="1"/>
  <c r="AQ335" i="48"/>
  <c r="AR334" i="48"/>
  <c r="AQ98" i="21"/>
  <c r="AJ99" i="21" s="1"/>
  <c r="AP98" i="21"/>
  <c r="AO100" i="12"/>
  <c r="AQ100" i="12" s="1"/>
  <c r="AN100" i="12"/>
  <c r="AF107" i="12"/>
  <c r="AE108" i="12"/>
  <c r="AH153" i="48" l="1"/>
  <c r="AL153" i="48" s="1"/>
  <c r="AF154" i="48" s="1"/>
  <c r="AG154" i="48" s="1"/>
  <c r="Q153" i="48"/>
  <c r="AI153" i="48"/>
  <c r="AP120" i="48"/>
  <c r="T327" i="48"/>
  <c r="J329" i="48"/>
  <c r="L328" i="48"/>
  <c r="M328" i="48" s="1"/>
  <c r="K328" i="48" s="1"/>
  <c r="Y121" i="48"/>
  <c r="O121" i="48" s="1"/>
  <c r="AN121" i="48"/>
  <c r="AO121" i="48"/>
  <c r="R121" i="48" s="1"/>
  <c r="AQ336" i="48"/>
  <c r="AR335" i="48"/>
  <c r="AM99" i="21"/>
  <c r="AP100" i="12"/>
  <c r="AJ101" i="12"/>
  <c r="AF108" i="12"/>
  <c r="AE109" i="12"/>
  <c r="P154" i="48" l="1"/>
  <c r="AH154" i="48"/>
  <c r="AI154" i="48" s="1"/>
  <c r="AJ153" i="48"/>
  <c r="AK153" i="48" s="1"/>
  <c r="V153" i="48"/>
  <c r="AL154" i="48"/>
  <c r="AF155" i="48" s="1"/>
  <c r="Q154" i="48"/>
  <c r="S120" i="48"/>
  <c r="T328" i="48"/>
  <c r="J330" i="48"/>
  <c r="L329" i="48"/>
  <c r="M329" i="48" s="1"/>
  <c r="K329" i="48" s="1"/>
  <c r="AB121" i="48"/>
  <c r="AE121" i="48"/>
  <c r="W122" i="48" s="1"/>
  <c r="AQ337" i="48"/>
  <c r="AR336" i="48"/>
  <c r="AO99" i="21"/>
  <c r="AN99" i="21"/>
  <c r="AM101" i="12"/>
  <c r="AF109" i="12"/>
  <c r="AE110" i="12"/>
  <c r="AG155" i="48" l="1"/>
  <c r="P155" i="48" s="1"/>
  <c r="V154" i="48"/>
  <c r="AJ154" i="48"/>
  <c r="AK154" i="48" s="1"/>
  <c r="T329" i="48"/>
  <c r="AC121" i="48"/>
  <c r="AD121" i="48" s="1"/>
  <c r="U121" i="48"/>
  <c r="J331" i="48"/>
  <c r="L330" i="48"/>
  <c r="M330" i="48" s="1"/>
  <c r="X122" i="48"/>
  <c r="N122" i="48" s="1"/>
  <c r="AQ338" i="48"/>
  <c r="AR337" i="48"/>
  <c r="AQ99" i="21"/>
  <c r="AJ100" i="21" s="1"/>
  <c r="AP99" i="21"/>
  <c r="AO101" i="12"/>
  <c r="AQ101" i="12" s="1"/>
  <c r="AN101" i="12"/>
  <c r="AF110" i="12"/>
  <c r="AE111" i="12"/>
  <c r="AH155" i="48" l="1"/>
  <c r="K330" i="48"/>
  <c r="AP121" i="48"/>
  <c r="T330" i="48"/>
  <c r="J332" i="48"/>
  <c r="L331" i="48"/>
  <c r="M331" i="48" s="1"/>
  <c r="Y122" i="48"/>
  <c r="O122" i="48" s="1"/>
  <c r="AO122" i="48"/>
  <c r="R122" i="48" s="1"/>
  <c r="AN122" i="48"/>
  <c r="AQ339" i="48"/>
  <c r="AR338" i="48"/>
  <c r="AM100" i="21"/>
  <c r="AP101" i="12"/>
  <c r="AJ102" i="12"/>
  <c r="AF111" i="12"/>
  <c r="AE112" i="12"/>
  <c r="Q155" i="48" l="1"/>
  <c r="AI155" i="48"/>
  <c r="AL155" i="48"/>
  <c r="AF156" i="48" s="1"/>
  <c r="AG156" i="48" s="1"/>
  <c r="P156" i="48" s="1"/>
  <c r="K331" i="48"/>
  <c r="S121" i="48"/>
  <c r="T331" i="48"/>
  <c r="J333" i="48"/>
  <c r="L332" i="48"/>
  <c r="M332" i="48" s="1"/>
  <c r="AB122" i="48"/>
  <c r="AE122" i="48"/>
  <c r="W123" i="48" s="1"/>
  <c r="AQ340" i="48"/>
  <c r="AR339" i="48"/>
  <c r="AO100" i="21"/>
  <c r="AN100" i="21"/>
  <c r="AM102" i="12"/>
  <c r="AF112" i="12"/>
  <c r="AE113" i="12"/>
  <c r="AH156" i="48" l="1"/>
  <c r="AJ155" i="48"/>
  <c r="AK155" i="48" s="1"/>
  <c r="V155" i="48"/>
  <c r="AL156" i="48"/>
  <c r="AF157" i="48" s="1"/>
  <c r="Q156" i="48"/>
  <c r="AI156" i="48"/>
  <c r="K332" i="48"/>
  <c r="T332" i="48"/>
  <c r="AC122" i="48"/>
  <c r="AD122" i="48" s="1"/>
  <c r="U122" i="48"/>
  <c r="J334" i="48"/>
  <c r="L333" i="48"/>
  <c r="M333" i="48" s="1"/>
  <c r="X123" i="48"/>
  <c r="N123" i="48" s="1"/>
  <c r="AQ341" i="48"/>
  <c r="AR340" i="48"/>
  <c r="AP100" i="21"/>
  <c r="AQ100" i="21"/>
  <c r="AJ101" i="21" s="1"/>
  <c r="AO102" i="12"/>
  <c r="AQ102" i="12" s="1"/>
  <c r="AN102" i="12"/>
  <c r="AF113" i="12"/>
  <c r="AE114" i="12"/>
  <c r="V156" i="48" l="1"/>
  <c r="AJ156" i="48"/>
  <c r="AK156" i="48" s="1"/>
  <c r="AG157" i="48"/>
  <c r="P157" i="48" s="1"/>
  <c r="K333" i="48"/>
  <c r="AP122" i="48"/>
  <c r="T333" i="48"/>
  <c r="J335" i="48"/>
  <c r="L334" i="48"/>
  <c r="M334" i="48" s="1"/>
  <c r="Y123" i="48"/>
  <c r="O123" i="48" s="1"/>
  <c r="AN123" i="48"/>
  <c r="AO123" i="48"/>
  <c r="R123" i="48" s="1"/>
  <c r="AQ342" i="48"/>
  <c r="AR341" i="48"/>
  <c r="AM101" i="21"/>
  <c r="AJ103" i="12"/>
  <c r="AP102" i="12"/>
  <c r="AF114" i="12"/>
  <c r="AE115" i="12"/>
  <c r="AH157" i="48" l="1"/>
  <c r="K334" i="48"/>
  <c r="S122" i="48"/>
  <c r="T334" i="48"/>
  <c r="J336" i="48"/>
  <c r="L335" i="48"/>
  <c r="M335" i="48" s="1"/>
  <c r="AB123" i="48"/>
  <c r="AE123" i="48"/>
  <c r="W124" i="48" s="1"/>
  <c r="AQ343" i="48"/>
  <c r="AR342" i="48"/>
  <c r="AO101" i="21"/>
  <c r="AN101" i="21"/>
  <c r="AM103" i="12"/>
  <c r="AF115" i="12"/>
  <c r="AE116" i="12"/>
  <c r="AL157" i="48" l="1"/>
  <c r="AF158" i="48" s="1"/>
  <c r="Q157" i="48"/>
  <c r="AI157" i="48"/>
  <c r="K335" i="48"/>
  <c r="T335" i="48"/>
  <c r="AC123" i="48"/>
  <c r="AD123" i="48" s="1"/>
  <c r="U123" i="48"/>
  <c r="J337" i="48"/>
  <c r="L336" i="48"/>
  <c r="M336" i="48" s="1"/>
  <c r="X124" i="48"/>
  <c r="N124" i="48" s="1"/>
  <c r="AQ344" i="48"/>
  <c r="AR343" i="48"/>
  <c r="AP101" i="21"/>
  <c r="AQ101" i="21"/>
  <c r="AJ102" i="21" s="1"/>
  <c r="AO103" i="12"/>
  <c r="AQ103" i="12" s="1"/>
  <c r="AN103" i="12"/>
  <c r="AF116" i="12"/>
  <c r="AE117" i="12"/>
  <c r="V157" i="48" l="1"/>
  <c r="AJ157" i="48"/>
  <c r="AK157" i="48" s="1"/>
  <c r="AG158" i="48"/>
  <c r="P158" i="48" s="1"/>
  <c r="K336" i="48"/>
  <c r="AP123" i="48"/>
  <c r="T336" i="48"/>
  <c r="J338" i="48"/>
  <c r="L337" i="48"/>
  <c r="M337" i="48" s="1"/>
  <c r="Y124" i="48"/>
  <c r="O124" i="48" s="1"/>
  <c r="AO124" i="48"/>
  <c r="R124" i="48" s="1"/>
  <c r="AN124" i="48"/>
  <c r="AQ345" i="48"/>
  <c r="AR344" i="48"/>
  <c r="AM102" i="21"/>
  <c r="AP103" i="12"/>
  <c r="AJ104" i="12"/>
  <c r="AF117" i="12"/>
  <c r="AE118" i="12"/>
  <c r="AH158" i="48" l="1"/>
  <c r="K337" i="48"/>
  <c r="S123" i="48"/>
  <c r="T337" i="48"/>
  <c r="J339" i="48"/>
  <c r="L338" i="48"/>
  <c r="M338" i="48" s="1"/>
  <c r="AB124" i="48"/>
  <c r="AE124" i="48"/>
  <c r="W125" i="48" s="1"/>
  <c r="AQ346" i="48"/>
  <c r="AR345" i="48"/>
  <c r="AO102" i="21"/>
  <c r="AN102" i="21"/>
  <c r="AM104" i="12"/>
  <c r="AF118" i="12"/>
  <c r="AE119" i="12"/>
  <c r="Q158" i="48" l="1"/>
  <c r="AL158" i="48"/>
  <c r="AF159" i="48" s="1"/>
  <c r="AI158" i="48"/>
  <c r="K338" i="48"/>
  <c r="T338" i="48"/>
  <c r="AC124" i="48"/>
  <c r="AD124" i="48" s="1"/>
  <c r="U124" i="48"/>
  <c r="J340" i="48"/>
  <c r="L339" i="48"/>
  <c r="M339" i="48" s="1"/>
  <c r="X125" i="48"/>
  <c r="N125" i="48" s="1"/>
  <c r="AQ347" i="48"/>
  <c r="AR346" i="48"/>
  <c r="AQ102" i="21"/>
  <c r="AJ103" i="21" s="1"/>
  <c r="AP102" i="21"/>
  <c r="AO104" i="12"/>
  <c r="AQ104" i="12" s="1"/>
  <c r="AN104" i="12"/>
  <c r="AF119" i="12"/>
  <c r="AE120" i="12"/>
  <c r="V158" i="48" l="1"/>
  <c r="AJ158" i="48"/>
  <c r="AK158" i="48" s="1"/>
  <c r="AG159" i="48"/>
  <c r="P159" i="48" s="1"/>
  <c r="K339" i="48"/>
  <c r="AP124" i="48"/>
  <c r="T339" i="48"/>
  <c r="J341" i="48"/>
  <c r="L340" i="48"/>
  <c r="M340" i="48" s="1"/>
  <c r="Y125" i="48"/>
  <c r="O125" i="48" s="1"/>
  <c r="AO125" i="48"/>
  <c r="R125" i="48" s="1"/>
  <c r="AN125" i="48"/>
  <c r="AQ348" i="48"/>
  <c r="AR347" i="48"/>
  <c r="AM103" i="21"/>
  <c r="AJ105" i="12"/>
  <c r="AP104" i="12"/>
  <c r="AF120" i="12"/>
  <c r="AE121" i="12"/>
  <c r="AH159" i="48" l="1"/>
  <c r="K340" i="48"/>
  <c r="S124" i="48"/>
  <c r="T340" i="48"/>
  <c r="J342" i="48"/>
  <c r="L341" i="48"/>
  <c r="M341" i="48" s="1"/>
  <c r="AB125" i="48"/>
  <c r="AE125" i="48"/>
  <c r="W126" i="48" s="1"/>
  <c r="AQ349" i="48"/>
  <c r="AR348" i="48"/>
  <c r="AO103" i="21"/>
  <c r="AN103" i="21"/>
  <c r="AM105" i="12"/>
  <c r="AF121" i="12"/>
  <c r="AE122" i="12"/>
  <c r="Q159" i="48" l="1"/>
  <c r="AL159" i="48"/>
  <c r="AF160" i="48" s="1"/>
  <c r="AI159" i="48"/>
  <c r="K341" i="48"/>
  <c r="T341" i="48"/>
  <c r="AC125" i="48"/>
  <c r="AD125" i="48" s="1"/>
  <c r="U125" i="48"/>
  <c r="J343" i="48"/>
  <c r="L342" i="48"/>
  <c r="M342" i="48" s="1"/>
  <c r="X126" i="48"/>
  <c r="N126" i="48" s="1"/>
  <c r="AQ350" i="48"/>
  <c r="AR349" i="48"/>
  <c r="AP103" i="21"/>
  <c r="AQ103" i="21"/>
  <c r="AJ104" i="21" s="1"/>
  <c r="AO105" i="12"/>
  <c r="AQ105" i="12" s="1"/>
  <c r="AN105" i="12"/>
  <c r="AF122" i="12"/>
  <c r="AE123" i="12"/>
  <c r="AJ159" i="48" l="1"/>
  <c r="AK159" i="48" s="1"/>
  <c r="V159" i="48"/>
  <c r="AG160" i="48"/>
  <c r="P160" i="48" s="1"/>
  <c r="K342" i="48"/>
  <c r="AP125" i="48"/>
  <c r="T342" i="48"/>
  <c r="J344" i="48"/>
  <c r="L343" i="48"/>
  <c r="M343" i="48" s="1"/>
  <c r="Y126" i="48"/>
  <c r="O126" i="48" s="1"/>
  <c r="AN126" i="48"/>
  <c r="AO126" i="48"/>
  <c r="R126" i="48" s="1"/>
  <c r="AQ351" i="48"/>
  <c r="AR350" i="48"/>
  <c r="AM104" i="21"/>
  <c r="AP105" i="12"/>
  <c r="AJ106" i="12"/>
  <c r="AF123" i="12"/>
  <c r="AE124" i="12"/>
  <c r="AH160" i="48" l="1"/>
  <c r="K343" i="48"/>
  <c r="S125" i="48"/>
  <c r="T343" i="48"/>
  <c r="J345" i="48"/>
  <c r="L344" i="48"/>
  <c r="M344" i="48" s="1"/>
  <c r="AB126" i="48"/>
  <c r="AE126" i="48"/>
  <c r="W127" i="48" s="1"/>
  <c r="AQ352" i="48"/>
  <c r="AR351" i="48"/>
  <c r="AO104" i="21"/>
  <c r="AN104" i="21"/>
  <c r="AM106" i="12"/>
  <c r="AF124" i="12"/>
  <c r="AE125" i="12"/>
  <c r="Q160" i="48" l="1"/>
  <c r="AL160" i="48"/>
  <c r="AF161" i="48" s="1"/>
  <c r="AI160" i="48"/>
  <c r="K344" i="48"/>
  <c r="T344" i="48"/>
  <c r="AC126" i="48"/>
  <c r="AD126" i="48" s="1"/>
  <c r="U126" i="48"/>
  <c r="J346" i="48"/>
  <c r="L345" i="48"/>
  <c r="M345" i="48" s="1"/>
  <c r="X127" i="48"/>
  <c r="N127" i="48" s="1"/>
  <c r="AQ353" i="48"/>
  <c r="AR352" i="48"/>
  <c r="AP104" i="21"/>
  <c r="AQ104" i="21"/>
  <c r="AJ105" i="21" s="1"/>
  <c r="AO106" i="12"/>
  <c r="AQ106" i="12" s="1"/>
  <c r="AN106" i="12"/>
  <c r="AF125" i="12"/>
  <c r="AE126" i="12"/>
  <c r="AJ160" i="48" l="1"/>
  <c r="AK160" i="48" s="1"/>
  <c r="V160" i="48"/>
  <c r="AG161" i="48"/>
  <c r="P161" i="48" s="1"/>
  <c r="K345" i="48"/>
  <c r="AP126" i="48"/>
  <c r="T345" i="48"/>
  <c r="J347" i="48"/>
  <c r="L346" i="48"/>
  <c r="M346" i="48" s="1"/>
  <c r="Y127" i="48"/>
  <c r="O127" i="48" s="1"/>
  <c r="AO127" i="48"/>
  <c r="R127" i="48" s="1"/>
  <c r="AN127" i="48"/>
  <c r="AQ354" i="48"/>
  <c r="AR353" i="48"/>
  <c r="AM105" i="21"/>
  <c r="AJ107" i="12"/>
  <c r="AP106" i="12"/>
  <c r="AF126" i="12"/>
  <c r="AE127" i="12"/>
  <c r="AH161" i="48" l="1"/>
  <c r="K346" i="48"/>
  <c r="S126" i="48"/>
  <c r="T346" i="48"/>
  <c r="J348" i="48"/>
  <c r="L347" i="48"/>
  <c r="M347" i="48" s="1"/>
  <c r="AB127" i="48"/>
  <c r="AE127" i="48"/>
  <c r="W128" i="48" s="1"/>
  <c r="AQ355" i="48"/>
  <c r="AR354" i="48"/>
  <c r="AO105" i="21"/>
  <c r="AN105" i="21"/>
  <c r="AM107" i="12"/>
  <c r="AF127" i="12"/>
  <c r="AE128" i="12"/>
  <c r="Q161" i="48" l="1"/>
  <c r="AL161" i="48"/>
  <c r="AF162" i="48" s="1"/>
  <c r="AI161" i="48"/>
  <c r="K347" i="48"/>
  <c r="T347" i="48"/>
  <c r="AC127" i="48"/>
  <c r="AD127" i="48" s="1"/>
  <c r="U127" i="48"/>
  <c r="J349" i="48"/>
  <c r="L348" i="48"/>
  <c r="M348" i="48" s="1"/>
  <c r="X128" i="48"/>
  <c r="N128" i="48" s="1"/>
  <c r="AQ356" i="48"/>
  <c r="AR355" i="48"/>
  <c r="AP105" i="21"/>
  <c r="AQ105" i="21"/>
  <c r="AJ106" i="21" s="1"/>
  <c r="AO107" i="12"/>
  <c r="AQ107" i="12" s="1"/>
  <c r="AN107" i="12"/>
  <c r="AF128" i="12"/>
  <c r="AE129" i="12"/>
  <c r="AJ161" i="48" l="1"/>
  <c r="AK161" i="48" s="1"/>
  <c r="V161" i="48"/>
  <c r="AG162" i="48"/>
  <c r="P162" i="48" s="1"/>
  <c r="K348" i="48"/>
  <c r="AP127" i="48"/>
  <c r="T348" i="48"/>
  <c r="J350" i="48"/>
  <c r="L349" i="48"/>
  <c r="M349" i="48" s="1"/>
  <c r="Y128" i="48"/>
  <c r="O128" i="48" s="1"/>
  <c r="AN128" i="48"/>
  <c r="AO128" i="48"/>
  <c r="R128" i="48" s="1"/>
  <c r="AQ357" i="48"/>
  <c r="AR356" i="48"/>
  <c r="AM106" i="21"/>
  <c r="AP107" i="12"/>
  <c r="AJ108" i="12"/>
  <c r="AF129" i="12"/>
  <c r="AE130" i="12"/>
  <c r="AH162" i="48" l="1"/>
  <c r="K349" i="48"/>
  <c r="S127" i="48"/>
  <c r="T349" i="48"/>
  <c r="J351" i="48"/>
  <c r="L350" i="48"/>
  <c r="M350" i="48" s="1"/>
  <c r="AB128" i="48"/>
  <c r="AE128" i="48"/>
  <c r="W129" i="48" s="1"/>
  <c r="AQ358" i="48"/>
  <c r="AR357" i="48"/>
  <c r="AO106" i="21"/>
  <c r="AN106" i="21"/>
  <c r="AM108" i="12"/>
  <c r="AF130" i="12"/>
  <c r="AE131" i="12"/>
  <c r="Q162" i="48" l="1"/>
  <c r="AL162" i="48"/>
  <c r="AF163" i="48" s="1"/>
  <c r="AI162" i="48"/>
  <c r="K350" i="48"/>
  <c r="T350" i="48"/>
  <c r="AC128" i="48"/>
  <c r="AD128" i="48" s="1"/>
  <c r="U128" i="48"/>
  <c r="J352" i="48"/>
  <c r="L351" i="48"/>
  <c r="M351" i="48" s="1"/>
  <c r="X129" i="48"/>
  <c r="N129" i="48" s="1"/>
  <c r="AQ359" i="48"/>
  <c r="AR358" i="48"/>
  <c r="AP106" i="21"/>
  <c r="AQ106" i="21"/>
  <c r="AJ107" i="21" s="1"/>
  <c r="AO108" i="12"/>
  <c r="AQ108" i="12" s="1"/>
  <c r="AN108" i="12"/>
  <c r="AF131" i="12"/>
  <c r="AE132" i="12"/>
  <c r="V162" i="48" l="1"/>
  <c r="AJ162" i="48"/>
  <c r="AK162" i="48" s="1"/>
  <c r="AG163" i="48"/>
  <c r="P163" i="48" s="1"/>
  <c r="K351" i="48"/>
  <c r="AP128" i="48"/>
  <c r="S128" i="48" s="1"/>
  <c r="T351" i="48"/>
  <c r="J353" i="48"/>
  <c r="L352" i="48"/>
  <c r="M352" i="48" s="1"/>
  <c r="Y129" i="48"/>
  <c r="O129" i="48" s="1"/>
  <c r="AO129" i="48"/>
  <c r="R129" i="48" s="1"/>
  <c r="AN129" i="48"/>
  <c r="AQ360" i="48"/>
  <c r="AR359" i="48"/>
  <c r="AM107" i="21"/>
  <c r="AJ109" i="12"/>
  <c r="AP108" i="12"/>
  <c r="AF132" i="12"/>
  <c r="AE133" i="12"/>
  <c r="AH163" i="48" l="1"/>
  <c r="K352" i="48"/>
  <c r="T352" i="48"/>
  <c r="J354" i="48"/>
  <c r="L353" i="48"/>
  <c r="M353" i="48" s="1"/>
  <c r="AB129" i="48"/>
  <c r="AE129" i="48"/>
  <c r="W130" i="48" s="1"/>
  <c r="AQ361" i="48"/>
  <c r="AR360" i="48"/>
  <c r="AO107" i="21"/>
  <c r="AN107" i="21"/>
  <c r="AM109" i="12"/>
  <c r="AF133" i="12"/>
  <c r="AE134" i="12"/>
  <c r="AL163" i="48" l="1"/>
  <c r="AF164" i="48" s="1"/>
  <c r="Q163" i="48"/>
  <c r="AI163" i="48"/>
  <c r="K353" i="48"/>
  <c r="T353" i="48"/>
  <c r="AC129" i="48"/>
  <c r="AD129" i="48" s="1"/>
  <c r="U129" i="48"/>
  <c r="J355" i="48"/>
  <c r="L354" i="48"/>
  <c r="M354" i="48" s="1"/>
  <c r="X130" i="48"/>
  <c r="N130" i="48" s="1"/>
  <c r="AQ362" i="48"/>
  <c r="AR361" i="48"/>
  <c r="AQ107" i="21"/>
  <c r="AJ108" i="21" s="1"/>
  <c r="AP107" i="21"/>
  <c r="AO109" i="12"/>
  <c r="AQ109" i="12" s="1"/>
  <c r="AN109" i="12"/>
  <c r="AF134" i="12"/>
  <c r="AE135" i="12"/>
  <c r="V163" i="48" l="1"/>
  <c r="AJ163" i="48"/>
  <c r="AK163" i="48" s="1"/>
  <c r="AG164" i="48"/>
  <c r="P164" i="48" s="1"/>
  <c r="K354" i="48"/>
  <c r="AP129" i="48"/>
  <c r="T354" i="48"/>
  <c r="J356" i="48"/>
  <c r="L355" i="48"/>
  <c r="M355" i="48" s="1"/>
  <c r="Y130" i="48"/>
  <c r="O130" i="48" s="1"/>
  <c r="AN130" i="48"/>
  <c r="AO130" i="48"/>
  <c r="R130" i="48" s="1"/>
  <c r="AQ363" i="48"/>
  <c r="AR362" i="48"/>
  <c r="AM108" i="21"/>
  <c r="AP109" i="12"/>
  <c r="AJ110" i="12"/>
  <c r="AF135" i="12"/>
  <c r="AE136" i="12"/>
  <c r="AH164" i="48" l="1"/>
  <c r="K355" i="48"/>
  <c r="S129" i="48"/>
  <c r="T355" i="48"/>
  <c r="J357" i="48"/>
  <c r="L356" i="48"/>
  <c r="M356" i="48" s="1"/>
  <c r="AB130" i="48"/>
  <c r="AE130" i="48"/>
  <c r="W131" i="48" s="1"/>
  <c r="AQ364" i="48"/>
  <c r="AR363" i="48"/>
  <c r="AO108" i="21"/>
  <c r="AN108" i="21"/>
  <c r="AM110" i="12"/>
  <c r="AF136" i="12"/>
  <c r="AE137" i="12"/>
  <c r="Q164" i="48" l="1"/>
  <c r="AL164" i="48"/>
  <c r="AF165" i="48" s="1"/>
  <c r="AI164" i="48"/>
  <c r="K356" i="48"/>
  <c r="T356" i="48"/>
  <c r="AC130" i="48"/>
  <c r="AD130" i="48" s="1"/>
  <c r="U130" i="48"/>
  <c r="J358" i="48"/>
  <c r="L357" i="48"/>
  <c r="M357" i="48" s="1"/>
  <c r="X131" i="48"/>
  <c r="N131" i="48" s="1"/>
  <c r="AQ365" i="48"/>
  <c r="AR364" i="48"/>
  <c r="AP108" i="21"/>
  <c r="AQ108" i="21"/>
  <c r="AJ109" i="21" s="1"/>
  <c r="AO110" i="12"/>
  <c r="AQ110" i="12" s="1"/>
  <c r="AN110" i="12"/>
  <c r="AF137" i="12"/>
  <c r="AE138" i="12"/>
  <c r="AJ164" i="48" l="1"/>
  <c r="AK164" i="48" s="1"/>
  <c r="V164" i="48"/>
  <c r="AG165" i="48"/>
  <c r="P165" i="48" s="1"/>
  <c r="K357" i="48"/>
  <c r="AP130" i="48"/>
  <c r="T357" i="48"/>
  <c r="J359" i="48"/>
  <c r="L358" i="48"/>
  <c r="M358" i="48" s="1"/>
  <c r="Y131" i="48"/>
  <c r="O131" i="48" s="1"/>
  <c r="AO131" i="48"/>
  <c r="R131" i="48" s="1"/>
  <c r="AN131" i="48"/>
  <c r="AQ366" i="48"/>
  <c r="AR365" i="48"/>
  <c r="AM109" i="21"/>
  <c r="AP110" i="12"/>
  <c r="AJ111" i="12"/>
  <c r="AF138" i="12"/>
  <c r="AE139" i="12"/>
  <c r="AH165" i="48" l="1"/>
  <c r="K358" i="48"/>
  <c r="S130" i="48"/>
  <c r="T358" i="48"/>
  <c r="J360" i="48"/>
  <c r="L359" i="48"/>
  <c r="M359" i="48" s="1"/>
  <c r="AB131" i="48"/>
  <c r="AE131" i="48"/>
  <c r="W132" i="48" s="1"/>
  <c r="AQ367" i="48"/>
  <c r="AR366" i="48"/>
  <c r="AO109" i="21"/>
  <c r="AN109" i="21"/>
  <c r="AM111" i="12"/>
  <c r="AF139" i="12"/>
  <c r="AE140" i="12"/>
  <c r="Q165" i="48" l="1"/>
  <c r="AL165" i="48"/>
  <c r="AF166" i="48" s="1"/>
  <c r="AI165" i="48"/>
  <c r="K359" i="48"/>
  <c r="T359" i="48"/>
  <c r="AC131" i="48"/>
  <c r="AD131" i="48" s="1"/>
  <c r="U131" i="48"/>
  <c r="J361" i="48"/>
  <c r="L360" i="48"/>
  <c r="M360" i="48" s="1"/>
  <c r="X132" i="48"/>
  <c r="N132" i="48" s="1"/>
  <c r="AQ368" i="48"/>
  <c r="AR367" i="48"/>
  <c r="AQ109" i="21"/>
  <c r="AJ110" i="21" s="1"/>
  <c r="AP109" i="21"/>
  <c r="AO111" i="12"/>
  <c r="AQ111" i="12" s="1"/>
  <c r="AN111" i="12"/>
  <c r="AF140" i="12"/>
  <c r="AE141" i="12"/>
  <c r="V165" i="48" l="1"/>
  <c r="AJ165" i="48"/>
  <c r="AK165" i="48" s="1"/>
  <c r="AG166" i="48"/>
  <c r="P166" i="48" s="1"/>
  <c r="K360" i="48"/>
  <c r="AP131" i="48"/>
  <c r="T360" i="48"/>
  <c r="J362" i="48"/>
  <c r="L361" i="48"/>
  <c r="M361" i="48" s="1"/>
  <c r="Y132" i="48"/>
  <c r="O132" i="48" s="1"/>
  <c r="AN132" i="48"/>
  <c r="AO132" i="48"/>
  <c r="R132" i="48" s="1"/>
  <c r="AQ369" i="48"/>
  <c r="AR368" i="48"/>
  <c r="AM110" i="21"/>
  <c r="AP111" i="12"/>
  <c r="AJ112" i="12"/>
  <c r="AF141" i="12"/>
  <c r="AE142" i="12"/>
  <c r="AH166" i="48" l="1"/>
  <c r="K361" i="48"/>
  <c r="S131" i="48"/>
  <c r="T361" i="48"/>
  <c r="J363" i="48"/>
  <c r="L362" i="48"/>
  <c r="M362" i="48" s="1"/>
  <c r="AB132" i="48"/>
  <c r="AE132" i="48"/>
  <c r="W133" i="48" s="1"/>
  <c r="AQ370" i="48"/>
  <c r="AR369" i="48"/>
  <c r="AO110" i="21"/>
  <c r="AN110" i="21"/>
  <c r="AM112" i="12"/>
  <c r="AF142" i="12"/>
  <c r="AE143" i="12"/>
  <c r="Q166" i="48" l="1"/>
  <c r="AL166" i="48"/>
  <c r="AF167" i="48" s="1"/>
  <c r="AI166" i="48"/>
  <c r="K362" i="48"/>
  <c r="T362" i="48"/>
  <c r="AC132" i="48"/>
  <c r="AD132" i="48" s="1"/>
  <c r="U132" i="48"/>
  <c r="J364" i="48"/>
  <c r="L363" i="48"/>
  <c r="M363" i="48" s="1"/>
  <c r="X133" i="48"/>
  <c r="N133" i="48" s="1"/>
  <c r="AQ371" i="48"/>
  <c r="AR370" i="48"/>
  <c r="AP110" i="21"/>
  <c r="AQ110" i="21"/>
  <c r="AJ111" i="21" s="1"/>
  <c r="AO112" i="12"/>
  <c r="AQ112" i="12" s="1"/>
  <c r="AN112" i="12"/>
  <c r="AF143" i="12"/>
  <c r="AE144" i="12"/>
  <c r="AJ166" i="48" l="1"/>
  <c r="AK166" i="48" s="1"/>
  <c r="V166" i="48"/>
  <c r="AG167" i="48"/>
  <c r="P167" i="48" s="1"/>
  <c r="K363" i="48"/>
  <c r="AP132" i="48"/>
  <c r="T363" i="48"/>
  <c r="J365" i="48"/>
  <c r="L364" i="48"/>
  <c r="M364" i="48" s="1"/>
  <c r="Y133" i="48"/>
  <c r="O133" i="48" s="1"/>
  <c r="AO133" i="48"/>
  <c r="R133" i="48" s="1"/>
  <c r="AN133" i="48"/>
  <c r="AQ372" i="48"/>
  <c r="AR371" i="48"/>
  <c r="AM111" i="21"/>
  <c r="AJ113" i="12"/>
  <c r="AP112" i="12"/>
  <c r="AF144" i="12"/>
  <c r="AE145" i="12"/>
  <c r="AH167" i="48" l="1"/>
  <c r="K364" i="48"/>
  <c r="S132" i="48"/>
  <c r="T364" i="48"/>
  <c r="J366" i="48"/>
  <c r="L365" i="48"/>
  <c r="M365" i="48" s="1"/>
  <c r="AB133" i="48"/>
  <c r="AE133" i="48"/>
  <c r="W134" i="48" s="1"/>
  <c r="AQ373" i="48"/>
  <c r="AR372" i="48"/>
  <c r="AO111" i="21"/>
  <c r="AN111" i="21"/>
  <c r="AM113" i="12"/>
  <c r="AF145" i="12"/>
  <c r="AE146" i="12"/>
  <c r="Q167" i="48" l="1"/>
  <c r="AL167" i="48"/>
  <c r="AF168" i="48" s="1"/>
  <c r="AI167" i="48"/>
  <c r="K365" i="48"/>
  <c r="T365" i="48"/>
  <c r="AC133" i="48"/>
  <c r="AD133" i="48" s="1"/>
  <c r="U133" i="48"/>
  <c r="L366" i="48"/>
  <c r="M366" i="48" s="1"/>
  <c r="J367" i="48"/>
  <c r="X134" i="48"/>
  <c r="N134" i="48" s="1"/>
  <c r="AQ374" i="48"/>
  <c r="AR373" i="48"/>
  <c r="AQ111" i="21"/>
  <c r="AJ112" i="21" s="1"/>
  <c r="AP111" i="21"/>
  <c r="AO113" i="12"/>
  <c r="AQ113" i="12" s="1"/>
  <c r="AN113" i="12"/>
  <c r="AF146" i="12"/>
  <c r="AE147" i="12"/>
  <c r="AJ167" i="48" l="1"/>
  <c r="AK167" i="48" s="1"/>
  <c r="V167" i="48"/>
  <c r="AG168" i="48"/>
  <c r="P168" i="48" s="1"/>
  <c r="K366" i="48"/>
  <c r="AP133" i="48"/>
  <c r="T366" i="48"/>
  <c r="L367" i="48"/>
  <c r="M367" i="48" s="1"/>
  <c r="J368" i="48"/>
  <c r="Y134" i="48"/>
  <c r="O134" i="48" s="1"/>
  <c r="AN134" i="48"/>
  <c r="AO134" i="48"/>
  <c r="R134" i="48" s="1"/>
  <c r="AQ375" i="48"/>
  <c r="AR374" i="48"/>
  <c r="AM112" i="21"/>
  <c r="AP113" i="12"/>
  <c r="AJ114" i="12"/>
  <c r="AF147" i="12"/>
  <c r="AE148" i="12"/>
  <c r="AH168" i="48" l="1"/>
  <c r="K367" i="48"/>
  <c r="S133" i="48"/>
  <c r="T367" i="48"/>
  <c r="L368" i="48"/>
  <c r="M368" i="48" s="1"/>
  <c r="J369" i="48"/>
  <c r="AB134" i="48"/>
  <c r="AE134" i="48"/>
  <c r="W135" i="48" s="1"/>
  <c r="AQ376" i="48"/>
  <c r="AR375" i="48"/>
  <c r="AO112" i="21"/>
  <c r="AN112" i="21"/>
  <c r="AM114" i="12"/>
  <c r="AF148" i="12"/>
  <c r="AE149" i="12"/>
  <c r="AL168" i="48" l="1"/>
  <c r="AF169" i="48" s="1"/>
  <c r="Q168" i="48"/>
  <c r="AI168" i="48"/>
  <c r="K368" i="48"/>
  <c r="AC134" i="48"/>
  <c r="AD134" i="48" s="1"/>
  <c r="U134" i="48"/>
  <c r="T368" i="48"/>
  <c r="L369" i="48"/>
  <c r="M369" i="48" s="1"/>
  <c r="J370" i="48"/>
  <c r="X135" i="48"/>
  <c r="N135" i="48" s="1"/>
  <c r="AQ377" i="48"/>
  <c r="AR376" i="48"/>
  <c r="AP112" i="21"/>
  <c r="AQ112" i="21"/>
  <c r="AJ113" i="21" s="1"/>
  <c r="AO114" i="12"/>
  <c r="AQ114" i="12" s="1"/>
  <c r="AN114" i="12"/>
  <c r="AF149" i="12"/>
  <c r="AE150" i="12"/>
  <c r="AJ168" i="48" l="1"/>
  <c r="AK168" i="48" s="1"/>
  <c r="V168" i="48"/>
  <c r="AG169" i="48"/>
  <c r="P169" i="48" s="1"/>
  <c r="K369" i="48"/>
  <c r="AP134" i="48"/>
  <c r="T369" i="48"/>
  <c r="L370" i="48"/>
  <c r="M370" i="48" s="1"/>
  <c r="J371" i="48"/>
  <c r="Y135" i="48"/>
  <c r="O135" i="48" s="1"/>
  <c r="AO135" i="48"/>
  <c r="R135" i="48" s="1"/>
  <c r="AN135" i="48"/>
  <c r="AQ378" i="48"/>
  <c r="AR378" i="48" s="1"/>
  <c r="AR377" i="48"/>
  <c r="AM113" i="21"/>
  <c r="AJ115" i="12"/>
  <c r="AP114" i="12"/>
  <c r="AF150" i="12"/>
  <c r="AE151" i="12"/>
  <c r="AH169" i="48" l="1"/>
  <c r="K370" i="48"/>
  <c r="S134" i="48"/>
  <c r="T370" i="48"/>
  <c r="L371" i="48"/>
  <c r="M371" i="48" s="1"/>
  <c r="J372" i="48"/>
  <c r="AB135" i="48"/>
  <c r="AE135" i="48"/>
  <c r="W136" i="48" s="1"/>
  <c r="AO113" i="21"/>
  <c r="AN113" i="21"/>
  <c r="AM115" i="12"/>
  <c r="AF151" i="12"/>
  <c r="AE152" i="12"/>
  <c r="AL169" i="48" l="1"/>
  <c r="AF170" i="48" s="1"/>
  <c r="Q169" i="48"/>
  <c r="AI169" i="48"/>
  <c r="K371" i="48"/>
  <c r="AC135" i="48"/>
  <c r="AD135" i="48" s="1"/>
  <c r="U135" i="48"/>
  <c r="T371" i="48"/>
  <c r="L372" i="48"/>
  <c r="M372" i="48" s="1"/>
  <c r="J373" i="48"/>
  <c r="X136" i="48"/>
  <c r="N136" i="48" s="1"/>
  <c r="AQ113" i="21"/>
  <c r="AJ114" i="21" s="1"/>
  <c r="AP113" i="21"/>
  <c r="AO115" i="12"/>
  <c r="AQ115" i="12" s="1"/>
  <c r="AN115" i="12"/>
  <c r="AF152" i="12"/>
  <c r="AE153" i="12"/>
  <c r="V169" i="48" l="1"/>
  <c r="AJ169" i="48"/>
  <c r="AK169" i="48" s="1"/>
  <c r="AG170" i="48"/>
  <c r="P170" i="48" s="1"/>
  <c r="K372" i="48"/>
  <c r="AP135" i="48"/>
  <c r="T372" i="48"/>
  <c r="L373" i="48"/>
  <c r="M373" i="48" s="1"/>
  <c r="J374" i="48"/>
  <c r="Y136" i="48"/>
  <c r="O136" i="48" s="1"/>
  <c r="AN136" i="48"/>
  <c r="AO136" i="48"/>
  <c r="R136" i="48" s="1"/>
  <c r="AM114" i="21"/>
  <c r="AJ116" i="12"/>
  <c r="AP115" i="12"/>
  <c r="AF153" i="12"/>
  <c r="AE154" i="12"/>
  <c r="AH170" i="48" l="1"/>
  <c r="K373" i="48"/>
  <c r="S135" i="48"/>
  <c r="T373" i="48"/>
  <c r="L374" i="48"/>
  <c r="M374" i="48" s="1"/>
  <c r="J375" i="48"/>
  <c r="AB136" i="48"/>
  <c r="AE136" i="48"/>
  <c r="W137" i="48" s="1"/>
  <c r="AO114" i="21"/>
  <c r="AN114" i="21"/>
  <c r="AM116" i="12"/>
  <c r="AF154" i="12"/>
  <c r="AE155" i="12"/>
  <c r="Q170" i="48" l="1"/>
  <c r="AL170" i="48"/>
  <c r="AF171" i="48" s="1"/>
  <c r="AI170" i="48"/>
  <c r="K374" i="48"/>
  <c r="AC136" i="48"/>
  <c r="AD136" i="48" s="1"/>
  <c r="U136" i="48"/>
  <c r="T374" i="48"/>
  <c r="L375" i="48"/>
  <c r="M375" i="48" s="1"/>
  <c r="J376" i="48"/>
  <c r="X137" i="48"/>
  <c r="N137" i="48" s="1"/>
  <c r="AP114" i="21"/>
  <c r="AQ114" i="21"/>
  <c r="AJ115" i="21" s="1"/>
  <c r="AO116" i="12"/>
  <c r="AQ116" i="12" s="1"/>
  <c r="AN116" i="12"/>
  <c r="AF155" i="12"/>
  <c r="AE156" i="12"/>
  <c r="AJ170" i="48" l="1"/>
  <c r="AK170" i="48" s="1"/>
  <c r="V170" i="48"/>
  <c r="AG171" i="48"/>
  <c r="P171" i="48" s="1"/>
  <c r="K375" i="48"/>
  <c r="AP136" i="48"/>
  <c r="T375" i="48"/>
  <c r="L376" i="48"/>
  <c r="M376" i="48" s="1"/>
  <c r="J377" i="48"/>
  <c r="Y137" i="48"/>
  <c r="O137" i="48" s="1"/>
  <c r="AO137" i="48"/>
  <c r="R137" i="48" s="1"/>
  <c r="AN137" i="48"/>
  <c r="AM115" i="21"/>
  <c r="AP116" i="12"/>
  <c r="AJ117" i="12"/>
  <c r="AF156" i="12"/>
  <c r="AE157" i="12"/>
  <c r="AH171" i="48" l="1"/>
  <c r="K376" i="48"/>
  <c r="S136" i="48"/>
  <c r="T376" i="48"/>
  <c r="L377" i="48"/>
  <c r="M377" i="48" s="1"/>
  <c r="J378" i="48"/>
  <c r="AB137" i="48"/>
  <c r="AE137" i="48"/>
  <c r="W138" i="48" s="1"/>
  <c r="AO115" i="21"/>
  <c r="AN115" i="21"/>
  <c r="AM117" i="12"/>
  <c r="AF157" i="12"/>
  <c r="AE158" i="12"/>
  <c r="Q171" i="48" l="1"/>
  <c r="AL171" i="48"/>
  <c r="AF172" i="48" s="1"/>
  <c r="AI171" i="48"/>
  <c r="K377" i="48"/>
  <c r="AC137" i="48"/>
  <c r="AD137" i="48" s="1"/>
  <c r="U137" i="48"/>
  <c r="T377" i="48"/>
  <c r="L378" i="48"/>
  <c r="M378" i="48" s="1"/>
  <c r="X58" i="45"/>
  <c r="X79" i="45"/>
  <c r="W86" i="45"/>
  <c r="W113" i="45"/>
  <c r="W54" i="45"/>
  <c r="X20" i="45"/>
  <c r="V86" i="45"/>
  <c r="AA86" i="45" s="1"/>
  <c r="Z78" i="45"/>
  <c r="V101" i="45"/>
  <c r="AA101" i="45" s="1"/>
  <c r="X87" i="45"/>
  <c r="V74" i="45"/>
  <c r="AA74" i="45" s="1"/>
  <c r="V85" i="45"/>
  <c r="AA85" i="45" s="1"/>
  <c r="Z85" i="45"/>
  <c r="X110" i="45"/>
  <c r="V70" i="45"/>
  <c r="AA70" i="45" s="1"/>
  <c r="Z107" i="45"/>
  <c r="V59" i="45"/>
  <c r="AA59" i="45" s="1"/>
  <c r="Z53" i="45"/>
  <c r="Z88" i="45"/>
  <c r="W83" i="45"/>
  <c r="X37" i="45"/>
  <c r="V89" i="45"/>
  <c r="AA89" i="45" s="1"/>
  <c r="X69" i="45"/>
  <c r="W99" i="45"/>
  <c r="W77" i="45"/>
  <c r="W94" i="45"/>
  <c r="Z55" i="45"/>
  <c r="W64" i="45"/>
  <c r="W104" i="45"/>
  <c r="W67" i="45"/>
  <c r="X99" i="45"/>
  <c r="Z106" i="45"/>
  <c r="V67" i="45"/>
  <c r="AA67" i="45" s="1"/>
  <c r="W95" i="45"/>
  <c r="X61" i="45"/>
  <c r="V97" i="45"/>
  <c r="AA97" i="45" s="1"/>
  <c r="X75" i="45"/>
  <c r="X108" i="45"/>
  <c r="Z57" i="45"/>
  <c r="Z50" i="45"/>
  <c r="X29" i="45"/>
  <c r="W50" i="45"/>
  <c r="Z59" i="45"/>
  <c r="Z93" i="45"/>
  <c r="V103" i="45"/>
  <c r="AA103" i="45" s="1"/>
  <c r="W88" i="45"/>
  <c r="X66" i="45"/>
  <c r="X90" i="45"/>
  <c r="Z116" i="45"/>
  <c r="X76" i="45"/>
  <c r="Z84" i="45"/>
  <c r="W74" i="45"/>
  <c r="V48" i="45"/>
  <c r="AA48" i="45" s="1"/>
  <c r="X80" i="45"/>
  <c r="Z113" i="45"/>
  <c r="X44" i="45"/>
  <c r="Z69" i="45"/>
  <c r="W78" i="45"/>
  <c r="W96" i="45"/>
  <c r="Z54" i="45"/>
  <c r="V99" i="45"/>
  <c r="AA99" i="45" s="1"/>
  <c r="X82" i="45"/>
  <c r="X53" i="45"/>
  <c r="X25" i="45"/>
  <c r="X115" i="45"/>
  <c r="W105" i="45"/>
  <c r="W81" i="45"/>
  <c r="X93" i="45"/>
  <c r="X81" i="45"/>
  <c r="X31" i="45"/>
  <c r="Z56" i="45"/>
  <c r="W84" i="45"/>
  <c r="V68" i="45"/>
  <c r="AA68" i="45" s="1"/>
  <c r="Z102" i="45"/>
  <c r="X51" i="45"/>
  <c r="Z63" i="45"/>
  <c r="X59" i="45"/>
  <c r="W100" i="45"/>
  <c r="X38" i="45"/>
  <c r="Z100" i="45"/>
  <c r="X33" i="45"/>
  <c r="V73" i="45"/>
  <c r="AA73" i="45" s="1"/>
  <c r="V69" i="45"/>
  <c r="AA69" i="45" s="1"/>
  <c r="W85" i="45"/>
  <c r="W55" i="45"/>
  <c r="V49" i="45"/>
  <c r="AA49" i="45" s="1"/>
  <c r="Z73" i="45"/>
  <c r="Z58" i="45"/>
  <c r="X40" i="45"/>
  <c r="W108" i="45"/>
  <c r="W63" i="45"/>
  <c r="X62" i="45"/>
  <c r="X106" i="45"/>
  <c r="V109" i="45"/>
  <c r="AA109" i="45" s="1"/>
  <c r="Z75" i="45"/>
  <c r="X100" i="45"/>
  <c r="V52" i="45"/>
  <c r="AA52" i="45" s="1"/>
  <c r="V112" i="45"/>
  <c r="AA112" i="45" s="1"/>
  <c r="W60" i="45"/>
  <c r="X52" i="45"/>
  <c r="X19" i="45"/>
  <c r="X113" i="45"/>
  <c r="V96" i="45"/>
  <c r="AA96" i="45" s="1"/>
  <c r="V84" i="45"/>
  <c r="AA84" i="45" s="1"/>
  <c r="X63" i="45"/>
  <c r="Z101" i="45"/>
  <c r="Z48" i="45"/>
  <c r="W79" i="45"/>
  <c r="V104" i="45"/>
  <c r="AA104" i="45" s="1"/>
  <c r="V75" i="45"/>
  <c r="AA75" i="45" s="1"/>
  <c r="X109" i="45"/>
  <c r="X89" i="45"/>
  <c r="W106" i="45"/>
  <c r="Z95" i="45"/>
  <c r="Z104" i="45"/>
  <c r="Z74" i="45"/>
  <c r="W72" i="45"/>
  <c r="V94" i="45"/>
  <c r="AA94" i="45" s="1"/>
  <c r="X83" i="45"/>
  <c r="V105" i="45"/>
  <c r="AA105" i="45" s="1"/>
  <c r="X74" i="45"/>
  <c r="W112" i="45"/>
  <c r="V61" i="45"/>
  <c r="AA61" i="45" s="1"/>
  <c r="W89" i="45"/>
  <c r="X57" i="45"/>
  <c r="V80" i="45"/>
  <c r="AA80" i="45" s="1"/>
  <c r="V62" i="45"/>
  <c r="AA62" i="45" s="1"/>
  <c r="Z114" i="45"/>
  <c r="X84" i="45"/>
  <c r="V65" i="45"/>
  <c r="AA65" i="45" s="1"/>
  <c r="W115" i="45"/>
  <c r="Z96" i="45"/>
  <c r="X73" i="45"/>
  <c r="X48" i="45"/>
  <c r="V83" i="45"/>
  <c r="AA83" i="45" s="1"/>
  <c r="W98" i="45"/>
  <c r="X41" i="45"/>
  <c r="X30" i="45"/>
  <c r="W56" i="45"/>
  <c r="Z92" i="45"/>
  <c r="Z83" i="45"/>
  <c r="X64" i="45"/>
  <c r="Z98" i="45"/>
  <c r="V72" i="45"/>
  <c r="AA72" i="45" s="1"/>
  <c r="V108" i="45"/>
  <c r="AA108" i="45" s="1"/>
  <c r="W61" i="45"/>
  <c r="W91" i="45"/>
  <c r="Z66" i="45"/>
  <c r="X27" i="45"/>
  <c r="W62" i="45"/>
  <c r="V88" i="45"/>
  <c r="AA88" i="45" s="1"/>
  <c r="X26" i="45"/>
  <c r="V116" i="45"/>
  <c r="AA116" i="45" s="1"/>
  <c r="W102" i="45"/>
  <c r="Z105" i="45"/>
  <c r="X17" i="45"/>
  <c r="Z76" i="45"/>
  <c r="W48" i="45"/>
  <c r="X91" i="45"/>
  <c r="V53" i="45"/>
  <c r="AA53" i="45" s="1"/>
  <c r="Z90" i="45"/>
  <c r="X18" i="45"/>
  <c r="X24" i="45"/>
  <c r="X45" i="45"/>
  <c r="X42" i="45"/>
  <c r="Z49" i="45"/>
  <c r="X77" i="45"/>
  <c r="Z68" i="45"/>
  <c r="X54" i="45"/>
  <c r="X60" i="45"/>
  <c r="Z62" i="45"/>
  <c r="V87" i="45"/>
  <c r="AA87" i="45" s="1"/>
  <c r="Z111" i="45"/>
  <c r="X92" i="45"/>
  <c r="V98" i="45"/>
  <c r="AA98" i="45" s="1"/>
  <c r="Z115" i="45"/>
  <c r="X68" i="45"/>
  <c r="W49" i="45"/>
  <c r="W76" i="45"/>
  <c r="X71" i="45"/>
  <c r="V71" i="45"/>
  <c r="AA71" i="45" s="1"/>
  <c r="Z112" i="45"/>
  <c r="W52" i="45"/>
  <c r="V56" i="45"/>
  <c r="AA56" i="45" s="1"/>
  <c r="Z97" i="45"/>
  <c r="W80" i="45"/>
  <c r="X105" i="45"/>
  <c r="W111" i="45"/>
  <c r="V55" i="45"/>
  <c r="AA55" i="45" s="1"/>
  <c r="V54" i="45"/>
  <c r="AA54" i="45" s="1"/>
  <c r="Z51" i="45"/>
  <c r="V60" i="45"/>
  <c r="AA60" i="45" s="1"/>
  <c r="V91" i="45"/>
  <c r="AA91" i="45" s="1"/>
  <c r="V102" i="45"/>
  <c r="AA102" i="45" s="1"/>
  <c r="Z67" i="45"/>
  <c r="V90" i="45"/>
  <c r="AA90" i="45" s="1"/>
  <c r="Z61" i="45"/>
  <c r="X85" i="45"/>
  <c r="X55" i="45"/>
  <c r="X101" i="45"/>
  <c r="W97" i="45"/>
  <c r="W103" i="45"/>
  <c r="X35" i="45"/>
  <c r="W71" i="45"/>
  <c r="X86" i="45"/>
  <c r="V93" i="45"/>
  <c r="AA93" i="45" s="1"/>
  <c r="Z103" i="45"/>
  <c r="Z86" i="45"/>
  <c r="W101" i="45"/>
  <c r="X116" i="45"/>
  <c r="V78" i="45"/>
  <c r="AA78" i="45" s="1"/>
  <c r="W70" i="45"/>
  <c r="W58" i="45"/>
  <c r="X22" i="45"/>
  <c r="V107" i="45"/>
  <c r="AA107" i="45" s="1"/>
  <c r="X94" i="45"/>
  <c r="Z77" i="45"/>
  <c r="X56" i="45"/>
  <c r="Z89" i="45"/>
  <c r="X96" i="45"/>
  <c r="W92" i="45"/>
  <c r="X28" i="45"/>
  <c r="X23" i="45"/>
  <c r="V50" i="45"/>
  <c r="AA50" i="45" s="1"/>
  <c r="V51" i="45"/>
  <c r="AA51" i="45" s="1"/>
  <c r="V95" i="45"/>
  <c r="AA95" i="45" s="1"/>
  <c r="X88" i="45"/>
  <c r="W82" i="45"/>
  <c r="X111" i="45"/>
  <c r="Z60" i="45"/>
  <c r="V82" i="45"/>
  <c r="AA82" i="45" s="1"/>
  <c r="W93" i="45"/>
  <c r="Z72" i="45"/>
  <c r="Z65" i="45"/>
  <c r="Z109" i="45"/>
  <c r="V81" i="45"/>
  <c r="AA81" i="45" s="1"/>
  <c r="V79" i="45"/>
  <c r="AA79" i="45" s="1"/>
  <c r="W87" i="45"/>
  <c r="V92" i="45"/>
  <c r="AA92" i="45" s="1"/>
  <c r="W69" i="45"/>
  <c r="X102" i="45"/>
  <c r="X78" i="45"/>
  <c r="X34" i="45"/>
  <c r="V77" i="45"/>
  <c r="AA77" i="45" s="1"/>
  <c r="W109" i="45"/>
  <c r="V111" i="45"/>
  <c r="AA111" i="45" s="1"/>
  <c r="W116" i="45"/>
  <c r="Z64" i="45"/>
  <c r="Z94" i="45"/>
  <c r="V63" i="45"/>
  <c r="AA63" i="45" s="1"/>
  <c r="X43" i="45"/>
  <c r="X32" i="45"/>
  <c r="X72" i="45"/>
  <c r="V66" i="45"/>
  <c r="AA66" i="45" s="1"/>
  <c r="X95" i="45"/>
  <c r="V113" i="45"/>
  <c r="AA113" i="45" s="1"/>
  <c r="X114" i="45"/>
  <c r="W51" i="45"/>
  <c r="W65" i="45"/>
  <c r="V115" i="45"/>
  <c r="AA115" i="45" s="1"/>
  <c r="W57" i="45"/>
  <c r="W53" i="45"/>
  <c r="X39" i="45"/>
  <c r="V57" i="45"/>
  <c r="AA57" i="45" s="1"/>
  <c r="W66" i="45"/>
  <c r="Z71" i="45"/>
  <c r="X98" i="45"/>
  <c r="X21" i="45"/>
  <c r="V114" i="45"/>
  <c r="AA114" i="45" s="1"/>
  <c r="V106" i="45"/>
  <c r="AA106" i="45" s="1"/>
  <c r="W90" i="45"/>
  <c r="W107" i="45"/>
  <c r="W73" i="45"/>
  <c r="W75" i="45"/>
  <c r="Z108" i="45"/>
  <c r="Z80" i="45"/>
  <c r="X97" i="45"/>
  <c r="Z81" i="45"/>
  <c r="V76" i="45"/>
  <c r="AA76" i="45" s="1"/>
  <c r="X103" i="45"/>
  <c r="V64" i="45"/>
  <c r="AA64" i="45" s="1"/>
  <c r="Z87" i="45"/>
  <c r="X70" i="45"/>
  <c r="X49" i="45"/>
  <c r="Z99" i="45"/>
  <c r="X67" i="45"/>
  <c r="Z91" i="45"/>
  <c r="W68" i="45"/>
  <c r="Z52" i="45"/>
  <c r="W114" i="45"/>
  <c r="W59" i="45"/>
  <c r="X47" i="45"/>
  <c r="W110" i="45"/>
  <c r="V100" i="45"/>
  <c r="AA100" i="45" s="1"/>
  <c r="Z79" i="45"/>
  <c r="X104" i="45"/>
  <c r="V58" i="45"/>
  <c r="AA58" i="45" s="1"/>
  <c r="X112" i="45"/>
  <c r="X50" i="45"/>
  <c r="X36" i="45"/>
  <c r="X46" i="45"/>
  <c r="Z82" i="45"/>
  <c r="V110" i="45"/>
  <c r="AA110" i="45" s="1"/>
  <c r="Z70" i="45"/>
  <c r="X65" i="45"/>
  <c r="Z110" i="45"/>
  <c r="X107" i="45"/>
  <c r="X138" i="48"/>
  <c r="N138" i="48" s="1"/>
  <c r="AP115" i="21"/>
  <c r="AQ115" i="21"/>
  <c r="AJ116" i="21" s="1"/>
  <c r="AO117" i="12"/>
  <c r="AQ117" i="12" s="1"/>
  <c r="AN117" i="12"/>
  <c r="AF158" i="12"/>
  <c r="AE159" i="12"/>
  <c r="V171" i="48" l="1"/>
  <c r="AJ171" i="48"/>
  <c r="AK171" i="48" s="1"/>
  <c r="AG172" i="48"/>
  <c r="P172" i="48" s="1"/>
  <c r="K378" i="48"/>
  <c r="AP137" i="48"/>
  <c r="T378" i="48"/>
  <c r="Y138" i="48"/>
  <c r="O138" i="48" s="1"/>
  <c r="AN138" i="48"/>
  <c r="AO138" i="48"/>
  <c r="R138" i="48" s="1"/>
  <c r="AM116" i="21"/>
  <c r="AP117" i="12"/>
  <c r="AJ118" i="12"/>
  <c r="AF159" i="12"/>
  <c r="AE160" i="12"/>
  <c r="AH172" i="48" l="1"/>
  <c r="S137" i="48"/>
  <c r="AB138" i="48"/>
  <c r="AE138" i="48"/>
  <c r="W139" i="48" s="1"/>
  <c r="V17" i="45"/>
  <c r="AA17" i="45" s="1"/>
  <c r="V18" i="45"/>
  <c r="AA18" i="45" s="1"/>
  <c r="AO116" i="21"/>
  <c r="AN116" i="21"/>
  <c r="AM118" i="12"/>
  <c r="AF160" i="12"/>
  <c r="AE161" i="12"/>
  <c r="Q172" i="48" l="1"/>
  <c r="AL172" i="48"/>
  <c r="AF173" i="48" s="1"/>
  <c r="AI172" i="48"/>
  <c r="AC138" i="48"/>
  <c r="AD138" i="48" s="1"/>
  <c r="U138" i="48"/>
  <c r="X139" i="48"/>
  <c r="N139" i="48" s="1"/>
  <c r="AQ116" i="21"/>
  <c r="AJ117" i="21" s="1"/>
  <c r="AP116" i="21"/>
  <c r="AO118" i="12"/>
  <c r="AQ118" i="12" s="1"/>
  <c r="AN118" i="12"/>
  <c r="AF161" i="12"/>
  <c r="AE162" i="12"/>
  <c r="AJ172" i="48" l="1"/>
  <c r="AK172" i="48" s="1"/>
  <c r="V172" i="48"/>
  <c r="AG173" i="48"/>
  <c r="P173" i="48" s="1"/>
  <c r="AP138" i="48"/>
  <c r="Y139" i="48"/>
  <c r="O139" i="48" s="1"/>
  <c r="AO139" i="48"/>
  <c r="R139" i="48" s="1"/>
  <c r="AN139" i="48"/>
  <c r="AM117" i="21"/>
  <c r="AP118" i="12"/>
  <c r="AJ119" i="12"/>
  <c r="AF162" i="12"/>
  <c r="AE163" i="12"/>
  <c r="AH173" i="48" l="1"/>
  <c r="S138" i="48"/>
  <c r="AB139" i="48"/>
  <c r="AE139" i="48"/>
  <c r="W140" i="48" s="1"/>
  <c r="AO117" i="21"/>
  <c r="AN117" i="21"/>
  <c r="AM119" i="12"/>
  <c r="AF163" i="12"/>
  <c r="AE164" i="12"/>
  <c r="Q173" i="48" l="1"/>
  <c r="AL173" i="48"/>
  <c r="AF174" i="48" s="1"/>
  <c r="AI173" i="48"/>
  <c r="AC139" i="48"/>
  <c r="AD139" i="48" s="1"/>
  <c r="U139" i="48"/>
  <c r="X140" i="48"/>
  <c r="N140" i="48" s="1"/>
  <c r="AQ117" i="21"/>
  <c r="AJ118" i="21" s="1"/>
  <c r="AP117" i="21"/>
  <c r="AO119" i="12"/>
  <c r="AQ119" i="12" s="1"/>
  <c r="AN119" i="12"/>
  <c r="AF164" i="12"/>
  <c r="AE165" i="12"/>
  <c r="AG174" i="48" l="1"/>
  <c r="P174" i="48" s="1"/>
  <c r="AJ173" i="48"/>
  <c r="AK173" i="48" s="1"/>
  <c r="V173" i="48"/>
  <c r="AP139" i="48"/>
  <c r="Y140" i="48"/>
  <c r="O140" i="48" s="1"/>
  <c r="AO140" i="48"/>
  <c r="R140" i="48" s="1"/>
  <c r="AN140" i="48"/>
  <c r="AM118" i="21"/>
  <c r="AP119" i="12"/>
  <c r="AJ120" i="12"/>
  <c r="AF165" i="12"/>
  <c r="AE166" i="12"/>
  <c r="AH174" i="48" l="1"/>
  <c r="S139" i="48"/>
  <c r="AB140" i="48"/>
  <c r="AE140" i="48"/>
  <c r="W141" i="48" s="1"/>
  <c r="AO118" i="21"/>
  <c r="AN118" i="21"/>
  <c r="AM120" i="12"/>
  <c r="AF166" i="12"/>
  <c r="AE167" i="12"/>
  <c r="Q174" i="48" l="1"/>
  <c r="AI174" i="48"/>
  <c r="AL174" i="48"/>
  <c r="AF175" i="48" s="1"/>
  <c r="AC140" i="48"/>
  <c r="AD140" i="48" s="1"/>
  <c r="U140" i="48"/>
  <c r="X141" i="48"/>
  <c r="N141" i="48" s="1"/>
  <c r="AP118" i="21"/>
  <c r="AQ118" i="21"/>
  <c r="AJ119" i="21" s="1"/>
  <c r="AO120" i="12"/>
  <c r="AQ120" i="12" s="1"/>
  <c r="AN120" i="12"/>
  <c r="AF167" i="12"/>
  <c r="AE168" i="12"/>
  <c r="AG175" i="48" l="1"/>
  <c r="P175" i="48" s="1"/>
  <c r="V174" i="48"/>
  <c r="AJ174" i="48"/>
  <c r="AK174" i="48" s="1"/>
  <c r="AP140" i="48"/>
  <c r="Y141" i="48"/>
  <c r="O141" i="48" s="1"/>
  <c r="AN141" i="48"/>
  <c r="AO141" i="48"/>
  <c r="R141" i="48" s="1"/>
  <c r="AM119" i="21"/>
  <c r="AJ121" i="12"/>
  <c r="AP120" i="12"/>
  <c r="AF168" i="12"/>
  <c r="AE169" i="12"/>
  <c r="AH175" i="48" l="1"/>
  <c r="S140" i="48"/>
  <c r="AB141" i="48"/>
  <c r="AE141" i="48"/>
  <c r="W142" i="48" s="1"/>
  <c r="Z17" i="45"/>
  <c r="AM17" i="45" s="1"/>
  <c r="S17" i="45" s="1"/>
  <c r="Z18" i="45"/>
  <c r="Z19" i="45"/>
  <c r="Z20" i="45"/>
  <c r="Z21" i="45"/>
  <c r="Z22" i="45"/>
  <c r="Z23" i="45"/>
  <c r="Z24" i="45"/>
  <c r="Z25" i="45"/>
  <c r="Z26" i="45"/>
  <c r="AO119" i="21"/>
  <c r="AN119" i="21"/>
  <c r="AM121" i="12"/>
  <c r="AF169" i="12"/>
  <c r="AE170" i="12"/>
  <c r="Q175" i="48" l="1"/>
  <c r="AI175" i="48"/>
  <c r="AL175" i="48"/>
  <c r="AF176" i="48" s="1"/>
  <c r="AC141" i="48"/>
  <c r="AD141" i="48" s="1"/>
  <c r="U141" i="48"/>
  <c r="AN17" i="45"/>
  <c r="R17" i="45" s="1"/>
  <c r="X18" i="53"/>
  <c r="R18" i="53" s="1"/>
  <c r="X142" i="48"/>
  <c r="N142" i="48" s="1"/>
  <c r="AQ119" i="21"/>
  <c r="AJ120" i="21" s="1"/>
  <c r="AP119" i="21"/>
  <c r="AO121" i="12"/>
  <c r="AQ121" i="12" s="1"/>
  <c r="AN121" i="12"/>
  <c r="AF170" i="12"/>
  <c r="AE171" i="12"/>
  <c r="AG176" i="48" l="1"/>
  <c r="P176" i="48" s="1"/>
  <c r="AJ175" i="48"/>
  <c r="AK175" i="48" s="1"/>
  <c r="V175" i="48"/>
  <c r="AP141" i="48"/>
  <c r="Y142" i="48"/>
  <c r="O142" i="48" s="1"/>
  <c r="AO142" i="48"/>
  <c r="R142" i="48" s="1"/>
  <c r="AN142" i="48"/>
  <c r="AM120" i="21"/>
  <c r="AP121" i="12"/>
  <c r="AJ122" i="12"/>
  <c r="AF171" i="12"/>
  <c r="AE172" i="12"/>
  <c r="AH176" i="48" l="1"/>
  <c r="S141" i="48"/>
  <c r="AB142" i="48"/>
  <c r="AE142" i="48"/>
  <c r="W143" i="48" s="1"/>
  <c r="AO120" i="21"/>
  <c r="AN120" i="21"/>
  <c r="AM122" i="12"/>
  <c r="AF172" i="12"/>
  <c r="AE173" i="12"/>
  <c r="Q176" i="48" l="1"/>
  <c r="AI176" i="48"/>
  <c r="AL176" i="48"/>
  <c r="AF177" i="48" s="1"/>
  <c r="AC142" i="48"/>
  <c r="AD142" i="48" s="1"/>
  <c r="U142" i="48"/>
  <c r="X143" i="48"/>
  <c r="N143" i="48" s="1"/>
  <c r="AP120" i="21"/>
  <c r="AQ120" i="21"/>
  <c r="AJ121" i="21" s="1"/>
  <c r="AO122" i="12"/>
  <c r="AQ122" i="12" s="1"/>
  <c r="AN122" i="12"/>
  <c r="AF173" i="12"/>
  <c r="AE174" i="12"/>
  <c r="AG177" i="48" l="1"/>
  <c r="P177" i="48" s="1"/>
  <c r="AJ176" i="48"/>
  <c r="AK176" i="48" s="1"/>
  <c r="V176" i="48"/>
  <c r="AP142" i="48"/>
  <c r="S142" i="48" s="1"/>
  <c r="Y143" i="48"/>
  <c r="O143" i="48" s="1"/>
  <c r="AO143" i="48"/>
  <c r="R143" i="48" s="1"/>
  <c r="AN143" i="48"/>
  <c r="AM121" i="21"/>
  <c r="AJ123" i="12"/>
  <c r="AP122" i="12"/>
  <c r="AF174" i="12"/>
  <c r="AE175" i="12"/>
  <c r="AH177" i="48" l="1"/>
  <c r="AB143" i="48"/>
  <c r="AE143" i="48"/>
  <c r="W144" i="48" s="1"/>
  <c r="AO121" i="21"/>
  <c r="AN121" i="21"/>
  <c r="AM123" i="12"/>
  <c r="AF175" i="12"/>
  <c r="AE176" i="12"/>
  <c r="Q177" i="48" l="1"/>
  <c r="AL177" i="48"/>
  <c r="AF178" i="48" s="1"/>
  <c r="AI177" i="48"/>
  <c r="AC143" i="48"/>
  <c r="AD143" i="48" s="1"/>
  <c r="U143" i="48"/>
  <c r="X144" i="48"/>
  <c r="N144" i="48" s="1"/>
  <c r="AQ121" i="21"/>
  <c r="AJ122" i="21" s="1"/>
  <c r="AP121" i="21"/>
  <c r="AO123" i="12"/>
  <c r="AQ123" i="12" s="1"/>
  <c r="AN123" i="12"/>
  <c r="AF176" i="12"/>
  <c r="AE177" i="12"/>
  <c r="V177" i="48" l="1"/>
  <c r="AJ177" i="48"/>
  <c r="AK177" i="48" s="1"/>
  <c r="AG178" i="48"/>
  <c r="P178" i="48" s="1"/>
  <c r="AP143" i="48"/>
  <c r="S143" i="48" s="1"/>
  <c r="Y144" i="48"/>
  <c r="O144" i="48" s="1"/>
  <c r="AN144" i="48"/>
  <c r="AO144" i="48"/>
  <c r="R144" i="48" s="1"/>
  <c r="AM122" i="21"/>
  <c r="AP123" i="12"/>
  <c r="AJ124" i="12"/>
  <c r="AF177" i="12"/>
  <c r="AE178" i="12"/>
  <c r="AH178" i="48" l="1"/>
  <c r="AB144" i="48"/>
  <c r="AE144" i="48"/>
  <c r="W145" i="48" s="1"/>
  <c r="AO122" i="21"/>
  <c r="AN122" i="21"/>
  <c r="AM124" i="12"/>
  <c r="AF178" i="12"/>
  <c r="AE179" i="12"/>
  <c r="Q178" i="48" l="1"/>
  <c r="AI178" i="48"/>
  <c r="AL178" i="48"/>
  <c r="AF179" i="48" s="1"/>
  <c r="AC144" i="48"/>
  <c r="AD144" i="48" s="1"/>
  <c r="U144" i="48"/>
  <c r="X145" i="48"/>
  <c r="N145" i="48" s="1"/>
  <c r="AQ122" i="21"/>
  <c r="AJ123" i="21" s="1"/>
  <c r="AP122" i="21"/>
  <c r="AO124" i="12"/>
  <c r="AQ124" i="12" s="1"/>
  <c r="AN124" i="12"/>
  <c r="AF179" i="12"/>
  <c r="AE180" i="12"/>
  <c r="AG179" i="48" l="1"/>
  <c r="P179" i="48" s="1"/>
  <c r="AH179" i="48"/>
  <c r="Q179" i="48" s="1"/>
  <c r="AJ178" i="48"/>
  <c r="AK178" i="48" s="1"/>
  <c r="V178" i="48"/>
  <c r="AP144" i="48"/>
  <c r="Y145" i="48"/>
  <c r="O145" i="48" s="1"/>
  <c r="AN145" i="48"/>
  <c r="AO145" i="48"/>
  <c r="R145" i="48" s="1"/>
  <c r="AM123" i="21"/>
  <c r="AJ125" i="12"/>
  <c r="AP124" i="12"/>
  <c r="AF180" i="12"/>
  <c r="AE181" i="12"/>
  <c r="AI179" i="48" l="1"/>
  <c r="AL179" i="48"/>
  <c r="AF180" i="48" s="1"/>
  <c r="AG180" i="48" s="1"/>
  <c r="P180" i="48" s="1"/>
  <c r="V179" i="48"/>
  <c r="AJ179" i="48"/>
  <c r="AK179" i="48" s="1"/>
  <c r="S144" i="48"/>
  <c r="AB145" i="48"/>
  <c r="AE145" i="48"/>
  <c r="W146" i="48" s="1"/>
  <c r="AO123" i="21"/>
  <c r="AN123" i="21"/>
  <c r="AM125" i="12"/>
  <c r="AF181" i="12"/>
  <c r="AE182" i="12"/>
  <c r="AH180" i="48" l="1"/>
  <c r="AC145" i="48"/>
  <c r="AD145" i="48" s="1"/>
  <c r="U145" i="48"/>
  <c r="X146" i="48"/>
  <c r="N146" i="48" s="1"/>
  <c r="AQ123" i="21"/>
  <c r="AJ124" i="21" s="1"/>
  <c r="AP123" i="21"/>
  <c r="AO125" i="12"/>
  <c r="AQ125" i="12" s="1"/>
  <c r="AN125" i="12"/>
  <c r="AF182" i="12"/>
  <c r="AE183" i="12"/>
  <c r="Q180" i="48" l="1"/>
  <c r="AI180" i="48"/>
  <c r="AL180" i="48"/>
  <c r="AF181" i="48" s="1"/>
  <c r="AP145" i="48"/>
  <c r="Y146" i="48"/>
  <c r="O146" i="48" s="1"/>
  <c r="AO146" i="48"/>
  <c r="R146" i="48" s="1"/>
  <c r="AN146" i="48"/>
  <c r="AM124" i="21"/>
  <c r="AJ126" i="12"/>
  <c r="AP125" i="12"/>
  <c r="AF183" i="12"/>
  <c r="AE184" i="12"/>
  <c r="AG181" i="48" l="1"/>
  <c r="P181" i="48" s="1"/>
  <c r="AJ180" i="48"/>
  <c r="AK180" i="48" s="1"/>
  <c r="V180" i="48"/>
  <c r="S145" i="48"/>
  <c r="AB146" i="48"/>
  <c r="AE146" i="48"/>
  <c r="W147" i="48" s="1"/>
  <c r="AO124" i="21"/>
  <c r="AN124" i="21"/>
  <c r="AM126" i="12"/>
  <c r="AF184" i="12"/>
  <c r="AE185" i="12"/>
  <c r="AH181" i="48" l="1"/>
  <c r="AL181" i="48" s="1"/>
  <c r="AF182" i="48" s="1"/>
  <c r="AC146" i="48"/>
  <c r="AD146" i="48" s="1"/>
  <c r="U146" i="48"/>
  <c r="X147" i="48"/>
  <c r="N147" i="48" s="1"/>
  <c r="AP124" i="21"/>
  <c r="AQ124" i="21"/>
  <c r="AJ125" i="21" s="1"/>
  <c r="AO126" i="12"/>
  <c r="AQ126" i="12" s="1"/>
  <c r="AN126" i="12"/>
  <c r="AF185" i="12"/>
  <c r="AE186" i="12"/>
  <c r="Q181" i="48" l="1"/>
  <c r="AI181" i="48"/>
  <c r="AG182" i="48"/>
  <c r="P182" i="48" s="1"/>
  <c r="AP146" i="48"/>
  <c r="Y147" i="48"/>
  <c r="O147" i="48" s="1"/>
  <c r="AN147" i="48"/>
  <c r="AO147" i="48"/>
  <c r="R147" i="48" s="1"/>
  <c r="AM125" i="21"/>
  <c r="AJ127" i="12"/>
  <c r="AP126" i="12"/>
  <c r="AF186" i="12"/>
  <c r="AE187" i="12"/>
  <c r="AH182" i="48" l="1"/>
  <c r="AL182" i="48" s="1"/>
  <c r="AF183" i="48" s="1"/>
  <c r="AG183" i="48" s="1"/>
  <c r="P183" i="48" s="1"/>
  <c r="V181" i="48"/>
  <c r="AJ181" i="48"/>
  <c r="AK181" i="48" s="1"/>
  <c r="Q182" i="48"/>
  <c r="AI182" i="48"/>
  <c r="S146" i="48"/>
  <c r="AB147" i="48"/>
  <c r="AE147" i="48"/>
  <c r="W148" i="48" s="1"/>
  <c r="AO125" i="21"/>
  <c r="AN125" i="21"/>
  <c r="AM127" i="12"/>
  <c r="AF187" i="12"/>
  <c r="AE188" i="12"/>
  <c r="AH183" i="48" l="1"/>
  <c r="Q183" i="48" s="1"/>
  <c r="AJ182" i="48"/>
  <c r="AK182" i="48" s="1"/>
  <c r="V182" i="48"/>
  <c r="AC147" i="48"/>
  <c r="AD147" i="48" s="1"/>
  <c r="U147" i="48"/>
  <c r="X148" i="48"/>
  <c r="N148" i="48" s="1"/>
  <c r="AQ125" i="21"/>
  <c r="AJ126" i="21" s="1"/>
  <c r="AP125" i="21"/>
  <c r="AO127" i="12"/>
  <c r="AQ127" i="12" s="1"/>
  <c r="AN127" i="12"/>
  <c r="AF188" i="12"/>
  <c r="AE189" i="12"/>
  <c r="AI183" i="48" l="1"/>
  <c r="AL183" i="48"/>
  <c r="AF184" i="48" s="1"/>
  <c r="AG184" i="48" s="1"/>
  <c r="P184" i="48" s="1"/>
  <c r="AJ183" i="48"/>
  <c r="AK183" i="48" s="1"/>
  <c r="V183" i="48"/>
  <c r="AP147" i="48"/>
  <c r="Y148" i="48"/>
  <c r="O148" i="48" s="1"/>
  <c r="AO148" i="48"/>
  <c r="R148" i="48" s="1"/>
  <c r="AN148" i="48"/>
  <c r="AM126" i="21"/>
  <c r="AP127" i="12"/>
  <c r="AJ128" i="12"/>
  <c r="AF189" i="12"/>
  <c r="AE190" i="12"/>
  <c r="AH184" i="48" l="1"/>
  <c r="S147" i="48"/>
  <c r="AB148" i="48"/>
  <c r="AE148" i="48"/>
  <c r="W149" i="48" s="1"/>
  <c r="AO126" i="21"/>
  <c r="AN126" i="21"/>
  <c r="AM128" i="12"/>
  <c r="AF190" i="12"/>
  <c r="AE191" i="12"/>
  <c r="Q184" i="48" l="1"/>
  <c r="AL184" i="48"/>
  <c r="AF185" i="48" s="1"/>
  <c r="AI184" i="48"/>
  <c r="AC148" i="48"/>
  <c r="AD148" i="48" s="1"/>
  <c r="U148" i="48"/>
  <c r="X149" i="48"/>
  <c r="N149" i="48" s="1"/>
  <c r="AP126" i="21"/>
  <c r="AQ126" i="21"/>
  <c r="AJ127" i="21" s="1"/>
  <c r="AO128" i="12"/>
  <c r="AQ128" i="12" s="1"/>
  <c r="AN128" i="12"/>
  <c r="AF191" i="12"/>
  <c r="AE192" i="12"/>
  <c r="V184" i="48" l="1"/>
  <c r="AJ184" i="48"/>
  <c r="AK184" i="48" s="1"/>
  <c r="AG185" i="48"/>
  <c r="P185" i="48" s="1"/>
  <c r="AP148" i="48"/>
  <c r="Y149" i="48"/>
  <c r="O149" i="48" s="1"/>
  <c r="AN149" i="48"/>
  <c r="AO149" i="48"/>
  <c r="R149" i="48" s="1"/>
  <c r="AM127" i="21"/>
  <c r="AJ129" i="12"/>
  <c r="AP128" i="12"/>
  <c r="AF192" i="12"/>
  <c r="AE193" i="12"/>
  <c r="AE194" i="12"/>
  <c r="AH185" i="48" l="1"/>
  <c r="S148" i="48"/>
  <c r="AB149" i="48"/>
  <c r="AE149" i="48"/>
  <c r="W150" i="48" s="1"/>
  <c r="AO127" i="21"/>
  <c r="AN127" i="21"/>
  <c r="AM129" i="12"/>
  <c r="AF194" i="12"/>
  <c r="AF193" i="12"/>
  <c r="Q185" i="48" l="1"/>
  <c r="AL185" i="48"/>
  <c r="AF186" i="48" s="1"/>
  <c r="AI185" i="48"/>
  <c r="AC149" i="48"/>
  <c r="AD149" i="48" s="1"/>
  <c r="U149" i="48"/>
  <c r="X150" i="48"/>
  <c r="N150" i="48" s="1"/>
  <c r="AQ127" i="21"/>
  <c r="AJ128" i="21" s="1"/>
  <c r="AP127" i="21"/>
  <c r="AO129" i="12"/>
  <c r="AQ129" i="12" s="1"/>
  <c r="AN129" i="12"/>
  <c r="AG186" i="48" l="1"/>
  <c r="P186" i="48" s="1"/>
  <c r="AH186" i="48"/>
  <c r="AI186" i="48" s="1"/>
  <c r="AJ185" i="48"/>
  <c r="AK185" i="48" s="1"/>
  <c r="V185" i="48"/>
  <c r="AP149" i="48"/>
  <c r="S149" i="48" s="1"/>
  <c r="Y150" i="48"/>
  <c r="O150" i="48" s="1"/>
  <c r="AO150" i="48"/>
  <c r="R150" i="48" s="1"/>
  <c r="AN150" i="48"/>
  <c r="AM128" i="21"/>
  <c r="AP129" i="12"/>
  <c r="AJ130" i="12"/>
  <c r="AL186" i="48" l="1"/>
  <c r="AF187" i="48" s="1"/>
  <c r="Q186" i="48"/>
  <c r="AJ186" i="48"/>
  <c r="AK186" i="48" s="1"/>
  <c r="V186" i="48"/>
  <c r="AB150" i="48"/>
  <c r="AE150" i="48"/>
  <c r="W151" i="48" s="1"/>
  <c r="AO128" i="21"/>
  <c r="AN128" i="21"/>
  <c r="AM130" i="12"/>
  <c r="AG187" i="48" l="1"/>
  <c r="P187" i="48" s="1"/>
  <c r="AC150" i="48"/>
  <c r="AD150" i="48" s="1"/>
  <c r="U150" i="48"/>
  <c r="X151" i="48"/>
  <c r="N151" i="48" s="1"/>
  <c r="AQ128" i="21"/>
  <c r="AJ129" i="21" s="1"/>
  <c r="AP128" i="21"/>
  <c r="AO130" i="12"/>
  <c r="AQ130" i="12" s="1"/>
  <c r="AN130" i="12"/>
  <c r="AH187" i="48" l="1"/>
  <c r="AL187" i="48" s="1"/>
  <c r="AF188" i="48" s="1"/>
  <c r="AG188" i="48" s="1"/>
  <c r="AI187" i="48"/>
  <c r="Q187" i="48"/>
  <c r="AP150" i="48"/>
  <c r="Y151" i="48"/>
  <c r="O151" i="48" s="1"/>
  <c r="AN151" i="48"/>
  <c r="AO151" i="48"/>
  <c r="R151" i="48" s="1"/>
  <c r="AM129" i="21"/>
  <c r="AJ131" i="12"/>
  <c r="AP130" i="12"/>
  <c r="P188" i="48" l="1"/>
  <c r="AH188" i="48"/>
  <c r="AL188" i="48" s="1"/>
  <c r="AF189" i="48" s="1"/>
  <c r="AG189" i="48" s="1"/>
  <c r="P189" i="48" s="1"/>
  <c r="AJ187" i="48"/>
  <c r="AK187" i="48" s="1"/>
  <c r="V187" i="48"/>
  <c r="AI188" i="48"/>
  <c r="Q188" i="48"/>
  <c r="S150" i="48"/>
  <c r="AB151" i="48"/>
  <c r="AE151" i="48"/>
  <c r="W152" i="48" s="1"/>
  <c r="AO129" i="21"/>
  <c r="AN129" i="21"/>
  <c r="AM131" i="12"/>
  <c r="AH189" i="48" l="1"/>
  <c r="V188" i="48"/>
  <c r="AJ188" i="48"/>
  <c r="AK188" i="48" s="1"/>
  <c r="AI189" i="48"/>
  <c r="AC151" i="48"/>
  <c r="AD151" i="48" s="1"/>
  <c r="U151" i="48"/>
  <c r="X152" i="48"/>
  <c r="N152" i="48" s="1"/>
  <c r="AP129" i="21"/>
  <c r="AQ129" i="21"/>
  <c r="AJ130" i="21" s="1"/>
  <c r="AO131" i="12"/>
  <c r="AQ131" i="12" s="1"/>
  <c r="AN131" i="12"/>
  <c r="AJ189" i="48" l="1"/>
  <c r="AK189" i="48" s="1"/>
  <c r="V189" i="48"/>
  <c r="AL189" i="48"/>
  <c r="AF190" i="48" s="1"/>
  <c r="Q189" i="48"/>
  <c r="AP151" i="48"/>
  <c r="Y152" i="48"/>
  <c r="O152" i="48" s="1"/>
  <c r="AN152" i="48"/>
  <c r="AO152" i="48"/>
  <c r="R152" i="48" s="1"/>
  <c r="AM130" i="21"/>
  <c r="AP131" i="12"/>
  <c r="AJ132" i="12"/>
  <c r="AG190" i="48" l="1"/>
  <c r="P190" i="48" s="1"/>
  <c r="S151" i="48"/>
  <c r="AB152" i="48"/>
  <c r="AE152" i="48"/>
  <c r="W153" i="48" s="1"/>
  <c r="AO130" i="21"/>
  <c r="AN130" i="21"/>
  <c r="AM132" i="12"/>
  <c r="AH190" i="48" l="1"/>
  <c r="AL190" i="48" s="1"/>
  <c r="AF191" i="48" s="1"/>
  <c r="AG191" i="48"/>
  <c r="P191" i="48" s="1"/>
  <c r="Q190" i="48"/>
  <c r="AI190" i="48"/>
  <c r="AC152" i="48"/>
  <c r="AD152" i="48" s="1"/>
  <c r="U152" i="48"/>
  <c r="X153" i="48"/>
  <c r="N153" i="48" s="1"/>
  <c r="AQ130" i="21"/>
  <c r="AJ131" i="21" s="1"/>
  <c r="AP130" i="21"/>
  <c r="AO132" i="12"/>
  <c r="AQ132" i="12" s="1"/>
  <c r="AN132" i="12"/>
  <c r="AH191" i="48" l="1"/>
  <c r="AL191" i="48" s="1"/>
  <c r="AF192" i="48" s="1"/>
  <c r="AJ190" i="48"/>
  <c r="AK190" i="48" s="1"/>
  <c r="V190" i="48"/>
  <c r="AI191" i="48"/>
  <c r="AP152" i="48"/>
  <c r="Y153" i="48"/>
  <c r="O153" i="48" s="1"/>
  <c r="AO153" i="48"/>
  <c r="R153" i="48" s="1"/>
  <c r="AN153" i="48"/>
  <c r="AM131" i="21"/>
  <c r="AJ133" i="12"/>
  <c r="AP132" i="12"/>
  <c r="Q191" i="48" l="1"/>
  <c r="AJ191" i="48"/>
  <c r="AK191" i="48" s="1"/>
  <c r="V191" i="48"/>
  <c r="AG192" i="48"/>
  <c r="P192" i="48" s="1"/>
  <c r="S152" i="48"/>
  <c r="AB153" i="48"/>
  <c r="AE153" i="48"/>
  <c r="W154" i="48" s="1"/>
  <c r="AO131" i="21"/>
  <c r="AN131" i="21"/>
  <c r="AM133" i="12"/>
  <c r="AH192" i="48" l="1"/>
  <c r="AC153" i="48"/>
  <c r="AD153" i="48" s="1"/>
  <c r="U153" i="48"/>
  <c r="X154" i="48"/>
  <c r="N154" i="48" s="1"/>
  <c r="AP131" i="21"/>
  <c r="AQ131" i="21"/>
  <c r="AJ132" i="21" s="1"/>
  <c r="AO133" i="12"/>
  <c r="AQ133" i="12" s="1"/>
  <c r="AN133" i="12"/>
  <c r="AL192" i="48" l="1"/>
  <c r="AF193" i="48" s="1"/>
  <c r="Q192" i="48"/>
  <c r="AI192" i="48"/>
  <c r="AP153" i="48"/>
  <c r="Y154" i="48"/>
  <c r="O154" i="48" s="1"/>
  <c r="AO154" i="48"/>
  <c r="R154" i="48" s="1"/>
  <c r="AN154" i="48"/>
  <c r="AM132" i="21"/>
  <c r="AP133" i="12"/>
  <c r="AJ134" i="12"/>
  <c r="AJ192" i="48" l="1"/>
  <c r="AK192" i="48" s="1"/>
  <c r="V192" i="48"/>
  <c r="AG193" i="48"/>
  <c r="P193" i="48" s="1"/>
  <c r="S153" i="48"/>
  <c r="AB154" i="48"/>
  <c r="AE154" i="48"/>
  <c r="W155" i="48" s="1"/>
  <c r="AO132" i="21"/>
  <c r="AN132" i="21"/>
  <c r="AM134" i="12"/>
  <c r="AH193" i="48" l="1"/>
  <c r="AC154" i="48"/>
  <c r="AD154" i="48" s="1"/>
  <c r="U154" i="48"/>
  <c r="X155" i="48"/>
  <c r="N155" i="48" s="1"/>
  <c r="AQ132" i="21"/>
  <c r="AJ133" i="21" s="1"/>
  <c r="AP132" i="21"/>
  <c r="AO134" i="12"/>
  <c r="AQ134" i="12" s="1"/>
  <c r="AN134" i="12"/>
  <c r="Q193" i="48" l="1"/>
  <c r="AL193" i="48"/>
  <c r="AF194" i="48" s="1"/>
  <c r="AI193" i="48"/>
  <c r="AP154" i="48"/>
  <c r="S154" i="48" s="1"/>
  <c r="Y155" i="48"/>
  <c r="O155" i="48" s="1"/>
  <c r="AO155" i="48"/>
  <c r="R155" i="48" s="1"/>
  <c r="AN155" i="48"/>
  <c r="AM133" i="21"/>
  <c r="AP134" i="12"/>
  <c r="AJ135" i="12"/>
  <c r="V193" i="48" l="1"/>
  <c r="AJ193" i="48"/>
  <c r="AK193" i="48" s="1"/>
  <c r="AG194" i="48"/>
  <c r="P194" i="48" s="1"/>
  <c r="AB155" i="48"/>
  <c r="AE155" i="48"/>
  <c r="W156" i="48" s="1"/>
  <c r="AO133" i="21"/>
  <c r="AN133" i="21"/>
  <c r="AM135" i="12"/>
  <c r="AH194" i="48" l="1"/>
  <c r="AI194" i="48" s="1"/>
  <c r="AL194" i="48"/>
  <c r="AF195" i="48" s="1"/>
  <c r="AC155" i="48"/>
  <c r="AD155" i="48" s="1"/>
  <c r="U155" i="48"/>
  <c r="X156" i="48"/>
  <c r="N156" i="48" s="1"/>
  <c r="AP133" i="21"/>
  <c r="AQ133" i="21"/>
  <c r="AJ134" i="21" s="1"/>
  <c r="AO135" i="12"/>
  <c r="AQ135" i="12" s="1"/>
  <c r="AN135" i="12"/>
  <c r="Q194" i="48" l="1"/>
  <c r="AG195" i="48"/>
  <c r="P195" i="48" s="1"/>
  <c r="V194" i="48"/>
  <c r="AJ194" i="48"/>
  <c r="AK194" i="48" s="1"/>
  <c r="AP155" i="48"/>
  <c r="S155" i="48" s="1"/>
  <c r="Y156" i="48"/>
  <c r="O156" i="48" s="1"/>
  <c r="AN156" i="48"/>
  <c r="AO156" i="48"/>
  <c r="R156" i="48" s="1"/>
  <c r="AM134" i="21"/>
  <c r="AP135" i="12"/>
  <c r="AJ136" i="12"/>
  <c r="AH195" i="48" l="1"/>
  <c r="AB156" i="48"/>
  <c r="AE156" i="48"/>
  <c r="W157" i="48" s="1"/>
  <c r="AO134" i="21"/>
  <c r="AN134" i="21"/>
  <c r="AM136" i="12"/>
  <c r="AI195" i="48" l="1"/>
  <c r="Q195" i="48"/>
  <c r="AL195" i="48"/>
  <c r="AF196" i="48" s="1"/>
  <c r="AC156" i="48"/>
  <c r="AD156" i="48" s="1"/>
  <c r="U156" i="48"/>
  <c r="X157" i="48"/>
  <c r="N157" i="48" s="1"/>
  <c r="AQ134" i="21"/>
  <c r="AJ135" i="21" s="1"/>
  <c r="AP134" i="21"/>
  <c r="AO136" i="12"/>
  <c r="AQ136" i="12" s="1"/>
  <c r="AN136" i="12"/>
  <c r="AG196" i="48" l="1"/>
  <c r="P196" i="48" s="1"/>
  <c r="AJ195" i="48"/>
  <c r="AK195" i="48" s="1"/>
  <c r="V195" i="48"/>
  <c r="AP156" i="48"/>
  <c r="Y157" i="48"/>
  <c r="O157" i="48" s="1"/>
  <c r="AO157" i="48"/>
  <c r="R157" i="48" s="1"/>
  <c r="AN157" i="48"/>
  <c r="AM135" i="21"/>
  <c r="AP136" i="12"/>
  <c r="AJ137" i="12"/>
  <c r="AH196" i="48" l="1"/>
  <c r="Q196" i="48" s="1"/>
  <c r="S156" i="48"/>
  <c r="AB157" i="48"/>
  <c r="AE157" i="48"/>
  <c r="W158" i="48" s="1"/>
  <c r="AO135" i="21"/>
  <c r="AN135" i="21"/>
  <c r="AM137" i="12"/>
  <c r="AL196" i="48" l="1"/>
  <c r="AF197" i="48" s="1"/>
  <c r="AG197" i="48" s="1"/>
  <c r="P197" i="48" s="1"/>
  <c r="AI196" i="48"/>
  <c r="AC157" i="48"/>
  <c r="AD157" i="48" s="1"/>
  <c r="U157" i="48"/>
  <c r="X158" i="48"/>
  <c r="N158" i="48" s="1"/>
  <c r="AP135" i="21"/>
  <c r="AQ135" i="21"/>
  <c r="AJ136" i="21" s="1"/>
  <c r="AO137" i="12"/>
  <c r="AQ137" i="12" s="1"/>
  <c r="AN137" i="12"/>
  <c r="AH197" i="48" l="1"/>
  <c r="V196" i="48"/>
  <c r="AJ196" i="48"/>
  <c r="AK196" i="48" s="1"/>
  <c r="AP157" i="48"/>
  <c r="Y158" i="48"/>
  <c r="O158" i="48" s="1"/>
  <c r="AO158" i="48"/>
  <c r="R158" i="48" s="1"/>
  <c r="AN158" i="48"/>
  <c r="AM136" i="21"/>
  <c r="AP137" i="12"/>
  <c r="AJ138" i="12"/>
  <c r="AL197" i="48" l="1"/>
  <c r="AF198" i="48" s="1"/>
  <c r="Q197" i="48"/>
  <c r="AI197" i="48"/>
  <c r="S157" i="48"/>
  <c r="AB158" i="48"/>
  <c r="AE158" i="48"/>
  <c r="W159" i="48" s="1"/>
  <c r="AO136" i="21"/>
  <c r="AN136" i="21"/>
  <c r="AM138" i="12"/>
  <c r="V197" i="48" l="1"/>
  <c r="AJ197" i="48"/>
  <c r="AK197" i="48" s="1"/>
  <c r="AG198" i="48"/>
  <c r="P198" i="48" s="1"/>
  <c r="AH198" i="48"/>
  <c r="AC158" i="48"/>
  <c r="AD158" i="48" s="1"/>
  <c r="U158" i="48"/>
  <c r="X159" i="48"/>
  <c r="N159" i="48" s="1"/>
  <c r="AQ136" i="21"/>
  <c r="AJ137" i="21" s="1"/>
  <c r="AP136" i="21"/>
  <c r="AO138" i="12"/>
  <c r="AQ138" i="12" s="1"/>
  <c r="AN138" i="12"/>
  <c r="AI198" i="48" l="1"/>
  <c r="AL198" i="48"/>
  <c r="AF199" i="48" s="1"/>
  <c r="AG199" i="48" s="1"/>
  <c r="P199" i="48" s="1"/>
  <c r="Q198" i="48"/>
  <c r="AP158" i="48"/>
  <c r="Y159" i="48"/>
  <c r="O159" i="48" s="1"/>
  <c r="AO159" i="48"/>
  <c r="R159" i="48" s="1"/>
  <c r="AN159" i="48"/>
  <c r="AM137" i="21"/>
  <c r="AP138" i="12"/>
  <c r="AJ139" i="12"/>
  <c r="AH199" i="48" l="1"/>
  <c r="V198" i="48"/>
  <c r="AJ198" i="48"/>
  <c r="AK198" i="48" s="1"/>
  <c r="S158" i="48"/>
  <c r="AB159" i="48"/>
  <c r="AE159" i="48"/>
  <c r="W160" i="48" s="1"/>
  <c r="AO137" i="21"/>
  <c r="AN137" i="21"/>
  <c r="AM139" i="12"/>
  <c r="AL199" i="48" l="1"/>
  <c r="AF200" i="48" s="1"/>
  <c r="AI199" i="48"/>
  <c r="Q199" i="48"/>
  <c r="AC159" i="48"/>
  <c r="AD159" i="48" s="1"/>
  <c r="U159" i="48"/>
  <c r="X160" i="48"/>
  <c r="N160" i="48" s="1"/>
  <c r="AP137" i="21"/>
  <c r="AQ137" i="21"/>
  <c r="AJ138" i="21" s="1"/>
  <c r="AO139" i="12"/>
  <c r="AQ139" i="12" s="1"/>
  <c r="AN139" i="12"/>
  <c r="AG200" i="48" l="1"/>
  <c r="P200" i="48" s="1"/>
  <c r="AH200" i="48"/>
  <c r="Q200" i="48" s="1"/>
  <c r="AJ199" i="48"/>
  <c r="AK199" i="48" s="1"/>
  <c r="V199" i="48"/>
  <c r="AI200" i="48"/>
  <c r="AP159" i="48"/>
  <c r="S159" i="48" s="1"/>
  <c r="Y160" i="48"/>
  <c r="O160" i="48" s="1"/>
  <c r="AN160" i="48"/>
  <c r="AO160" i="48"/>
  <c r="R160" i="48" s="1"/>
  <c r="AM138" i="21"/>
  <c r="AP139" i="12"/>
  <c r="AJ140" i="12"/>
  <c r="AL200" i="48" l="1"/>
  <c r="AF201" i="48" s="1"/>
  <c r="AJ200" i="48"/>
  <c r="AK200" i="48" s="1"/>
  <c r="V200" i="48"/>
  <c r="AB160" i="48"/>
  <c r="AE160" i="48"/>
  <c r="W161" i="48" s="1"/>
  <c r="AO138" i="21"/>
  <c r="AN138" i="21"/>
  <c r="AM140" i="12"/>
  <c r="AG201" i="48" l="1"/>
  <c r="P201" i="48" s="1"/>
  <c r="AH201" i="48"/>
  <c r="AC160" i="48"/>
  <c r="AD160" i="48" s="1"/>
  <c r="U160" i="48"/>
  <c r="X161" i="48"/>
  <c r="N161" i="48" s="1"/>
  <c r="AQ138" i="21"/>
  <c r="AJ139" i="21" s="1"/>
  <c r="AP138" i="21"/>
  <c r="AO140" i="12"/>
  <c r="AQ140" i="12" s="1"/>
  <c r="AN140" i="12"/>
  <c r="AL201" i="48" l="1"/>
  <c r="AF202" i="48" s="1"/>
  <c r="AG202" i="48" s="1"/>
  <c r="P202" i="48" s="1"/>
  <c r="Q201" i="48"/>
  <c r="AI201" i="48"/>
  <c r="AH202" i="48"/>
  <c r="AP160" i="48"/>
  <c r="Y161" i="48"/>
  <c r="O161" i="48" s="1"/>
  <c r="AO161" i="48"/>
  <c r="R161" i="48" s="1"/>
  <c r="AN161" i="48"/>
  <c r="AM139" i="21"/>
  <c r="AP140" i="12"/>
  <c r="AJ141" i="12"/>
  <c r="V201" i="48" l="1"/>
  <c r="AJ201" i="48"/>
  <c r="AK201" i="48" s="1"/>
  <c r="Q202" i="48"/>
  <c r="AI202" i="48"/>
  <c r="AL202" i="48"/>
  <c r="AF203" i="48" s="1"/>
  <c r="S160" i="48"/>
  <c r="AB161" i="48"/>
  <c r="AE161" i="48"/>
  <c r="W162" i="48" s="1"/>
  <c r="AO139" i="21"/>
  <c r="AN139" i="21"/>
  <c r="AM141" i="12"/>
  <c r="AG203" i="48" l="1"/>
  <c r="P203" i="48" s="1"/>
  <c r="AJ202" i="48"/>
  <c r="AK202" i="48" s="1"/>
  <c r="V202" i="48"/>
  <c r="AC161" i="48"/>
  <c r="AD161" i="48" s="1"/>
  <c r="U161" i="48"/>
  <c r="X162" i="48"/>
  <c r="N162" i="48" s="1"/>
  <c r="AQ139" i="21"/>
  <c r="AJ140" i="21" s="1"/>
  <c r="AP139" i="21"/>
  <c r="AO141" i="12"/>
  <c r="AQ141" i="12" s="1"/>
  <c r="AN141" i="12"/>
  <c r="AH203" i="48" l="1"/>
  <c r="AP161" i="48"/>
  <c r="Y162" i="48"/>
  <c r="O162" i="48" s="1"/>
  <c r="AN162" i="48"/>
  <c r="AO162" i="48"/>
  <c r="R162" i="48" s="1"/>
  <c r="AM140" i="21"/>
  <c r="AP141" i="12"/>
  <c r="AJ142" i="12"/>
  <c r="Q203" i="48" l="1"/>
  <c r="AI203" i="48"/>
  <c r="AL203" i="48"/>
  <c r="AF204" i="48" s="1"/>
  <c r="S161" i="48"/>
  <c r="AB162" i="48"/>
  <c r="AE162" i="48"/>
  <c r="W163" i="48" s="1"/>
  <c r="AO140" i="21"/>
  <c r="AN140" i="21"/>
  <c r="AM142" i="12"/>
  <c r="AG204" i="48" l="1"/>
  <c r="P204" i="48" s="1"/>
  <c r="AJ203" i="48"/>
  <c r="AK203" i="48" s="1"/>
  <c r="V203" i="48"/>
  <c r="AC162" i="48"/>
  <c r="AD162" i="48" s="1"/>
  <c r="U162" i="48"/>
  <c r="X163" i="48"/>
  <c r="N163" i="48" s="1"/>
  <c r="AP140" i="21"/>
  <c r="AQ140" i="21"/>
  <c r="AJ141" i="21" s="1"/>
  <c r="AO142" i="12"/>
  <c r="AQ142" i="12" s="1"/>
  <c r="AN142" i="12"/>
  <c r="AH204" i="48" l="1"/>
  <c r="AP162" i="48"/>
  <c r="Y163" i="48"/>
  <c r="O163" i="48" s="1"/>
  <c r="AO163" i="48"/>
  <c r="R163" i="48" s="1"/>
  <c r="AN163" i="48"/>
  <c r="AM141" i="21"/>
  <c r="AP142" i="12"/>
  <c r="AJ143" i="12"/>
  <c r="Q204" i="48" l="1"/>
  <c r="AI204" i="48"/>
  <c r="AL204" i="48"/>
  <c r="AF205" i="48" s="1"/>
  <c r="S162" i="48"/>
  <c r="AB163" i="48"/>
  <c r="AE163" i="48"/>
  <c r="W164" i="48" s="1"/>
  <c r="AO141" i="21"/>
  <c r="AN141" i="21"/>
  <c r="AM143" i="12"/>
  <c r="AG205" i="48" l="1"/>
  <c r="P205" i="48" s="1"/>
  <c r="AH205" i="48"/>
  <c r="Q205" i="48" s="1"/>
  <c r="AJ204" i="48"/>
  <c r="AK204" i="48" s="1"/>
  <c r="V204" i="48"/>
  <c r="AC163" i="48"/>
  <c r="AD163" i="48" s="1"/>
  <c r="U163" i="48"/>
  <c r="X164" i="48"/>
  <c r="N164" i="48" s="1"/>
  <c r="AQ141" i="21"/>
  <c r="AJ142" i="21" s="1"/>
  <c r="AP141" i="21"/>
  <c r="AO143" i="12"/>
  <c r="AQ143" i="12" s="1"/>
  <c r="AN143" i="12"/>
  <c r="AI205" i="48" l="1"/>
  <c r="AJ205" i="48"/>
  <c r="AK205" i="48" s="1"/>
  <c r="V205" i="48"/>
  <c r="AL205" i="48"/>
  <c r="AF206" i="48" s="1"/>
  <c r="AP163" i="48"/>
  <c r="Y164" i="48"/>
  <c r="O164" i="48" s="1"/>
  <c r="AN164" i="48"/>
  <c r="AO164" i="48"/>
  <c r="R164" i="48" s="1"/>
  <c r="AM142" i="21"/>
  <c r="AP143" i="12"/>
  <c r="AJ144" i="12"/>
  <c r="AG206" i="48" l="1"/>
  <c r="P206" i="48" s="1"/>
  <c r="S163" i="48"/>
  <c r="AB164" i="48"/>
  <c r="AE164" i="48"/>
  <c r="W165" i="48" s="1"/>
  <c r="AO142" i="21"/>
  <c r="AN142" i="21"/>
  <c r="AM144" i="12"/>
  <c r="AH206" i="48" l="1"/>
  <c r="AC164" i="48"/>
  <c r="AD164" i="48" s="1"/>
  <c r="U164" i="48"/>
  <c r="X165" i="48"/>
  <c r="N165" i="48" s="1"/>
  <c r="AP142" i="21"/>
  <c r="AQ142" i="21"/>
  <c r="AJ143" i="21" s="1"/>
  <c r="AO144" i="12"/>
  <c r="AQ144" i="12" s="1"/>
  <c r="AN144" i="12"/>
  <c r="Q206" i="48" l="1"/>
  <c r="AI206" i="48"/>
  <c r="AL206" i="48"/>
  <c r="AF207" i="48" s="1"/>
  <c r="AP164" i="48"/>
  <c r="Y165" i="48"/>
  <c r="O165" i="48" s="1"/>
  <c r="AN165" i="48"/>
  <c r="AO165" i="48"/>
  <c r="R165" i="48" s="1"/>
  <c r="AM143" i="21"/>
  <c r="AP144" i="12"/>
  <c r="AJ145" i="12"/>
  <c r="AG207" i="48" l="1"/>
  <c r="P207" i="48" s="1"/>
  <c r="V206" i="48"/>
  <c r="AJ206" i="48"/>
  <c r="AK206" i="48" s="1"/>
  <c r="S164" i="48"/>
  <c r="AB165" i="48"/>
  <c r="AE165" i="48"/>
  <c r="W166" i="48" s="1"/>
  <c r="AO143" i="21"/>
  <c r="AN143" i="21"/>
  <c r="AM145" i="12"/>
  <c r="AH207" i="48" l="1"/>
  <c r="AC165" i="48"/>
  <c r="AD165" i="48" s="1"/>
  <c r="U165" i="48"/>
  <c r="X166" i="48"/>
  <c r="N166" i="48" s="1"/>
  <c r="AQ143" i="21"/>
  <c r="AJ144" i="21" s="1"/>
  <c r="AP143" i="21"/>
  <c r="AO145" i="12"/>
  <c r="AQ145" i="12" s="1"/>
  <c r="AN145" i="12"/>
  <c r="Q207" i="48" l="1"/>
  <c r="AI207" i="48"/>
  <c r="AL207" i="48"/>
  <c r="AF208" i="48" s="1"/>
  <c r="AP165" i="48"/>
  <c r="S165" i="48" s="1"/>
  <c r="Y166" i="48"/>
  <c r="O166" i="48" s="1"/>
  <c r="AN166" i="48"/>
  <c r="AO166" i="48"/>
  <c r="R166" i="48" s="1"/>
  <c r="AM144" i="21"/>
  <c r="AP145" i="12"/>
  <c r="AJ146" i="12"/>
  <c r="AG208" i="48" l="1"/>
  <c r="P208" i="48" s="1"/>
  <c r="AJ207" i="48"/>
  <c r="AK207" i="48" s="1"/>
  <c r="V207" i="48"/>
  <c r="AB166" i="48"/>
  <c r="AE166" i="48"/>
  <c r="W167" i="48" s="1"/>
  <c r="AO144" i="21"/>
  <c r="AN144" i="21"/>
  <c r="AM146" i="12"/>
  <c r="AH208" i="48" l="1"/>
  <c r="AC166" i="48"/>
  <c r="AD166" i="48" s="1"/>
  <c r="U166" i="48"/>
  <c r="X167" i="48"/>
  <c r="N167" i="48" s="1"/>
  <c r="AP144" i="21"/>
  <c r="AQ144" i="21"/>
  <c r="AJ145" i="21" s="1"/>
  <c r="AO146" i="12"/>
  <c r="AQ146" i="12" s="1"/>
  <c r="AN146" i="12"/>
  <c r="Q208" i="48" l="1"/>
  <c r="AI208" i="48"/>
  <c r="AL208" i="48"/>
  <c r="AF209" i="48" s="1"/>
  <c r="AP166" i="48"/>
  <c r="Y167" i="48"/>
  <c r="O167" i="48" s="1"/>
  <c r="AN167" i="48"/>
  <c r="AO167" i="48"/>
  <c r="R167" i="48" s="1"/>
  <c r="AM145" i="21"/>
  <c r="AP146" i="12"/>
  <c r="AJ147" i="12"/>
  <c r="AG209" i="48" l="1"/>
  <c r="P209" i="48" s="1"/>
  <c r="AJ208" i="48"/>
  <c r="AK208" i="48" s="1"/>
  <c r="V208" i="48"/>
  <c r="S166" i="48"/>
  <c r="AB167" i="48"/>
  <c r="AE167" i="48"/>
  <c r="W168" i="48" s="1"/>
  <c r="AO145" i="21"/>
  <c r="AN145" i="21"/>
  <c r="AM147" i="12"/>
  <c r="AH209" i="48" l="1"/>
  <c r="AC167" i="48"/>
  <c r="AD167" i="48" s="1"/>
  <c r="U167" i="48"/>
  <c r="X168" i="48"/>
  <c r="N168" i="48" s="1"/>
  <c r="AP145" i="21"/>
  <c r="AQ145" i="21"/>
  <c r="AJ146" i="21" s="1"/>
  <c r="AO147" i="12"/>
  <c r="AQ147" i="12" s="1"/>
  <c r="AN147" i="12"/>
  <c r="Q209" i="48" l="1"/>
  <c r="AI209" i="48"/>
  <c r="AL209" i="48"/>
  <c r="AF210" i="48" s="1"/>
  <c r="AP167" i="48"/>
  <c r="S167" i="48" s="1"/>
  <c r="Y168" i="48"/>
  <c r="O168" i="48" s="1"/>
  <c r="AO168" i="48"/>
  <c r="R168" i="48" s="1"/>
  <c r="AN168" i="48"/>
  <c r="AM146" i="21"/>
  <c r="AP147" i="12"/>
  <c r="AJ148" i="12"/>
  <c r="AG210" i="48" l="1"/>
  <c r="P210" i="48" s="1"/>
  <c r="V209" i="48"/>
  <c r="AJ209" i="48"/>
  <c r="AK209" i="48" s="1"/>
  <c r="AB168" i="48"/>
  <c r="AE168" i="48"/>
  <c r="W169" i="48" s="1"/>
  <c r="AO146" i="21"/>
  <c r="AN146" i="21"/>
  <c r="AM148" i="12"/>
  <c r="AH210" i="48" l="1"/>
  <c r="Q210" i="48" s="1"/>
  <c r="AC168" i="48"/>
  <c r="AD168" i="48" s="1"/>
  <c r="U168" i="48"/>
  <c r="X169" i="48"/>
  <c r="N169" i="48" s="1"/>
  <c r="AQ146" i="21"/>
  <c r="AJ147" i="21" s="1"/>
  <c r="AP146" i="21"/>
  <c r="AO148" i="12"/>
  <c r="AQ148" i="12" s="1"/>
  <c r="AN148" i="12"/>
  <c r="AL210" i="48" l="1"/>
  <c r="AF211" i="48" s="1"/>
  <c r="AG211" i="48" s="1"/>
  <c r="P211" i="48" s="1"/>
  <c r="AI210" i="48"/>
  <c r="V210" i="48"/>
  <c r="AJ210" i="48"/>
  <c r="AK210" i="48" s="1"/>
  <c r="AP168" i="48"/>
  <c r="S168" i="48" s="1"/>
  <c r="Y169" i="48"/>
  <c r="O169" i="48" s="1"/>
  <c r="AO169" i="48"/>
  <c r="R169" i="48" s="1"/>
  <c r="AN169" i="48"/>
  <c r="AM147" i="21"/>
  <c r="AP148" i="12"/>
  <c r="AJ149" i="12"/>
  <c r="AH211" i="48" l="1"/>
  <c r="AB169" i="48"/>
  <c r="AE169" i="48"/>
  <c r="W170" i="48" s="1"/>
  <c r="AO147" i="21"/>
  <c r="AN147" i="21"/>
  <c r="AM149" i="12"/>
  <c r="Q211" i="48" l="1"/>
  <c r="AI211" i="48"/>
  <c r="AL211" i="48"/>
  <c r="AF212" i="48" s="1"/>
  <c r="AC169" i="48"/>
  <c r="AD169" i="48" s="1"/>
  <c r="U169" i="48"/>
  <c r="X170" i="48"/>
  <c r="N170" i="48" s="1"/>
  <c r="AP147" i="21"/>
  <c r="AQ147" i="21"/>
  <c r="AJ148" i="21" s="1"/>
  <c r="AO149" i="12"/>
  <c r="AQ149" i="12" s="1"/>
  <c r="AN149" i="12"/>
  <c r="AG212" i="48" l="1"/>
  <c r="P212" i="48" s="1"/>
  <c r="AJ211" i="48"/>
  <c r="AK211" i="48" s="1"/>
  <c r="V211" i="48"/>
  <c r="AP169" i="48"/>
  <c r="Y170" i="48"/>
  <c r="O170" i="48" s="1"/>
  <c r="AN170" i="48"/>
  <c r="AO170" i="48"/>
  <c r="R170" i="48" s="1"/>
  <c r="AM148" i="21"/>
  <c r="AP149" i="12"/>
  <c r="AJ150" i="12"/>
  <c r="AH212" i="48" l="1"/>
  <c r="S169" i="48"/>
  <c r="AB170" i="48"/>
  <c r="AE170" i="48"/>
  <c r="W171" i="48" s="1"/>
  <c r="AO148" i="21"/>
  <c r="AN148" i="21"/>
  <c r="AM150" i="12"/>
  <c r="Q212" i="48" l="1"/>
  <c r="AI212" i="48"/>
  <c r="AL212" i="48"/>
  <c r="AF213" i="48" s="1"/>
  <c r="AC170" i="48"/>
  <c r="AD170" i="48" s="1"/>
  <c r="U170" i="48"/>
  <c r="X171" i="48"/>
  <c r="N171" i="48" s="1"/>
  <c r="AP148" i="21"/>
  <c r="AQ148" i="21"/>
  <c r="AJ149" i="21" s="1"/>
  <c r="AO150" i="12"/>
  <c r="AQ150" i="12" s="1"/>
  <c r="AN150" i="12"/>
  <c r="AG213" i="48" l="1"/>
  <c r="P213" i="48" s="1"/>
  <c r="V212" i="48"/>
  <c r="AJ212" i="48"/>
  <c r="AK212" i="48" s="1"/>
  <c r="AP170" i="48"/>
  <c r="Y171" i="48"/>
  <c r="O171" i="48" s="1"/>
  <c r="AO171" i="48"/>
  <c r="R171" i="48" s="1"/>
  <c r="AN171" i="48"/>
  <c r="AM149" i="21"/>
  <c r="AP150" i="12"/>
  <c r="AJ151" i="12"/>
  <c r="AH213" i="48" l="1"/>
  <c r="S170" i="48"/>
  <c r="AB171" i="48"/>
  <c r="AE171" i="48"/>
  <c r="W172" i="48" s="1"/>
  <c r="AO149" i="21"/>
  <c r="AN149" i="21"/>
  <c r="AM151" i="12"/>
  <c r="AI213" i="48" l="1"/>
  <c r="Q213" i="48"/>
  <c r="AL213" i="48"/>
  <c r="AF214" i="48" s="1"/>
  <c r="AC171" i="48"/>
  <c r="AD171" i="48" s="1"/>
  <c r="U171" i="48"/>
  <c r="X172" i="48"/>
  <c r="N172" i="48" s="1"/>
  <c r="AP149" i="21"/>
  <c r="AQ149" i="21"/>
  <c r="AJ150" i="21" s="1"/>
  <c r="AO151" i="12"/>
  <c r="AQ151" i="12" s="1"/>
  <c r="AN151" i="12"/>
  <c r="AG214" i="48" l="1"/>
  <c r="P214" i="48" s="1"/>
  <c r="AH214" i="48"/>
  <c r="Q214" i="48" s="1"/>
  <c r="AJ213" i="48"/>
  <c r="AK213" i="48" s="1"/>
  <c r="V213" i="48"/>
  <c r="AP171" i="48"/>
  <c r="Y172" i="48"/>
  <c r="O172" i="48" s="1"/>
  <c r="AN172" i="48"/>
  <c r="AO172" i="48"/>
  <c r="R172" i="48" s="1"/>
  <c r="AM150" i="21"/>
  <c r="AP151" i="12"/>
  <c r="AJ152" i="12"/>
  <c r="AI214" i="48" l="1"/>
  <c r="AL214" i="48"/>
  <c r="AF215" i="48" s="1"/>
  <c r="AJ214" i="48"/>
  <c r="AK214" i="48" s="1"/>
  <c r="V214" i="48"/>
  <c r="S171" i="48"/>
  <c r="AB172" i="48"/>
  <c r="AE172" i="48"/>
  <c r="W173" i="48" s="1"/>
  <c r="AO150" i="21"/>
  <c r="AN150" i="21"/>
  <c r="AM152" i="12"/>
  <c r="AG215" i="48" l="1"/>
  <c r="P215" i="48" s="1"/>
  <c r="AC172" i="48"/>
  <c r="AD172" i="48" s="1"/>
  <c r="U172" i="48"/>
  <c r="X173" i="48"/>
  <c r="N173" i="48" s="1"/>
  <c r="AQ150" i="21"/>
  <c r="AJ151" i="21" s="1"/>
  <c r="AP150" i="21"/>
  <c r="AO152" i="12"/>
  <c r="AQ152" i="12" s="1"/>
  <c r="AN152" i="12"/>
  <c r="AH215" i="48" l="1"/>
  <c r="AP172" i="48"/>
  <c r="Y173" i="48"/>
  <c r="O173" i="48" s="1"/>
  <c r="AO173" i="48"/>
  <c r="R173" i="48" s="1"/>
  <c r="AN173" i="48"/>
  <c r="AM151" i="21"/>
  <c r="AP152" i="12"/>
  <c r="AJ153" i="12"/>
  <c r="Q215" i="48" l="1"/>
  <c r="AI215" i="48"/>
  <c r="AL215" i="48"/>
  <c r="AF216" i="48" s="1"/>
  <c r="S172" i="48"/>
  <c r="AB173" i="48"/>
  <c r="AE173" i="48"/>
  <c r="W174" i="48" s="1"/>
  <c r="AO151" i="21"/>
  <c r="AN151" i="21"/>
  <c r="AM153" i="12"/>
  <c r="AG216" i="48" l="1"/>
  <c r="P216" i="48" s="1"/>
  <c r="V215" i="48"/>
  <c r="AJ215" i="48"/>
  <c r="AK215" i="48" s="1"/>
  <c r="AC173" i="48"/>
  <c r="AD173" i="48" s="1"/>
  <c r="U173" i="48"/>
  <c r="X174" i="48"/>
  <c r="N174" i="48" s="1"/>
  <c r="AP151" i="21"/>
  <c r="AQ151" i="21"/>
  <c r="AJ152" i="21" s="1"/>
  <c r="AO153" i="12"/>
  <c r="AQ153" i="12" s="1"/>
  <c r="AN153" i="12"/>
  <c r="AH216" i="48" l="1"/>
  <c r="AP173" i="48"/>
  <c r="S173" i="48" s="1"/>
  <c r="Y174" i="48"/>
  <c r="O174" i="48" s="1"/>
  <c r="AN174" i="48"/>
  <c r="AO174" i="48"/>
  <c r="R174" i="48" s="1"/>
  <c r="AM152" i="21"/>
  <c r="AP153" i="12"/>
  <c r="AJ154" i="12"/>
  <c r="Q216" i="48" l="1"/>
  <c r="AI216" i="48"/>
  <c r="AL216" i="48"/>
  <c r="AF217" i="48" s="1"/>
  <c r="AB174" i="48"/>
  <c r="AE174" i="48"/>
  <c r="W175" i="48" s="1"/>
  <c r="AO152" i="21"/>
  <c r="AN152" i="21"/>
  <c r="AM154" i="12"/>
  <c r="AG217" i="48" l="1"/>
  <c r="P217" i="48" s="1"/>
  <c r="V216" i="48"/>
  <c r="AJ216" i="48"/>
  <c r="AK216" i="48" s="1"/>
  <c r="AC174" i="48"/>
  <c r="AD174" i="48" s="1"/>
  <c r="U174" i="48"/>
  <c r="X175" i="48"/>
  <c r="N175" i="48" s="1"/>
  <c r="AP152" i="21"/>
  <c r="AQ152" i="21"/>
  <c r="AJ153" i="21" s="1"/>
  <c r="AO154" i="12"/>
  <c r="AQ154" i="12" s="1"/>
  <c r="AN154" i="12"/>
  <c r="AH217" i="48" l="1"/>
  <c r="AP174" i="48"/>
  <c r="Y175" i="48"/>
  <c r="O175" i="48" s="1"/>
  <c r="AO175" i="48"/>
  <c r="R175" i="48" s="1"/>
  <c r="AN175" i="48"/>
  <c r="AM153" i="21"/>
  <c r="AP154" i="12"/>
  <c r="AJ155" i="12"/>
  <c r="AI217" i="48" l="1"/>
  <c r="Q217" i="48"/>
  <c r="AL217" i="48"/>
  <c r="AF218" i="48" s="1"/>
  <c r="S174" i="48"/>
  <c r="AB175" i="48"/>
  <c r="AE175" i="48"/>
  <c r="W176" i="48" s="1"/>
  <c r="AO153" i="21"/>
  <c r="AN153" i="21"/>
  <c r="AM155" i="12"/>
  <c r="AG218" i="48" l="1"/>
  <c r="P218" i="48" s="1"/>
  <c r="AH218" i="48"/>
  <c r="AJ217" i="48"/>
  <c r="AK217" i="48" s="1"/>
  <c r="V217" i="48"/>
  <c r="AC175" i="48"/>
  <c r="AD175" i="48" s="1"/>
  <c r="U175" i="48"/>
  <c r="X176" i="48"/>
  <c r="N176" i="48" s="1"/>
  <c r="AQ153" i="21"/>
  <c r="AJ154" i="21" s="1"/>
  <c r="AP153" i="21"/>
  <c r="AO155" i="12"/>
  <c r="AQ155" i="12" s="1"/>
  <c r="AN155" i="12"/>
  <c r="AI218" i="48" l="1"/>
  <c r="Q218" i="48"/>
  <c r="AL218" i="48"/>
  <c r="AF219" i="48" s="1"/>
  <c r="AP175" i="48"/>
  <c r="Y176" i="48"/>
  <c r="O176" i="48" s="1"/>
  <c r="AN176" i="48"/>
  <c r="AO176" i="48"/>
  <c r="R176" i="48" s="1"/>
  <c r="AM154" i="21"/>
  <c r="AP155" i="12"/>
  <c r="AJ156" i="12"/>
  <c r="AG219" i="48" l="1"/>
  <c r="P219" i="48" s="1"/>
  <c r="AH219" i="48"/>
  <c r="Q219" i="48" s="1"/>
  <c r="AJ218" i="48"/>
  <c r="AK218" i="48" s="1"/>
  <c r="V218" i="48"/>
  <c r="AI219" i="48"/>
  <c r="S175" i="48"/>
  <c r="AB176" i="48"/>
  <c r="AE176" i="48"/>
  <c r="W177" i="48" s="1"/>
  <c r="AO154" i="21"/>
  <c r="AN154" i="21"/>
  <c r="AM156" i="12"/>
  <c r="AL219" i="48" l="1"/>
  <c r="AF220" i="48" s="1"/>
  <c r="AJ219" i="48"/>
  <c r="AK219" i="48" s="1"/>
  <c r="V219" i="48"/>
  <c r="AC176" i="48"/>
  <c r="AD176" i="48" s="1"/>
  <c r="U176" i="48"/>
  <c r="X177" i="48"/>
  <c r="N177" i="48" s="1"/>
  <c r="AP154" i="21"/>
  <c r="AQ154" i="21"/>
  <c r="AJ155" i="21" s="1"/>
  <c r="AO156" i="12"/>
  <c r="AQ156" i="12" s="1"/>
  <c r="AN156" i="12"/>
  <c r="AG220" i="48" l="1"/>
  <c r="P220" i="48" s="1"/>
  <c r="AP176" i="48"/>
  <c r="Y177" i="48"/>
  <c r="O177" i="48" s="1"/>
  <c r="AO177" i="48"/>
  <c r="R177" i="48" s="1"/>
  <c r="AN177" i="48"/>
  <c r="AM155" i="21"/>
  <c r="AP156" i="12"/>
  <c r="AJ157" i="12"/>
  <c r="AH220" i="48" l="1"/>
  <c r="S176" i="48"/>
  <c r="AB177" i="48"/>
  <c r="AE177" i="48"/>
  <c r="W178" i="48" s="1"/>
  <c r="AO155" i="21"/>
  <c r="AN155" i="21"/>
  <c r="AM157" i="12"/>
  <c r="Q220" i="48" l="1"/>
  <c r="AI220" i="48"/>
  <c r="AL220" i="48"/>
  <c r="AF221" i="48" s="1"/>
  <c r="AC177" i="48"/>
  <c r="AD177" i="48" s="1"/>
  <c r="U177" i="48"/>
  <c r="X178" i="48"/>
  <c r="N178" i="48" s="1"/>
  <c r="AQ155" i="21"/>
  <c r="AJ156" i="21" s="1"/>
  <c r="AP155" i="21"/>
  <c r="AO157" i="12"/>
  <c r="AQ157" i="12" s="1"/>
  <c r="AN157" i="12"/>
  <c r="AG221" i="48" l="1"/>
  <c r="P221" i="48" s="1"/>
  <c r="V220" i="48"/>
  <c r="AJ220" i="48"/>
  <c r="AK220" i="48" s="1"/>
  <c r="AP177" i="48"/>
  <c r="Y178" i="48"/>
  <c r="O178" i="48" s="1"/>
  <c r="AN178" i="48"/>
  <c r="AO178" i="48"/>
  <c r="R178" i="48" s="1"/>
  <c r="AM156" i="21"/>
  <c r="AP157" i="12"/>
  <c r="AJ158" i="12"/>
  <c r="AH221" i="48" l="1"/>
  <c r="Q221" i="48" s="1"/>
  <c r="AL221" i="48"/>
  <c r="AF222" i="48" s="1"/>
  <c r="S177" i="48"/>
  <c r="AB178" i="48"/>
  <c r="AE178" i="48"/>
  <c r="W179" i="48" s="1"/>
  <c r="AO156" i="21"/>
  <c r="AN156" i="21"/>
  <c r="AM158" i="12"/>
  <c r="AI221" i="48" l="1"/>
  <c r="AG222" i="48"/>
  <c r="P222" i="48" s="1"/>
  <c r="V221" i="48"/>
  <c r="AJ221" i="48"/>
  <c r="AK221" i="48" s="1"/>
  <c r="AC178" i="48"/>
  <c r="AD178" i="48" s="1"/>
  <c r="U178" i="48"/>
  <c r="X179" i="48"/>
  <c r="N179" i="48" s="1"/>
  <c r="AP156" i="21"/>
  <c r="AQ156" i="21"/>
  <c r="AJ157" i="21" s="1"/>
  <c r="AO158" i="12"/>
  <c r="AQ158" i="12" s="1"/>
  <c r="AN158" i="12"/>
  <c r="AH222" i="48" l="1"/>
  <c r="AP178" i="48"/>
  <c r="Y179" i="48"/>
  <c r="O179" i="48" s="1"/>
  <c r="AN179" i="48"/>
  <c r="AO179" i="48"/>
  <c r="R179" i="48" s="1"/>
  <c r="AM157" i="21"/>
  <c r="AP158" i="12"/>
  <c r="AJ159" i="12"/>
  <c r="Q222" i="48" l="1"/>
  <c r="AI222" i="48"/>
  <c r="AL222" i="48"/>
  <c r="AF223" i="48" s="1"/>
  <c r="S178" i="48"/>
  <c r="AB179" i="48"/>
  <c r="AE179" i="48"/>
  <c r="W180" i="48" s="1"/>
  <c r="AO157" i="21"/>
  <c r="AN157" i="21"/>
  <c r="AM159" i="12"/>
  <c r="AG223" i="48" l="1"/>
  <c r="P223" i="48" s="1"/>
  <c r="AJ222" i="48"/>
  <c r="AK222" i="48" s="1"/>
  <c r="V222" i="48"/>
  <c r="AC179" i="48"/>
  <c r="AD179" i="48" s="1"/>
  <c r="U179" i="48"/>
  <c r="X180" i="48"/>
  <c r="N180" i="48" s="1"/>
  <c r="AQ157" i="21"/>
  <c r="AJ158" i="21" s="1"/>
  <c r="AP157" i="21"/>
  <c r="AO159" i="12"/>
  <c r="AQ159" i="12" s="1"/>
  <c r="AN159" i="12"/>
  <c r="AH223" i="48" l="1"/>
  <c r="AP179" i="48"/>
  <c r="Y180" i="48"/>
  <c r="O180" i="48" s="1"/>
  <c r="AN180" i="48"/>
  <c r="AO180" i="48"/>
  <c r="R180" i="48" s="1"/>
  <c r="AM158" i="21"/>
  <c r="AP159" i="12"/>
  <c r="AJ160" i="12"/>
  <c r="Q223" i="48" l="1"/>
  <c r="AI223" i="48"/>
  <c r="AL223" i="48"/>
  <c r="AF224" i="48" s="1"/>
  <c r="S179" i="48"/>
  <c r="AB180" i="48"/>
  <c r="AE180" i="48"/>
  <c r="W181" i="48" s="1"/>
  <c r="AO158" i="21"/>
  <c r="AN158" i="21"/>
  <c r="AM160" i="12"/>
  <c r="AG224" i="48" l="1"/>
  <c r="P224" i="48" s="1"/>
  <c r="V223" i="48"/>
  <c r="AJ223" i="48"/>
  <c r="AK223" i="48" s="1"/>
  <c r="AC180" i="48"/>
  <c r="AD180" i="48" s="1"/>
  <c r="U180" i="48"/>
  <c r="X181" i="48"/>
  <c r="N181" i="48" s="1"/>
  <c r="AP158" i="21"/>
  <c r="AQ158" i="21"/>
  <c r="AJ159" i="21" s="1"/>
  <c r="AO160" i="12"/>
  <c r="AQ160" i="12" s="1"/>
  <c r="AN160" i="12"/>
  <c r="AH224" i="48" l="1"/>
  <c r="AP180" i="48"/>
  <c r="Y181" i="48"/>
  <c r="O181" i="48" s="1"/>
  <c r="AN181" i="48"/>
  <c r="AO181" i="48"/>
  <c r="R181" i="48" s="1"/>
  <c r="AM159" i="21"/>
  <c r="AP160" i="12"/>
  <c r="AJ161" i="12"/>
  <c r="Q224" i="48" l="1"/>
  <c r="AI224" i="48"/>
  <c r="AL224" i="48"/>
  <c r="AF225" i="48" s="1"/>
  <c r="S180" i="48"/>
  <c r="AB181" i="48"/>
  <c r="AE181" i="48"/>
  <c r="W182" i="48" s="1"/>
  <c r="AO159" i="21"/>
  <c r="AN159" i="21"/>
  <c r="AM161" i="12"/>
  <c r="AG225" i="48" l="1"/>
  <c r="P225" i="48" s="1"/>
  <c r="AH225" i="48"/>
  <c r="V224" i="48"/>
  <c r="AJ224" i="48"/>
  <c r="AK224" i="48" s="1"/>
  <c r="AC181" i="48"/>
  <c r="AD181" i="48" s="1"/>
  <c r="U181" i="48"/>
  <c r="X182" i="48"/>
  <c r="N182" i="48" s="1"/>
  <c r="AQ159" i="21"/>
  <c r="AJ160" i="21" s="1"/>
  <c r="AP159" i="21"/>
  <c r="AO161" i="12"/>
  <c r="AQ161" i="12" s="1"/>
  <c r="AN161" i="12"/>
  <c r="AL225" i="48" l="1"/>
  <c r="AF226" i="48" s="1"/>
  <c r="Q225" i="48"/>
  <c r="AI225" i="48"/>
  <c r="AP181" i="48"/>
  <c r="Y182" i="48"/>
  <c r="O182" i="48" s="1"/>
  <c r="AN182" i="48"/>
  <c r="AO182" i="48"/>
  <c r="R182" i="48" s="1"/>
  <c r="AM160" i="21"/>
  <c r="AP161" i="12"/>
  <c r="AJ162" i="12"/>
  <c r="AJ225" i="48" l="1"/>
  <c r="AK225" i="48" s="1"/>
  <c r="V225" i="48"/>
  <c r="AG226" i="48"/>
  <c r="P226" i="48" s="1"/>
  <c r="AH226" i="48"/>
  <c r="S181" i="48"/>
  <c r="AB182" i="48"/>
  <c r="AE182" i="48"/>
  <c r="W183" i="48" s="1"/>
  <c r="AO160" i="21"/>
  <c r="AN160" i="21"/>
  <c r="AM162" i="12"/>
  <c r="AI226" i="48" l="1"/>
  <c r="Q226" i="48"/>
  <c r="AL226" i="48"/>
  <c r="AF227" i="48" s="1"/>
  <c r="AC182" i="48"/>
  <c r="AD182" i="48" s="1"/>
  <c r="U182" i="48"/>
  <c r="X183" i="48"/>
  <c r="N183" i="48" s="1"/>
  <c r="AP160" i="21"/>
  <c r="AQ160" i="21"/>
  <c r="AJ161" i="21" s="1"/>
  <c r="AO162" i="12"/>
  <c r="AQ162" i="12" s="1"/>
  <c r="AN162" i="12"/>
  <c r="AG227" i="48" l="1"/>
  <c r="P227" i="48" s="1"/>
  <c r="V226" i="48"/>
  <c r="AJ226" i="48"/>
  <c r="AK226" i="48" s="1"/>
  <c r="AP182" i="48"/>
  <c r="Y183" i="48"/>
  <c r="O183" i="48" s="1"/>
  <c r="AO183" i="48"/>
  <c r="R183" i="48" s="1"/>
  <c r="AN183" i="48"/>
  <c r="AM161" i="21"/>
  <c r="AP162" i="12"/>
  <c r="AJ163" i="12"/>
  <c r="AH227" i="48" l="1"/>
  <c r="S182" i="48"/>
  <c r="AB183" i="48"/>
  <c r="AE183" i="48"/>
  <c r="W184" i="48" s="1"/>
  <c r="AO161" i="21"/>
  <c r="AN161" i="21"/>
  <c r="AM163" i="12"/>
  <c r="AL227" i="48" l="1"/>
  <c r="AF228" i="48" s="1"/>
  <c r="Q227" i="48"/>
  <c r="AI227" i="48"/>
  <c r="AC183" i="48"/>
  <c r="AD183" i="48" s="1"/>
  <c r="U183" i="48"/>
  <c r="X184" i="48"/>
  <c r="N184" i="48" s="1"/>
  <c r="AQ161" i="21"/>
  <c r="AJ162" i="21" s="1"/>
  <c r="AP161" i="21"/>
  <c r="AO163" i="12"/>
  <c r="AQ163" i="12" s="1"/>
  <c r="AN163" i="12"/>
  <c r="V227" i="48" l="1"/>
  <c r="AJ227" i="48"/>
  <c r="AK227" i="48" s="1"/>
  <c r="AG228" i="48"/>
  <c r="P228" i="48" s="1"/>
  <c r="AP183" i="48"/>
  <c r="S183" i="48" s="1"/>
  <c r="Y184" i="48"/>
  <c r="O184" i="48" s="1"/>
  <c r="AN184" i="48"/>
  <c r="AO184" i="48"/>
  <c r="R184" i="48" s="1"/>
  <c r="AM162" i="21"/>
  <c r="AP163" i="12"/>
  <c r="AJ164" i="12"/>
  <c r="AH228" i="48" l="1"/>
  <c r="AB184" i="48"/>
  <c r="AE184" i="48"/>
  <c r="W185" i="48" s="1"/>
  <c r="AO162" i="21"/>
  <c r="AN162" i="21"/>
  <c r="AM164" i="12"/>
  <c r="AI228" i="48" l="1"/>
  <c r="Q228" i="48"/>
  <c r="AL228" i="48"/>
  <c r="AF229" i="48" s="1"/>
  <c r="AC184" i="48"/>
  <c r="AD184" i="48" s="1"/>
  <c r="U184" i="48"/>
  <c r="X185" i="48"/>
  <c r="N185" i="48" s="1"/>
  <c r="AP162" i="21"/>
  <c r="AQ162" i="21"/>
  <c r="AJ163" i="21" s="1"/>
  <c r="AO164" i="12"/>
  <c r="AQ164" i="12" s="1"/>
  <c r="AN164" i="12"/>
  <c r="AG229" i="48" l="1"/>
  <c r="P229" i="48" s="1"/>
  <c r="AH229" i="48"/>
  <c r="Q229" i="48" s="1"/>
  <c r="V228" i="48"/>
  <c r="AJ228" i="48"/>
  <c r="AK228" i="48" s="1"/>
  <c r="AP184" i="48"/>
  <c r="Y185" i="48"/>
  <c r="O185" i="48" s="1"/>
  <c r="AN185" i="48"/>
  <c r="AO185" i="48"/>
  <c r="R185" i="48" s="1"/>
  <c r="AM163" i="21"/>
  <c r="AP164" i="12"/>
  <c r="AJ165" i="12"/>
  <c r="AL229" i="48" l="1"/>
  <c r="AF230" i="48" s="1"/>
  <c r="AG230" i="48" s="1"/>
  <c r="P230" i="48" s="1"/>
  <c r="AI229" i="48"/>
  <c r="AJ229" i="48" s="1"/>
  <c r="AK229" i="48" s="1"/>
  <c r="V229" i="48"/>
  <c r="S184" i="48"/>
  <c r="AB185" i="48"/>
  <c r="AE185" i="48"/>
  <c r="W186" i="48" s="1"/>
  <c r="AO163" i="21"/>
  <c r="AN163" i="21"/>
  <c r="AM165" i="12"/>
  <c r="AH230" i="48" l="1"/>
  <c r="AC185" i="48"/>
  <c r="AD185" i="48" s="1"/>
  <c r="U185" i="48"/>
  <c r="X186" i="48"/>
  <c r="N186" i="48" s="1"/>
  <c r="AP163" i="21"/>
  <c r="AQ163" i="21"/>
  <c r="AJ164" i="21" s="1"/>
  <c r="AO165" i="12"/>
  <c r="AQ165" i="12" s="1"/>
  <c r="AN165" i="12"/>
  <c r="Q230" i="48" l="1"/>
  <c r="AI230" i="48"/>
  <c r="AL230" i="48"/>
  <c r="AF231" i="48" s="1"/>
  <c r="AP185" i="48"/>
  <c r="S185" i="48" s="1"/>
  <c r="Y186" i="48"/>
  <c r="O186" i="48" s="1"/>
  <c r="AO186" i="48"/>
  <c r="R186" i="48" s="1"/>
  <c r="AN186" i="48"/>
  <c r="AM164" i="21"/>
  <c r="AP165" i="12"/>
  <c r="AJ166" i="12"/>
  <c r="AG231" i="48" l="1"/>
  <c r="P231" i="48" s="1"/>
  <c r="AJ230" i="48"/>
  <c r="AK230" i="48" s="1"/>
  <c r="V230" i="48"/>
  <c r="AB186" i="48"/>
  <c r="AE186" i="48"/>
  <c r="W187" i="48" s="1"/>
  <c r="AO164" i="21"/>
  <c r="AN164" i="21"/>
  <c r="AM166" i="12"/>
  <c r="AH231" i="48" l="1"/>
  <c r="AC186" i="48"/>
  <c r="AD186" i="48" s="1"/>
  <c r="U186" i="48"/>
  <c r="X187" i="48"/>
  <c r="N187" i="48" s="1"/>
  <c r="AQ164" i="21"/>
  <c r="AJ165" i="21" s="1"/>
  <c r="AP164" i="21"/>
  <c r="AO166" i="12"/>
  <c r="AQ166" i="12" s="1"/>
  <c r="AN166" i="12"/>
  <c r="Q231" i="48" l="1"/>
  <c r="AI231" i="48"/>
  <c r="AL231" i="48"/>
  <c r="AF232" i="48" s="1"/>
  <c r="AG232" i="48" s="1"/>
  <c r="P232" i="48" s="1"/>
  <c r="AP186" i="48"/>
  <c r="S186" i="48" s="1"/>
  <c r="Y187" i="48"/>
  <c r="O187" i="48" s="1"/>
  <c r="AN187" i="48"/>
  <c r="AO187" i="48"/>
  <c r="R187" i="48" s="1"/>
  <c r="AM165" i="21"/>
  <c r="AP166" i="12"/>
  <c r="AJ167" i="12"/>
  <c r="AH232" i="48" l="1"/>
  <c r="AJ231" i="48"/>
  <c r="AK231" i="48" s="1"/>
  <c r="V231" i="48"/>
  <c r="AI232" i="48"/>
  <c r="Q232" i="48"/>
  <c r="AL232" i="48"/>
  <c r="AF233" i="48" s="1"/>
  <c r="AB187" i="48"/>
  <c r="AE187" i="48"/>
  <c r="W188" i="48" s="1"/>
  <c r="AO165" i="21"/>
  <c r="AN165" i="21"/>
  <c r="AM167" i="12"/>
  <c r="AG233" i="48" l="1"/>
  <c r="P233" i="48" s="1"/>
  <c r="V232" i="48"/>
  <c r="AJ232" i="48"/>
  <c r="AK232" i="48" s="1"/>
  <c r="AC187" i="48"/>
  <c r="AD187" i="48" s="1"/>
  <c r="U187" i="48"/>
  <c r="X188" i="48"/>
  <c r="N188" i="48" s="1"/>
  <c r="AP165" i="21"/>
  <c r="AQ165" i="21"/>
  <c r="AJ166" i="21" s="1"/>
  <c r="AO167" i="12"/>
  <c r="AQ167" i="12" s="1"/>
  <c r="AN167" i="12"/>
  <c r="AH233" i="48" l="1"/>
  <c r="AP187" i="48"/>
  <c r="S187" i="48" s="1"/>
  <c r="Y188" i="48"/>
  <c r="O188" i="48" s="1"/>
  <c r="AO188" i="48"/>
  <c r="R188" i="48" s="1"/>
  <c r="AN188" i="48"/>
  <c r="AM166" i="21"/>
  <c r="AP167" i="12"/>
  <c r="AJ168" i="12"/>
  <c r="Q233" i="48" l="1"/>
  <c r="AL233" i="48"/>
  <c r="AF234" i="48" s="1"/>
  <c r="AI233" i="48"/>
  <c r="AB188" i="48"/>
  <c r="AE188" i="48"/>
  <c r="W189" i="48" s="1"/>
  <c r="AO166" i="21"/>
  <c r="AN166" i="21"/>
  <c r="AM168" i="12"/>
  <c r="AJ233" i="48" l="1"/>
  <c r="AK233" i="48" s="1"/>
  <c r="V233" i="48"/>
  <c r="AG234" i="48"/>
  <c r="P234" i="48" s="1"/>
  <c r="AC188" i="48"/>
  <c r="AD188" i="48" s="1"/>
  <c r="U188" i="48"/>
  <c r="X189" i="48"/>
  <c r="N189" i="48" s="1"/>
  <c r="AQ166" i="21"/>
  <c r="AJ167" i="21" s="1"/>
  <c r="AP166" i="21"/>
  <c r="AO168" i="12"/>
  <c r="AQ168" i="12" s="1"/>
  <c r="AN168" i="12"/>
  <c r="AH234" i="48" l="1"/>
  <c r="Q234" i="48" s="1"/>
  <c r="AI234" i="48"/>
  <c r="AP188" i="48"/>
  <c r="S188" i="48" s="1"/>
  <c r="Y189" i="48"/>
  <c r="O189" i="48" s="1"/>
  <c r="AN189" i="48"/>
  <c r="AO189" i="48"/>
  <c r="R189" i="48" s="1"/>
  <c r="AM167" i="21"/>
  <c r="AP168" i="12"/>
  <c r="AJ169" i="12"/>
  <c r="AL234" i="48" l="1"/>
  <c r="AF235" i="48" s="1"/>
  <c r="AJ234" i="48"/>
  <c r="AK234" i="48" s="1"/>
  <c r="V234" i="48"/>
  <c r="AG235" i="48"/>
  <c r="P235" i="48" s="1"/>
  <c r="AB189" i="48"/>
  <c r="AE189" i="48"/>
  <c r="W190" i="48" s="1"/>
  <c r="AO167" i="21"/>
  <c r="AN167" i="21"/>
  <c r="AM169" i="12"/>
  <c r="AH235" i="48" l="1"/>
  <c r="AC189" i="48"/>
  <c r="AD189" i="48" s="1"/>
  <c r="U189" i="48"/>
  <c r="X190" i="48"/>
  <c r="N190" i="48" s="1"/>
  <c r="AQ167" i="21"/>
  <c r="AJ168" i="21" s="1"/>
  <c r="AP167" i="21"/>
  <c r="AO169" i="12"/>
  <c r="AQ169" i="12" s="1"/>
  <c r="AN169" i="12"/>
  <c r="Q235" i="48" l="1"/>
  <c r="AL235" i="48"/>
  <c r="AF236" i="48" s="1"/>
  <c r="AI235" i="48"/>
  <c r="AP189" i="48"/>
  <c r="S189" i="48" s="1"/>
  <c r="Y190" i="48"/>
  <c r="O190" i="48" s="1"/>
  <c r="AO190" i="48"/>
  <c r="R190" i="48" s="1"/>
  <c r="AN190" i="48"/>
  <c r="AM168" i="21"/>
  <c r="AP169" i="12"/>
  <c r="AJ170" i="12"/>
  <c r="AJ235" i="48" l="1"/>
  <c r="AK235" i="48" s="1"/>
  <c r="V235" i="48"/>
  <c r="AG236" i="48"/>
  <c r="P236" i="48" s="1"/>
  <c r="AB190" i="48"/>
  <c r="AE190" i="48"/>
  <c r="W191" i="48" s="1"/>
  <c r="AO168" i="21"/>
  <c r="AN168" i="21"/>
  <c r="AM170" i="12"/>
  <c r="AH236" i="48" l="1"/>
  <c r="AC190" i="48"/>
  <c r="AD190" i="48" s="1"/>
  <c r="U190" i="48"/>
  <c r="X191" i="48"/>
  <c r="N191" i="48" s="1"/>
  <c r="AQ168" i="21"/>
  <c r="AJ169" i="21" s="1"/>
  <c r="AP168" i="21"/>
  <c r="AO170" i="12"/>
  <c r="AQ170" i="12" s="1"/>
  <c r="AN170" i="12"/>
  <c r="Q236" i="48" l="1"/>
  <c r="AL236" i="48"/>
  <c r="AF237" i="48" s="1"/>
  <c r="AI236" i="48"/>
  <c r="AP190" i="48"/>
  <c r="S190" i="48" s="1"/>
  <c r="Y191" i="48"/>
  <c r="O191" i="48" s="1"/>
  <c r="AN191" i="48"/>
  <c r="AO191" i="48"/>
  <c r="R191" i="48" s="1"/>
  <c r="AM169" i="21"/>
  <c r="AP170" i="12"/>
  <c r="AJ171" i="12"/>
  <c r="AG237" i="48" l="1"/>
  <c r="P237" i="48" s="1"/>
  <c r="AH237" i="48"/>
  <c r="Q237" i="48" s="1"/>
  <c r="V236" i="48"/>
  <c r="AJ236" i="48"/>
  <c r="AK236" i="48" s="1"/>
  <c r="AI237" i="48"/>
  <c r="AB191" i="48"/>
  <c r="AE191" i="48"/>
  <c r="W192" i="48" s="1"/>
  <c r="AO169" i="21"/>
  <c r="AN169" i="21"/>
  <c r="AM171" i="12"/>
  <c r="AL237" i="48" l="1"/>
  <c r="AF238" i="48" s="1"/>
  <c r="AG238" i="48" s="1"/>
  <c r="P238" i="48" s="1"/>
  <c r="AJ237" i="48"/>
  <c r="AK237" i="48" s="1"/>
  <c r="V237" i="48"/>
  <c r="AC191" i="48"/>
  <c r="AD191" i="48" s="1"/>
  <c r="U191" i="48"/>
  <c r="X192" i="48"/>
  <c r="N192" i="48" s="1"/>
  <c r="AP169" i="21"/>
  <c r="AQ169" i="21"/>
  <c r="AJ170" i="21" s="1"/>
  <c r="AO171" i="12"/>
  <c r="AQ171" i="12" s="1"/>
  <c r="AN171" i="12"/>
  <c r="AH238" i="48" l="1"/>
  <c r="AP191" i="48"/>
  <c r="Y192" i="48"/>
  <c r="O192" i="48" s="1"/>
  <c r="AO192" i="48"/>
  <c r="R192" i="48" s="1"/>
  <c r="AN192" i="48"/>
  <c r="AM170" i="21"/>
  <c r="AP171" i="12"/>
  <c r="AJ172" i="12"/>
  <c r="Q238" i="48" l="1"/>
  <c r="AI238" i="48"/>
  <c r="AL238" i="48"/>
  <c r="AF239" i="48" s="1"/>
  <c r="S191" i="48"/>
  <c r="AB192" i="48"/>
  <c r="AE192" i="48"/>
  <c r="W193" i="48" s="1"/>
  <c r="AO170" i="21"/>
  <c r="AN170" i="21"/>
  <c r="AM172" i="12"/>
  <c r="AG239" i="48" l="1"/>
  <c r="P239" i="48" s="1"/>
  <c r="V238" i="48"/>
  <c r="AJ238" i="48"/>
  <c r="AK238" i="48" s="1"/>
  <c r="AC192" i="48"/>
  <c r="AD192" i="48" s="1"/>
  <c r="U192" i="48"/>
  <c r="X193" i="48"/>
  <c r="N193" i="48" s="1"/>
  <c r="AQ170" i="21"/>
  <c r="AJ171" i="21" s="1"/>
  <c r="AP170" i="21"/>
  <c r="AO172" i="12"/>
  <c r="AQ172" i="12" s="1"/>
  <c r="AN172" i="12"/>
  <c r="AH239" i="48" l="1"/>
  <c r="AP192" i="48"/>
  <c r="Y193" i="48"/>
  <c r="O193" i="48" s="1"/>
  <c r="AN193" i="48"/>
  <c r="AO193" i="48"/>
  <c r="R193" i="48" s="1"/>
  <c r="AM171" i="21"/>
  <c r="AP172" i="12"/>
  <c r="AJ173" i="12"/>
  <c r="Q239" i="48" l="1"/>
  <c r="AI239" i="48"/>
  <c r="AL239" i="48"/>
  <c r="AF240" i="48" s="1"/>
  <c r="S192" i="48"/>
  <c r="AB193" i="48"/>
  <c r="AE193" i="48"/>
  <c r="W194" i="48" s="1"/>
  <c r="AO171" i="21"/>
  <c r="AN171" i="21"/>
  <c r="AM173" i="12"/>
  <c r="AG240" i="48" l="1"/>
  <c r="P240" i="48" s="1"/>
  <c r="AH240" i="48"/>
  <c r="Q240" i="48" s="1"/>
  <c r="V239" i="48"/>
  <c r="AJ239" i="48"/>
  <c r="AK239" i="48" s="1"/>
  <c r="AI240" i="48"/>
  <c r="AC193" i="48"/>
  <c r="AD193" i="48" s="1"/>
  <c r="U193" i="48"/>
  <c r="X194" i="48"/>
  <c r="N194" i="48" s="1"/>
  <c r="AP171" i="21"/>
  <c r="AQ171" i="21"/>
  <c r="AJ172" i="21" s="1"/>
  <c r="AO173" i="12"/>
  <c r="AQ173" i="12" s="1"/>
  <c r="AN173" i="12"/>
  <c r="AL240" i="48" l="1"/>
  <c r="AF241" i="48" s="1"/>
  <c r="AG241" i="48"/>
  <c r="P241" i="48" s="1"/>
  <c r="V240" i="48"/>
  <c r="AJ240" i="48"/>
  <c r="AK240" i="48" s="1"/>
  <c r="AP193" i="48"/>
  <c r="Y194" i="48"/>
  <c r="O194" i="48" s="1"/>
  <c r="AO194" i="48"/>
  <c r="R194" i="48" s="1"/>
  <c r="AN194" i="48"/>
  <c r="AM172" i="21"/>
  <c r="AP173" i="12"/>
  <c r="AJ174" i="12"/>
  <c r="AH241" i="48" l="1"/>
  <c r="S193" i="48"/>
  <c r="AB194" i="48"/>
  <c r="AE194" i="48"/>
  <c r="W195" i="48" s="1"/>
  <c r="AO172" i="21"/>
  <c r="AN172" i="21"/>
  <c r="AM174" i="12"/>
  <c r="Q241" i="48" l="1"/>
  <c r="AL241" i="48"/>
  <c r="AF242" i="48" s="1"/>
  <c r="AI241" i="48"/>
  <c r="AC194" i="48"/>
  <c r="AD194" i="48" s="1"/>
  <c r="U194" i="48"/>
  <c r="X195" i="48"/>
  <c r="N195" i="48" s="1"/>
  <c r="AQ172" i="21"/>
  <c r="AJ173" i="21" s="1"/>
  <c r="AP172" i="21"/>
  <c r="AO174" i="12"/>
  <c r="AQ174" i="12" s="1"/>
  <c r="AN174" i="12"/>
  <c r="AJ241" i="48" l="1"/>
  <c r="AK241" i="48" s="1"/>
  <c r="V241" i="48"/>
  <c r="AG242" i="48"/>
  <c r="P242" i="48" s="1"/>
  <c r="AP194" i="48"/>
  <c r="S194" i="48" s="1"/>
  <c r="Y195" i="48"/>
  <c r="O195" i="48" s="1"/>
  <c r="AN195" i="48"/>
  <c r="AO195" i="48"/>
  <c r="R195" i="48" s="1"/>
  <c r="AM173" i="21"/>
  <c r="AP174" i="12"/>
  <c r="AJ175" i="12"/>
  <c r="AH242" i="48" l="1"/>
  <c r="Q242" i="48" s="1"/>
  <c r="AI242" i="48"/>
  <c r="AB195" i="48"/>
  <c r="AE195" i="48"/>
  <c r="W196" i="48" s="1"/>
  <c r="AO173" i="21"/>
  <c r="AN173" i="21"/>
  <c r="AM175" i="12"/>
  <c r="AL242" i="48" l="1"/>
  <c r="AF243" i="48" s="1"/>
  <c r="AJ242" i="48"/>
  <c r="AK242" i="48" s="1"/>
  <c r="V242" i="48"/>
  <c r="AG243" i="48"/>
  <c r="P243" i="48" s="1"/>
  <c r="AC195" i="48"/>
  <c r="AD195" i="48" s="1"/>
  <c r="U195" i="48"/>
  <c r="X196" i="48"/>
  <c r="N196" i="48" s="1"/>
  <c r="AP173" i="21"/>
  <c r="AQ173" i="21"/>
  <c r="AJ174" i="21" s="1"/>
  <c r="AO175" i="12"/>
  <c r="AQ175" i="12" s="1"/>
  <c r="AN175" i="12"/>
  <c r="AH243" i="48" l="1"/>
  <c r="AP195" i="48"/>
  <c r="S195" i="48" s="1"/>
  <c r="Y196" i="48"/>
  <c r="O196" i="48" s="1"/>
  <c r="AN196" i="48"/>
  <c r="AO196" i="48"/>
  <c r="R196" i="48" s="1"/>
  <c r="AM174" i="21"/>
  <c r="AP175" i="12"/>
  <c r="AJ176" i="12"/>
  <c r="Q243" i="48" l="1"/>
  <c r="AL243" i="48"/>
  <c r="AF244" i="48" s="1"/>
  <c r="AI243" i="48"/>
  <c r="AB196" i="48"/>
  <c r="AE196" i="48"/>
  <c r="W197" i="48" s="1"/>
  <c r="AO174" i="21"/>
  <c r="AN174" i="21"/>
  <c r="AM176" i="12"/>
  <c r="AJ243" i="48" l="1"/>
  <c r="AK243" i="48" s="1"/>
  <c r="V243" i="48"/>
  <c r="AG244" i="48"/>
  <c r="P244" i="48" s="1"/>
  <c r="AC196" i="48"/>
  <c r="AD196" i="48" s="1"/>
  <c r="U196" i="48"/>
  <c r="X197" i="48"/>
  <c r="N197" i="48" s="1"/>
  <c r="AQ174" i="21"/>
  <c r="AJ175" i="21" s="1"/>
  <c r="AP174" i="21"/>
  <c r="AO176" i="12"/>
  <c r="AQ176" i="12" s="1"/>
  <c r="AN176" i="12"/>
  <c r="AH244" i="48" l="1"/>
  <c r="AP196" i="48"/>
  <c r="Y197" i="48"/>
  <c r="O197" i="48" s="1"/>
  <c r="AN197" i="48"/>
  <c r="AO197" i="48"/>
  <c r="R197" i="48" s="1"/>
  <c r="AM175" i="21"/>
  <c r="AP176" i="12"/>
  <c r="AJ177" i="12"/>
  <c r="Q244" i="48" l="1"/>
  <c r="AL244" i="48"/>
  <c r="AF245" i="48" s="1"/>
  <c r="AI244" i="48"/>
  <c r="S196" i="48"/>
  <c r="AB197" i="48"/>
  <c r="AE197" i="48"/>
  <c r="W198" i="48" s="1"/>
  <c r="AO175" i="21"/>
  <c r="AN175" i="21"/>
  <c r="AM177" i="12"/>
  <c r="V244" i="48" l="1"/>
  <c r="AJ244" i="48"/>
  <c r="AK244" i="48" s="1"/>
  <c r="AG245" i="48"/>
  <c r="P245" i="48" s="1"/>
  <c r="AH245" i="48"/>
  <c r="Q245" i="48" s="1"/>
  <c r="AC197" i="48"/>
  <c r="AD197" i="48" s="1"/>
  <c r="U197" i="48"/>
  <c r="X198" i="48"/>
  <c r="N198" i="48" s="1"/>
  <c r="AP175" i="21"/>
  <c r="AQ175" i="21"/>
  <c r="AJ176" i="21" s="1"/>
  <c r="AO177" i="12"/>
  <c r="AQ177" i="12" s="1"/>
  <c r="AN177" i="12"/>
  <c r="AL245" i="48" l="1"/>
  <c r="AF246" i="48" s="1"/>
  <c r="AI245" i="48"/>
  <c r="AP197" i="48"/>
  <c r="Y198" i="48"/>
  <c r="O198" i="48" s="1"/>
  <c r="AO198" i="48"/>
  <c r="R198" i="48" s="1"/>
  <c r="AN198" i="48"/>
  <c r="AM176" i="21"/>
  <c r="AP177" i="12"/>
  <c r="AJ178" i="12"/>
  <c r="V245" i="48" l="1"/>
  <c r="AJ245" i="48"/>
  <c r="AK245" i="48" s="1"/>
  <c r="AG246" i="48"/>
  <c r="P246" i="48" s="1"/>
  <c r="S197" i="48"/>
  <c r="AB198" i="48"/>
  <c r="AE198" i="48"/>
  <c r="W199" i="48" s="1"/>
  <c r="AO176" i="21"/>
  <c r="AN176" i="21"/>
  <c r="AM178" i="12"/>
  <c r="AH246" i="48" l="1"/>
  <c r="AC198" i="48"/>
  <c r="AD198" i="48" s="1"/>
  <c r="U198" i="48"/>
  <c r="X199" i="48"/>
  <c r="N199" i="48" s="1"/>
  <c r="AQ176" i="21"/>
  <c r="AJ177" i="21" s="1"/>
  <c r="AP176" i="21"/>
  <c r="AO178" i="12"/>
  <c r="AQ178" i="12" s="1"/>
  <c r="AN178" i="12"/>
  <c r="Q246" i="48" l="1"/>
  <c r="AL246" i="48"/>
  <c r="AF247" i="48" s="1"/>
  <c r="AI246" i="48"/>
  <c r="AP198" i="48"/>
  <c r="S198" i="48" s="1"/>
  <c r="Y199" i="48"/>
  <c r="O199" i="48" s="1"/>
  <c r="AN199" i="48"/>
  <c r="AO199" i="48"/>
  <c r="R199" i="48" s="1"/>
  <c r="AM177" i="21"/>
  <c r="AP178" i="12"/>
  <c r="AJ179" i="12"/>
  <c r="V246" i="48" l="1"/>
  <c r="AJ246" i="48"/>
  <c r="AK246" i="48" s="1"/>
  <c r="AG247" i="48"/>
  <c r="P247" i="48" s="1"/>
  <c r="AB199" i="48"/>
  <c r="AE199" i="48"/>
  <c r="W200" i="48" s="1"/>
  <c r="AO177" i="21"/>
  <c r="AN177" i="21"/>
  <c r="AM179" i="12"/>
  <c r="AH247" i="48" l="1"/>
  <c r="AC199" i="48"/>
  <c r="AD199" i="48" s="1"/>
  <c r="U199" i="48"/>
  <c r="X200" i="48"/>
  <c r="N200" i="48" s="1"/>
  <c r="AP177" i="21"/>
  <c r="AQ177" i="21"/>
  <c r="AJ178" i="21" s="1"/>
  <c r="AO179" i="12"/>
  <c r="AQ179" i="12" s="1"/>
  <c r="AN179" i="12"/>
  <c r="Q247" i="48" l="1"/>
  <c r="AL247" i="48"/>
  <c r="AF248" i="48" s="1"/>
  <c r="AI247" i="48"/>
  <c r="AP199" i="48"/>
  <c r="Y200" i="48"/>
  <c r="O200" i="48" s="1"/>
  <c r="AO200" i="48"/>
  <c r="R200" i="48" s="1"/>
  <c r="AN200" i="48"/>
  <c r="AM178" i="21"/>
  <c r="AP179" i="12"/>
  <c r="AJ180" i="12"/>
  <c r="AJ247" i="48" l="1"/>
  <c r="AK247" i="48" s="1"/>
  <c r="V247" i="48"/>
  <c r="AG248" i="48"/>
  <c r="P248" i="48" s="1"/>
  <c r="S199" i="48"/>
  <c r="AB200" i="48"/>
  <c r="AE200" i="48"/>
  <c r="W201" i="48" s="1"/>
  <c r="AO178" i="21"/>
  <c r="AN178" i="21"/>
  <c r="AM180" i="12"/>
  <c r="AH248" i="48" l="1"/>
  <c r="AC200" i="48"/>
  <c r="AD200" i="48" s="1"/>
  <c r="U200" i="48"/>
  <c r="X201" i="48"/>
  <c r="N201" i="48" s="1"/>
  <c r="AQ178" i="21"/>
  <c r="AJ179" i="21" s="1"/>
  <c r="AP178" i="21"/>
  <c r="AO180" i="12"/>
  <c r="AQ180" i="12" s="1"/>
  <c r="AN180" i="12"/>
  <c r="Q248" i="48" l="1"/>
  <c r="AL248" i="48"/>
  <c r="AF249" i="48" s="1"/>
  <c r="AI248" i="48"/>
  <c r="AP200" i="48"/>
  <c r="Y201" i="48"/>
  <c r="O201" i="48" s="1"/>
  <c r="AN201" i="48"/>
  <c r="AO201" i="48"/>
  <c r="R201" i="48" s="1"/>
  <c r="AM179" i="21"/>
  <c r="AP180" i="12"/>
  <c r="AJ181" i="12"/>
  <c r="AJ248" i="48" l="1"/>
  <c r="AK248" i="48" s="1"/>
  <c r="V248" i="48"/>
  <c r="AG249" i="48"/>
  <c r="P249" i="48" s="1"/>
  <c r="S200" i="48"/>
  <c r="AB201" i="48"/>
  <c r="AE201" i="48"/>
  <c r="W202" i="48" s="1"/>
  <c r="AO179" i="21"/>
  <c r="AN179" i="21"/>
  <c r="AM181" i="12"/>
  <c r="AH249" i="48" l="1"/>
  <c r="AC201" i="48"/>
  <c r="AD201" i="48" s="1"/>
  <c r="U201" i="48"/>
  <c r="X202" i="48"/>
  <c r="N202" i="48" s="1"/>
  <c r="AQ179" i="21"/>
  <c r="AJ180" i="21" s="1"/>
  <c r="AP179" i="21"/>
  <c r="AO181" i="12"/>
  <c r="AQ181" i="12" s="1"/>
  <c r="AN181" i="12"/>
  <c r="Q249" i="48" l="1"/>
  <c r="AL249" i="48"/>
  <c r="AF250" i="48" s="1"/>
  <c r="AI249" i="48"/>
  <c r="AP201" i="48"/>
  <c r="Y202" i="48"/>
  <c r="O202" i="48" s="1"/>
  <c r="AO202" i="48"/>
  <c r="R202" i="48" s="1"/>
  <c r="AN202" i="48"/>
  <c r="AM180" i="21"/>
  <c r="AP181" i="12"/>
  <c r="AJ182" i="12"/>
  <c r="V249" i="48" l="1"/>
  <c r="AJ249" i="48"/>
  <c r="AK249" i="48" s="1"/>
  <c r="AG250" i="48"/>
  <c r="P250" i="48" s="1"/>
  <c r="S201" i="48"/>
  <c r="AB202" i="48"/>
  <c r="AE202" i="48"/>
  <c r="W203" i="48" s="1"/>
  <c r="AO180" i="21"/>
  <c r="AN180" i="21"/>
  <c r="AM182" i="12"/>
  <c r="AH250" i="48" l="1"/>
  <c r="AC202" i="48"/>
  <c r="AD202" i="48" s="1"/>
  <c r="U202" i="48"/>
  <c r="X203" i="48"/>
  <c r="N203" i="48" s="1"/>
  <c r="AQ180" i="21"/>
  <c r="AJ181" i="21" s="1"/>
  <c r="AP180" i="21"/>
  <c r="AO182" i="12"/>
  <c r="AQ182" i="12" s="1"/>
  <c r="AN182" i="12"/>
  <c r="Q250" i="48" l="1"/>
  <c r="AL250" i="48"/>
  <c r="AF251" i="48" s="1"/>
  <c r="AI250" i="48"/>
  <c r="AP202" i="48"/>
  <c r="Y203" i="48"/>
  <c r="O203" i="48" s="1"/>
  <c r="AN203" i="48"/>
  <c r="AO203" i="48"/>
  <c r="R203" i="48" s="1"/>
  <c r="AM181" i="21"/>
  <c r="AP182" i="12"/>
  <c r="AJ183" i="12"/>
  <c r="AJ250" i="48" l="1"/>
  <c r="AK250" i="48" s="1"/>
  <c r="V250" i="48"/>
  <c r="AG251" i="48"/>
  <c r="P251" i="48" s="1"/>
  <c r="S202" i="48"/>
  <c r="AB203" i="48"/>
  <c r="AE203" i="48"/>
  <c r="W204" i="48" s="1"/>
  <c r="AO181" i="21"/>
  <c r="AN181" i="21"/>
  <c r="AM183" i="12"/>
  <c r="AH251" i="48" l="1"/>
  <c r="AC203" i="48"/>
  <c r="AD203" i="48" s="1"/>
  <c r="U203" i="48"/>
  <c r="X204" i="48"/>
  <c r="N204" i="48" s="1"/>
  <c r="AQ181" i="21"/>
  <c r="AJ182" i="21" s="1"/>
  <c r="AP181" i="21"/>
  <c r="AO183" i="12"/>
  <c r="AQ183" i="12" s="1"/>
  <c r="AN183" i="12"/>
  <c r="Q251" i="48" l="1"/>
  <c r="AL251" i="48"/>
  <c r="AF252" i="48" s="1"/>
  <c r="AI251" i="48"/>
  <c r="AP203" i="48"/>
  <c r="Y204" i="48"/>
  <c r="O204" i="48" s="1"/>
  <c r="AN204" i="48"/>
  <c r="AO204" i="48"/>
  <c r="R204" i="48" s="1"/>
  <c r="AM182" i="21"/>
  <c r="AP183" i="12"/>
  <c r="AJ184" i="12"/>
  <c r="V251" i="48" l="1"/>
  <c r="AJ251" i="48"/>
  <c r="AK251" i="48" s="1"/>
  <c r="AG252" i="48"/>
  <c r="P252" i="48" s="1"/>
  <c r="S203" i="48"/>
  <c r="AB204" i="48"/>
  <c r="AE204" i="48"/>
  <c r="W205" i="48" s="1"/>
  <c r="AO182" i="21"/>
  <c r="AN182" i="21"/>
  <c r="AM184" i="12"/>
  <c r="AH252" i="48" l="1"/>
  <c r="AC204" i="48"/>
  <c r="AD204" i="48" s="1"/>
  <c r="U204" i="48"/>
  <c r="X205" i="48"/>
  <c r="N205" i="48" s="1"/>
  <c r="AQ182" i="21"/>
  <c r="AJ183" i="21" s="1"/>
  <c r="AP182" i="21"/>
  <c r="AO184" i="12"/>
  <c r="AQ184" i="12" s="1"/>
  <c r="AN184" i="12"/>
  <c r="Q252" i="48" l="1"/>
  <c r="AL252" i="48"/>
  <c r="AF253" i="48" s="1"/>
  <c r="AI252" i="48"/>
  <c r="AP204" i="48"/>
  <c r="S204" i="48" s="1"/>
  <c r="Y205" i="48"/>
  <c r="O205" i="48" s="1"/>
  <c r="AN205" i="48"/>
  <c r="AO205" i="48"/>
  <c r="R205" i="48" s="1"/>
  <c r="AM183" i="21"/>
  <c r="AP184" i="12"/>
  <c r="AJ185" i="12"/>
  <c r="V252" i="48" l="1"/>
  <c r="AJ252" i="48"/>
  <c r="AK252" i="48" s="1"/>
  <c r="AG253" i="48"/>
  <c r="P253" i="48" s="1"/>
  <c r="AB205" i="48"/>
  <c r="AE205" i="48"/>
  <c r="W206" i="48" s="1"/>
  <c r="AO183" i="21"/>
  <c r="AN183" i="21"/>
  <c r="AM185" i="12"/>
  <c r="AH253" i="48" l="1"/>
  <c r="AC205" i="48"/>
  <c r="AD205" i="48" s="1"/>
  <c r="U205" i="48"/>
  <c r="X206" i="48"/>
  <c r="N206" i="48" s="1"/>
  <c r="AP183" i="21"/>
  <c r="AQ183" i="21"/>
  <c r="AJ184" i="21" s="1"/>
  <c r="AO185" i="12"/>
  <c r="AQ185" i="12" s="1"/>
  <c r="AN185" i="12"/>
  <c r="Q253" i="48" l="1"/>
  <c r="AL253" i="48"/>
  <c r="AF254" i="48" s="1"/>
  <c r="AI253" i="48"/>
  <c r="AP205" i="48"/>
  <c r="S205" i="48" s="1"/>
  <c r="Y206" i="48"/>
  <c r="O206" i="48" s="1"/>
  <c r="AN206" i="48"/>
  <c r="AO206" i="48"/>
  <c r="R206" i="48" s="1"/>
  <c r="AM184" i="21"/>
  <c r="AP185" i="12"/>
  <c r="AJ186" i="12"/>
  <c r="V253" i="48" l="1"/>
  <c r="AJ253" i="48"/>
  <c r="AK253" i="48" s="1"/>
  <c r="AG254" i="48"/>
  <c r="P254" i="48" s="1"/>
  <c r="AB206" i="48"/>
  <c r="AE206" i="48"/>
  <c r="W207" i="48" s="1"/>
  <c r="AO184" i="21"/>
  <c r="AN184" i="21"/>
  <c r="AM186" i="12"/>
  <c r="AH254" i="48" l="1"/>
  <c r="AC206" i="48"/>
  <c r="AD206" i="48" s="1"/>
  <c r="U206" i="48"/>
  <c r="X207" i="48"/>
  <c r="N207" i="48" s="1"/>
  <c r="AQ184" i="21"/>
  <c r="AJ185" i="21" s="1"/>
  <c r="AP184" i="21"/>
  <c r="AO186" i="12"/>
  <c r="AQ186" i="12" s="1"/>
  <c r="AN186" i="12"/>
  <c r="Q254" i="48" l="1"/>
  <c r="AI254" i="48"/>
  <c r="AL254" i="48"/>
  <c r="AF255" i="48" s="1"/>
  <c r="AP206" i="48"/>
  <c r="Y207" i="48"/>
  <c r="O207" i="48" s="1"/>
  <c r="AN207" i="48"/>
  <c r="AO207" i="48"/>
  <c r="R207" i="48" s="1"/>
  <c r="AM185" i="21"/>
  <c r="AP186" i="12"/>
  <c r="AJ187" i="12"/>
  <c r="AG255" i="48" l="1"/>
  <c r="P255" i="48" s="1"/>
  <c r="AH255" i="48"/>
  <c r="Q255" i="48" s="1"/>
  <c r="V254" i="48"/>
  <c r="AJ254" i="48"/>
  <c r="AK254" i="48" s="1"/>
  <c r="S206" i="48"/>
  <c r="AB207" i="48"/>
  <c r="AE207" i="48"/>
  <c r="W208" i="48" s="1"/>
  <c r="AO185" i="21"/>
  <c r="AN185" i="21"/>
  <c r="AM187" i="12"/>
  <c r="AI255" i="48" l="1"/>
  <c r="AL255" i="48"/>
  <c r="AF256" i="48" s="1"/>
  <c r="AJ255" i="48"/>
  <c r="AK255" i="48" s="1"/>
  <c r="V255" i="48"/>
  <c r="AC207" i="48"/>
  <c r="AD207" i="48" s="1"/>
  <c r="U207" i="48"/>
  <c r="X208" i="48"/>
  <c r="N208" i="48" s="1"/>
  <c r="AP185" i="21"/>
  <c r="AQ185" i="21"/>
  <c r="AJ186" i="21" s="1"/>
  <c r="AO187" i="12"/>
  <c r="AQ187" i="12" s="1"/>
  <c r="AN187" i="12"/>
  <c r="AG256" i="48" l="1"/>
  <c r="P256" i="48" s="1"/>
  <c r="AH256" i="48"/>
  <c r="AP207" i="48"/>
  <c r="S207" i="48" s="1"/>
  <c r="Y208" i="48"/>
  <c r="O208" i="48" s="1"/>
  <c r="AN208" i="48"/>
  <c r="AO208" i="48"/>
  <c r="R208" i="48" s="1"/>
  <c r="AM186" i="21"/>
  <c r="AP187" i="12"/>
  <c r="AJ188" i="12"/>
  <c r="Q256" i="48" l="1"/>
  <c r="AI256" i="48"/>
  <c r="AL256" i="48"/>
  <c r="AF257" i="48" s="1"/>
  <c r="AB208" i="48"/>
  <c r="AE208" i="48"/>
  <c r="W209" i="48" s="1"/>
  <c r="AO186" i="21"/>
  <c r="AN186" i="21"/>
  <c r="AM188" i="12"/>
  <c r="V256" i="48" l="1"/>
  <c r="AJ256" i="48"/>
  <c r="AK256" i="48" s="1"/>
  <c r="AG257" i="48"/>
  <c r="P257" i="48" s="1"/>
  <c r="AC208" i="48"/>
  <c r="AD208" i="48" s="1"/>
  <c r="U208" i="48"/>
  <c r="X209" i="48"/>
  <c r="N209" i="48" s="1"/>
  <c r="AQ186" i="21"/>
  <c r="AJ187" i="21" s="1"/>
  <c r="AP186" i="21"/>
  <c r="AO188" i="12"/>
  <c r="AQ188" i="12" s="1"/>
  <c r="AN188" i="12"/>
  <c r="AH257" i="48" l="1"/>
  <c r="AP208" i="48"/>
  <c r="S208" i="48" s="1"/>
  <c r="Y209" i="48"/>
  <c r="O209" i="48" s="1"/>
  <c r="AO209" i="48"/>
  <c r="R209" i="48" s="1"/>
  <c r="AN209" i="48"/>
  <c r="AM187" i="21"/>
  <c r="AP188" i="12"/>
  <c r="AJ189" i="12"/>
  <c r="Q257" i="48" l="1"/>
  <c r="AL257" i="48"/>
  <c r="AF258" i="48" s="1"/>
  <c r="AI257" i="48"/>
  <c r="AB209" i="48"/>
  <c r="AE209" i="48"/>
  <c r="W210" i="48" s="1"/>
  <c r="AO187" i="21"/>
  <c r="AN187" i="21"/>
  <c r="AM189" i="12"/>
  <c r="V257" i="48" l="1"/>
  <c r="AJ257" i="48"/>
  <c r="AK257" i="48" s="1"/>
  <c r="AG258" i="48"/>
  <c r="P258" i="48" s="1"/>
  <c r="AC209" i="48"/>
  <c r="AD209" i="48" s="1"/>
  <c r="U209" i="48"/>
  <c r="X210" i="48"/>
  <c r="N210" i="48" s="1"/>
  <c r="AP187" i="21"/>
  <c r="AQ187" i="21"/>
  <c r="AJ188" i="21" s="1"/>
  <c r="AO189" i="12"/>
  <c r="AQ189" i="12" s="1"/>
  <c r="AN189" i="12"/>
  <c r="AH258" i="48" l="1"/>
  <c r="AP209" i="48"/>
  <c r="Y210" i="48"/>
  <c r="O210" i="48" s="1"/>
  <c r="AO210" i="48"/>
  <c r="R210" i="48" s="1"/>
  <c r="AN210" i="48"/>
  <c r="AM188" i="21"/>
  <c r="AP189" i="12"/>
  <c r="AJ190" i="12"/>
  <c r="Q258" i="48" l="1"/>
  <c r="AL258" i="48"/>
  <c r="AF259" i="48" s="1"/>
  <c r="AI258" i="48"/>
  <c r="S209" i="48"/>
  <c r="AB210" i="48"/>
  <c r="AE210" i="48"/>
  <c r="W211" i="48" s="1"/>
  <c r="AO188" i="21"/>
  <c r="AN188" i="21"/>
  <c r="AM190" i="12"/>
  <c r="AG259" i="48" l="1"/>
  <c r="P259" i="48" s="1"/>
  <c r="V258" i="48"/>
  <c r="AJ258" i="48"/>
  <c r="AK258" i="48" s="1"/>
  <c r="AC210" i="48"/>
  <c r="AD210" i="48" s="1"/>
  <c r="U210" i="48"/>
  <c r="X211" i="48"/>
  <c r="N211" i="48" s="1"/>
  <c r="AQ188" i="21"/>
  <c r="AJ189" i="21" s="1"/>
  <c r="AP188" i="21"/>
  <c r="AO190" i="12"/>
  <c r="AQ190" i="12" s="1"/>
  <c r="AN190" i="12"/>
  <c r="AH259" i="48" l="1"/>
  <c r="AP210" i="48"/>
  <c r="Y211" i="48"/>
  <c r="O211" i="48" s="1"/>
  <c r="AO211" i="48"/>
  <c r="R211" i="48" s="1"/>
  <c r="AN211" i="48"/>
  <c r="AM189" i="21"/>
  <c r="AP190" i="12"/>
  <c r="AJ191" i="12"/>
  <c r="Q259" i="48" l="1"/>
  <c r="AI259" i="48"/>
  <c r="AL259" i="48"/>
  <c r="AF260" i="48" s="1"/>
  <c r="S210" i="48"/>
  <c r="AB211" i="48"/>
  <c r="AE211" i="48"/>
  <c r="W212" i="48" s="1"/>
  <c r="AO189" i="21"/>
  <c r="AN189" i="21"/>
  <c r="AM191" i="12"/>
  <c r="AG260" i="48" l="1"/>
  <c r="P260" i="48" s="1"/>
  <c r="AH260" i="48"/>
  <c r="Q260" i="48" s="1"/>
  <c r="AJ259" i="48"/>
  <c r="AK259" i="48" s="1"/>
  <c r="V259" i="48"/>
  <c r="AC211" i="48"/>
  <c r="AD211" i="48" s="1"/>
  <c r="U211" i="48"/>
  <c r="X212" i="48"/>
  <c r="N212" i="48" s="1"/>
  <c r="AP189" i="21"/>
  <c r="AQ189" i="21"/>
  <c r="AJ190" i="21" s="1"/>
  <c r="AO191" i="12"/>
  <c r="AQ191" i="12" s="1"/>
  <c r="AN191" i="12"/>
  <c r="AI260" i="48" l="1"/>
  <c r="AL260" i="48"/>
  <c r="AF261" i="48" s="1"/>
  <c r="AJ260" i="48"/>
  <c r="AK260" i="48" s="1"/>
  <c r="V260" i="48"/>
  <c r="AP211" i="48"/>
  <c r="Y212" i="48"/>
  <c r="O212" i="48" s="1"/>
  <c r="AN212" i="48"/>
  <c r="AO212" i="48"/>
  <c r="R212" i="48" s="1"/>
  <c r="AM190" i="21"/>
  <c r="AP191" i="12"/>
  <c r="AJ192" i="12"/>
  <c r="AG261" i="48" l="1"/>
  <c r="P261" i="48" s="1"/>
  <c r="AH261" i="48"/>
  <c r="S211" i="48"/>
  <c r="AB212" i="48"/>
  <c r="AE212" i="48"/>
  <c r="W213" i="48" s="1"/>
  <c r="AO190" i="21"/>
  <c r="AN190" i="21"/>
  <c r="AM192" i="12"/>
  <c r="Q261" i="48" l="1"/>
  <c r="AI261" i="48"/>
  <c r="AL261" i="48"/>
  <c r="AF262" i="48" s="1"/>
  <c r="AC212" i="48"/>
  <c r="AD212" i="48" s="1"/>
  <c r="U212" i="48"/>
  <c r="X213" i="48"/>
  <c r="N213" i="48" s="1"/>
  <c r="AQ190" i="21"/>
  <c r="AJ191" i="21" s="1"/>
  <c r="AP190" i="21"/>
  <c r="AO192" i="12"/>
  <c r="AQ192" i="12" s="1"/>
  <c r="AN192" i="12"/>
  <c r="AG262" i="48" l="1"/>
  <c r="P262" i="48" s="1"/>
  <c r="AH262" i="48"/>
  <c r="Q262" i="48" s="1"/>
  <c r="V261" i="48"/>
  <c r="AJ261" i="48"/>
  <c r="AK261" i="48" s="1"/>
  <c r="AP212" i="48"/>
  <c r="Y213" i="48"/>
  <c r="O213" i="48" s="1"/>
  <c r="AN213" i="48"/>
  <c r="AO213" i="48"/>
  <c r="R213" i="48" s="1"/>
  <c r="AM191" i="21"/>
  <c r="AP192" i="12"/>
  <c r="AJ193" i="12"/>
  <c r="AL262" i="48" l="1"/>
  <c r="AF263" i="48" s="1"/>
  <c r="AI262" i="48"/>
  <c r="AG263" i="48"/>
  <c r="P263" i="48" s="1"/>
  <c r="AJ262" i="48"/>
  <c r="AK262" i="48" s="1"/>
  <c r="V262" i="48"/>
  <c r="S212" i="48"/>
  <c r="AB213" i="48"/>
  <c r="AE213" i="48"/>
  <c r="W214" i="48" s="1"/>
  <c r="AO191" i="21"/>
  <c r="AN191" i="21"/>
  <c r="AM193" i="12"/>
  <c r="AH263" i="48" l="1"/>
  <c r="AC213" i="48"/>
  <c r="AD213" i="48" s="1"/>
  <c r="U213" i="48"/>
  <c r="X214" i="48"/>
  <c r="N214" i="48" s="1"/>
  <c r="AP191" i="21"/>
  <c r="AQ191" i="21"/>
  <c r="AJ192" i="21" s="1"/>
  <c r="AO193" i="12"/>
  <c r="AQ193" i="12" s="1"/>
  <c r="AN193" i="12"/>
  <c r="Q263" i="48" l="1"/>
  <c r="AI263" i="48"/>
  <c r="AL263" i="48"/>
  <c r="AF264" i="48" s="1"/>
  <c r="AP213" i="48"/>
  <c r="Y214" i="48"/>
  <c r="O214" i="48" s="1"/>
  <c r="AN214" i="48"/>
  <c r="AO214" i="48"/>
  <c r="R214" i="48" s="1"/>
  <c r="AM192" i="21"/>
  <c r="AP193" i="12"/>
  <c r="AJ194" i="12"/>
  <c r="AG264" i="48" l="1"/>
  <c r="P264" i="48" s="1"/>
  <c r="V263" i="48"/>
  <c r="AJ263" i="48"/>
  <c r="AK263" i="48" s="1"/>
  <c r="S213" i="48"/>
  <c r="AB214" i="48"/>
  <c r="AE214" i="48"/>
  <c r="W215" i="48" s="1"/>
  <c r="AO192" i="21"/>
  <c r="AN192" i="21"/>
  <c r="AM194" i="12"/>
  <c r="AH264" i="48" l="1"/>
  <c r="AC214" i="48"/>
  <c r="AD214" i="48" s="1"/>
  <c r="U214" i="48"/>
  <c r="X215" i="48"/>
  <c r="N215" i="48" s="1"/>
  <c r="AQ192" i="21"/>
  <c r="AJ193" i="21" s="1"/>
  <c r="AP192" i="21"/>
  <c r="AO194" i="12"/>
  <c r="AQ194" i="12" s="1"/>
  <c r="AN194" i="12"/>
  <c r="Q264" i="48" l="1"/>
  <c r="AL264" i="48"/>
  <c r="AF265" i="48" s="1"/>
  <c r="AI264" i="48"/>
  <c r="AP214" i="48"/>
  <c r="S214" i="48" s="1"/>
  <c r="Y215" i="48"/>
  <c r="O215" i="48" s="1"/>
  <c r="AO215" i="48"/>
  <c r="R215" i="48" s="1"/>
  <c r="AN215" i="48"/>
  <c r="AM193" i="21"/>
  <c r="AJ195" i="12"/>
  <c r="AP194" i="12"/>
  <c r="V264" i="48" l="1"/>
  <c r="AJ264" i="48"/>
  <c r="AK264" i="48" s="1"/>
  <c r="AG265" i="48"/>
  <c r="P265" i="48" s="1"/>
  <c r="AB215" i="48"/>
  <c r="AE215" i="48"/>
  <c r="W216" i="48" s="1"/>
  <c r="AO193" i="21"/>
  <c r="AN193" i="21"/>
  <c r="AM195" i="12"/>
  <c r="AH265" i="48" l="1"/>
  <c r="AC215" i="48"/>
  <c r="AD215" i="48" s="1"/>
  <c r="U215" i="48"/>
  <c r="X216" i="48"/>
  <c r="N216" i="48" s="1"/>
  <c r="AP193" i="21"/>
  <c r="AQ193" i="21"/>
  <c r="AJ194" i="21" s="1"/>
  <c r="AO195" i="12"/>
  <c r="AQ195" i="12" s="1"/>
  <c r="AN195" i="12"/>
  <c r="Q265" i="48" l="1"/>
  <c r="AL265" i="48"/>
  <c r="AF266" i="48" s="1"/>
  <c r="AI265" i="48"/>
  <c r="AP215" i="48"/>
  <c r="S215" i="48" s="1"/>
  <c r="Y216" i="48"/>
  <c r="O216" i="48" s="1"/>
  <c r="AO216" i="48"/>
  <c r="R216" i="48" s="1"/>
  <c r="AN216" i="48"/>
  <c r="AM194" i="21"/>
  <c r="AP195" i="12"/>
  <c r="AJ196" i="12"/>
  <c r="V265" i="48" l="1"/>
  <c r="AJ265" i="48"/>
  <c r="AK265" i="48" s="1"/>
  <c r="AG266" i="48"/>
  <c r="P266" i="48" s="1"/>
  <c r="AB216" i="48"/>
  <c r="AE216" i="48"/>
  <c r="W217" i="48" s="1"/>
  <c r="AO194" i="21"/>
  <c r="AN194" i="21"/>
  <c r="AM196" i="12"/>
  <c r="AH266" i="48" l="1"/>
  <c r="AC216" i="48"/>
  <c r="AD216" i="48" s="1"/>
  <c r="U216" i="48"/>
  <c r="X217" i="48"/>
  <c r="N217" i="48" s="1"/>
  <c r="AQ194" i="21"/>
  <c r="AJ195" i="21" s="1"/>
  <c r="AP194" i="21"/>
  <c r="AO196" i="12"/>
  <c r="AQ196" i="12" s="1"/>
  <c r="AN196" i="12"/>
  <c r="Q266" i="48" l="1"/>
  <c r="AL266" i="48"/>
  <c r="AF267" i="48" s="1"/>
  <c r="AI266" i="48"/>
  <c r="AP216" i="48"/>
  <c r="S216" i="48" s="1"/>
  <c r="Y217" i="48"/>
  <c r="O217" i="48" s="1"/>
  <c r="AO217" i="48"/>
  <c r="R217" i="48" s="1"/>
  <c r="AN217" i="48"/>
  <c r="AM195" i="21"/>
  <c r="AP196" i="12"/>
  <c r="AJ197" i="12"/>
  <c r="AJ266" i="48" l="1"/>
  <c r="AK266" i="48" s="1"/>
  <c r="V266" i="48"/>
  <c r="AG267" i="48"/>
  <c r="P267" i="48" s="1"/>
  <c r="AB217" i="48"/>
  <c r="AE217" i="48"/>
  <c r="W218" i="48" s="1"/>
  <c r="AO195" i="21"/>
  <c r="AN195" i="21"/>
  <c r="AM197" i="12"/>
  <c r="AH267" i="48" l="1"/>
  <c r="AC217" i="48"/>
  <c r="AD217" i="48" s="1"/>
  <c r="U217" i="48"/>
  <c r="X218" i="48"/>
  <c r="N218" i="48" s="1"/>
  <c r="AP195" i="21"/>
  <c r="AQ195" i="21"/>
  <c r="AJ196" i="21" s="1"/>
  <c r="AO197" i="12"/>
  <c r="AQ197" i="12" s="1"/>
  <c r="AN197" i="12"/>
  <c r="Q267" i="48" l="1"/>
  <c r="AL267" i="48"/>
  <c r="AF268" i="48" s="1"/>
  <c r="AI267" i="48"/>
  <c r="AP217" i="48"/>
  <c r="Y218" i="48"/>
  <c r="O218" i="48" s="1"/>
  <c r="AO218" i="48"/>
  <c r="R218" i="48" s="1"/>
  <c r="AN218" i="48"/>
  <c r="AM196" i="21"/>
  <c r="AJ198" i="12"/>
  <c r="AP197" i="12"/>
  <c r="V267" i="48" l="1"/>
  <c r="AJ267" i="48"/>
  <c r="AK267" i="48" s="1"/>
  <c r="AG268" i="48"/>
  <c r="P268" i="48" s="1"/>
  <c r="S217" i="48"/>
  <c r="AB218" i="48"/>
  <c r="AE218" i="48"/>
  <c r="W219" i="48" s="1"/>
  <c r="AO196" i="21"/>
  <c r="AN196" i="21"/>
  <c r="AM198" i="12"/>
  <c r="AH268" i="48" l="1"/>
  <c r="AC218" i="48"/>
  <c r="AD218" i="48" s="1"/>
  <c r="U218" i="48"/>
  <c r="X219" i="48"/>
  <c r="N219" i="48" s="1"/>
  <c r="AQ196" i="21"/>
  <c r="AJ197" i="21" s="1"/>
  <c r="AP196" i="21"/>
  <c r="AO198" i="12"/>
  <c r="AQ198" i="12" s="1"/>
  <c r="AN198" i="12"/>
  <c r="Q268" i="48" l="1"/>
  <c r="AL268" i="48"/>
  <c r="AF269" i="48" s="1"/>
  <c r="AI268" i="48"/>
  <c r="AP218" i="48"/>
  <c r="Y219" i="48"/>
  <c r="O219" i="48" s="1"/>
  <c r="AO219" i="48"/>
  <c r="R219" i="48" s="1"/>
  <c r="AN219" i="48"/>
  <c r="AM197" i="21"/>
  <c r="AP198" i="12"/>
  <c r="AJ199" i="12"/>
  <c r="V268" i="48" l="1"/>
  <c r="AJ268" i="48"/>
  <c r="AK268" i="48" s="1"/>
  <c r="AG269" i="48"/>
  <c r="P269" i="48" s="1"/>
  <c r="S218" i="48"/>
  <c r="AB219" i="48"/>
  <c r="AE219" i="48"/>
  <c r="W220" i="48" s="1"/>
  <c r="AO197" i="21"/>
  <c r="AN197" i="21"/>
  <c r="AM199" i="12"/>
  <c r="AH269" i="48" l="1"/>
  <c r="AC219" i="48"/>
  <c r="AD219" i="48" s="1"/>
  <c r="U219" i="48"/>
  <c r="X220" i="48"/>
  <c r="N220" i="48" s="1"/>
  <c r="AP197" i="21"/>
  <c r="AQ197" i="21"/>
  <c r="AJ198" i="21" s="1"/>
  <c r="AO199" i="12"/>
  <c r="AQ199" i="12" s="1"/>
  <c r="AN199" i="12"/>
  <c r="Q269" i="48" l="1"/>
  <c r="AI269" i="48"/>
  <c r="AL269" i="48"/>
  <c r="AF270" i="48" s="1"/>
  <c r="AP219" i="48"/>
  <c r="Y220" i="48"/>
  <c r="O220" i="48" s="1"/>
  <c r="AO220" i="48"/>
  <c r="R220" i="48" s="1"/>
  <c r="AN220" i="48"/>
  <c r="AM198" i="21"/>
  <c r="AP199" i="12"/>
  <c r="AJ200" i="12"/>
  <c r="AG270" i="48" l="1"/>
  <c r="P270" i="48" s="1"/>
  <c r="AH270" i="48"/>
  <c r="Q270" i="48" s="1"/>
  <c r="V269" i="48"/>
  <c r="AJ269" i="48"/>
  <c r="AK269" i="48" s="1"/>
  <c r="AI270" i="48"/>
  <c r="S219" i="48"/>
  <c r="AB220" i="48"/>
  <c r="AE220" i="48"/>
  <c r="W221" i="48" s="1"/>
  <c r="AO198" i="21"/>
  <c r="AN198" i="21"/>
  <c r="AM200" i="12"/>
  <c r="V270" i="48" l="1"/>
  <c r="AJ270" i="48"/>
  <c r="AK270" i="48" s="1"/>
  <c r="AL270" i="48"/>
  <c r="AF271" i="48" s="1"/>
  <c r="AC220" i="48"/>
  <c r="AD220" i="48" s="1"/>
  <c r="U220" i="48"/>
  <c r="X221" i="48"/>
  <c r="N221" i="48" s="1"/>
  <c r="AP198" i="21"/>
  <c r="AQ198" i="21"/>
  <c r="AJ199" i="21" s="1"/>
  <c r="AO200" i="12"/>
  <c r="AQ200" i="12" s="1"/>
  <c r="AN200" i="12"/>
  <c r="AG271" i="48" l="1"/>
  <c r="P271" i="48" s="1"/>
  <c r="AH271" i="48"/>
  <c r="AL271" i="48" s="1"/>
  <c r="AF272" i="48" s="1"/>
  <c r="AP220" i="48"/>
  <c r="S220" i="48" s="1"/>
  <c r="Y221" i="48"/>
  <c r="O221" i="48" s="1"/>
  <c r="AO221" i="48"/>
  <c r="R221" i="48" s="1"/>
  <c r="AN221" i="48"/>
  <c r="AM199" i="21"/>
  <c r="AP200" i="12"/>
  <c r="AJ201" i="12"/>
  <c r="AG272" i="48" l="1"/>
  <c r="P272" i="48" s="1"/>
  <c r="Q271" i="48"/>
  <c r="AI271" i="48"/>
  <c r="AB221" i="48"/>
  <c r="AE221" i="48"/>
  <c r="W222" i="48" s="1"/>
  <c r="AO199" i="21"/>
  <c r="AN199" i="21"/>
  <c r="AM201" i="12"/>
  <c r="AH272" i="48" l="1"/>
  <c r="V271" i="48"/>
  <c r="AJ271" i="48"/>
  <c r="AK271" i="48" s="1"/>
  <c r="AC221" i="48"/>
  <c r="AD221" i="48" s="1"/>
  <c r="U221" i="48"/>
  <c r="X222" i="48"/>
  <c r="N222" i="48" s="1"/>
  <c r="AQ199" i="21"/>
  <c r="AJ200" i="21" s="1"/>
  <c r="AP199" i="21"/>
  <c r="AO201" i="12"/>
  <c r="AQ201" i="12" s="1"/>
  <c r="AN201" i="12"/>
  <c r="AI272" i="48" l="1"/>
  <c r="Q272" i="48"/>
  <c r="AL272" i="48"/>
  <c r="AF273" i="48" s="1"/>
  <c r="AP221" i="48"/>
  <c r="S221" i="48" s="1"/>
  <c r="Y222" i="48"/>
  <c r="O222" i="48" s="1"/>
  <c r="AN222" i="48"/>
  <c r="AO222" i="48"/>
  <c r="R222" i="48" s="1"/>
  <c r="AM200" i="21"/>
  <c r="AP201" i="12"/>
  <c r="AJ202" i="12"/>
  <c r="AG273" i="48" l="1"/>
  <c r="P273" i="48" s="1"/>
  <c r="AH273" i="48"/>
  <c r="Q273" i="48" s="1"/>
  <c r="AL273" i="48"/>
  <c r="AF274" i="48" s="1"/>
  <c r="AJ272" i="48"/>
  <c r="AK272" i="48" s="1"/>
  <c r="V272" i="48"/>
  <c r="AI273" i="48"/>
  <c r="AB222" i="48"/>
  <c r="AE222" i="48"/>
  <c r="W223" i="48" s="1"/>
  <c r="AO200" i="21"/>
  <c r="AN200" i="21"/>
  <c r="AM202" i="12"/>
  <c r="AG274" i="48" l="1"/>
  <c r="P274" i="48" s="1"/>
  <c r="AH274" i="48"/>
  <c r="Q274" i="48" s="1"/>
  <c r="AL274" i="48"/>
  <c r="AF275" i="48" s="1"/>
  <c r="V273" i="48"/>
  <c r="AJ273" i="48"/>
  <c r="AK273" i="48" s="1"/>
  <c r="AC222" i="48"/>
  <c r="AD222" i="48" s="1"/>
  <c r="U222" i="48"/>
  <c r="X223" i="48"/>
  <c r="N223" i="48" s="1"/>
  <c r="AQ200" i="21"/>
  <c r="AJ201" i="21" s="1"/>
  <c r="AP200" i="21"/>
  <c r="AO202" i="12"/>
  <c r="AQ202" i="12" s="1"/>
  <c r="AN202" i="12"/>
  <c r="AI274" i="48" l="1"/>
  <c r="AJ274" i="48"/>
  <c r="AK274" i="48" s="1"/>
  <c r="V274" i="48"/>
  <c r="AG275" i="48"/>
  <c r="P275" i="48" s="1"/>
  <c r="AP222" i="48"/>
  <c r="Y223" i="48"/>
  <c r="O223" i="48" s="1"/>
  <c r="AO223" i="48"/>
  <c r="R223" i="48" s="1"/>
  <c r="AN223" i="48"/>
  <c r="AM201" i="21"/>
  <c r="AP202" i="12"/>
  <c r="AJ203" i="12"/>
  <c r="AH275" i="48" l="1"/>
  <c r="S222" i="48"/>
  <c r="AB223" i="48"/>
  <c r="AE223" i="48"/>
  <c r="W224" i="48" s="1"/>
  <c r="AO201" i="21"/>
  <c r="AN201" i="21"/>
  <c r="AM203" i="12"/>
  <c r="Q275" i="48" l="1"/>
  <c r="AI275" i="48"/>
  <c r="AL275" i="48"/>
  <c r="AF276" i="48" s="1"/>
  <c r="AC223" i="48"/>
  <c r="AD223" i="48" s="1"/>
  <c r="U223" i="48"/>
  <c r="X224" i="48"/>
  <c r="N224" i="48" s="1"/>
  <c r="AP201" i="21"/>
  <c r="AQ201" i="21"/>
  <c r="AJ202" i="21" s="1"/>
  <c r="AO203" i="12"/>
  <c r="AQ203" i="12" s="1"/>
  <c r="AN203" i="12"/>
  <c r="AG276" i="48" l="1"/>
  <c r="P276" i="48" s="1"/>
  <c r="AH276" i="48"/>
  <c r="V275" i="48"/>
  <c r="AJ275" i="48"/>
  <c r="AK275" i="48" s="1"/>
  <c r="AP223" i="48"/>
  <c r="S223" i="48" s="1"/>
  <c r="Y224" i="48"/>
  <c r="O224" i="48" s="1"/>
  <c r="AN224" i="48"/>
  <c r="AO224" i="48"/>
  <c r="R224" i="48" s="1"/>
  <c r="AM202" i="21"/>
  <c r="AP203" i="12"/>
  <c r="AJ204" i="12"/>
  <c r="AL276" i="48" l="1"/>
  <c r="AF277" i="48" s="1"/>
  <c r="Q276" i="48"/>
  <c r="AI276" i="48"/>
  <c r="AB224" i="48"/>
  <c r="AE224" i="48"/>
  <c r="W225" i="48" s="1"/>
  <c r="AO202" i="21"/>
  <c r="AN202" i="21"/>
  <c r="AM204" i="12"/>
  <c r="V276" i="48" l="1"/>
  <c r="AJ276" i="48"/>
  <c r="AK276" i="48" s="1"/>
  <c r="AG277" i="48"/>
  <c r="P277" i="48" s="1"/>
  <c r="AC224" i="48"/>
  <c r="AD224" i="48" s="1"/>
  <c r="U224" i="48"/>
  <c r="X225" i="48"/>
  <c r="N225" i="48" s="1"/>
  <c r="AP202" i="21"/>
  <c r="AQ202" i="21"/>
  <c r="AJ203" i="21" s="1"/>
  <c r="AO204" i="12"/>
  <c r="AQ204" i="12" s="1"/>
  <c r="AN204" i="12"/>
  <c r="AH277" i="48" l="1"/>
  <c r="AP224" i="48"/>
  <c r="Y225" i="48"/>
  <c r="O225" i="48" s="1"/>
  <c r="AO225" i="48"/>
  <c r="R225" i="48" s="1"/>
  <c r="AN225" i="48"/>
  <c r="AM203" i="21"/>
  <c r="AP204" i="12"/>
  <c r="AJ205" i="12"/>
  <c r="Q277" i="48" l="1"/>
  <c r="AI277" i="48"/>
  <c r="AL277" i="48"/>
  <c r="AF278" i="48" s="1"/>
  <c r="S224" i="48"/>
  <c r="AB225" i="48"/>
  <c r="AE225" i="48"/>
  <c r="W226" i="48" s="1"/>
  <c r="AO203" i="21"/>
  <c r="AN203" i="21"/>
  <c r="AM205" i="12"/>
  <c r="V277" i="48" l="1"/>
  <c r="AJ277" i="48"/>
  <c r="AK277" i="48" s="1"/>
  <c r="AG278" i="48"/>
  <c r="P278" i="48" s="1"/>
  <c r="AC225" i="48"/>
  <c r="AD225" i="48" s="1"/>
  <c r="U225" i="48"/>
  <c r="X226" i="48"/>
  <c r="N226" i="48" s="1"/>
  <c r="AP203" i="21"/>
  <c r="AQ203" i="21"/>
  <c r="AJ204" i="21" s="1"/>
  <c r="AO205" i="12"/>
  <c r="AQ205" i="12" s="1"/>
  <c r="AN205" i="12"/>
  <c r="AH278" i="48" l="1"/>
  <c r="AP225" i="48"/>
  <c r="Y226" i="48"/>
  <c r="O226" i="48" s="1"/>
  <c r="AN226" i="48"/>
  <c r="AO226" i="48"/>
  <c r="R226" i="48" s="1"/>
  <c r="AM204" i="21"/>
  <c r="AP205" i="12"/>
  <c r="AJ206" i="12"/>
  <c r="Q278" i="48" l="1"/>
  <c r="AL278" i="48"/>
  <c r="AF279" i="48" s="1"/>
  <c r="AI278" i="48"/>
  <c r="S225" i="48"/>
  <c r="AB226" i="48"/>
  <c r="AE226" i="48"/>
  <c r="W227" i="48" s="1"/>
  <c r="AO204" i="21"/>
  <c r="AN204" i="21"/>
  <c r="AM206" i="12"/>
  <c r="AG279" i="48" l="1"/>
  <c r="P279" i="48" s="1"/>
  <c r="AH279" i="48"/>
  <c r="Q279" i="48" s="1"/>
  <c r="AJ278" i="48"/>
  <c r="AK278" i="48" s="1"/>
  <c r="V278" i="48"/>
  <c r="AI279" i="48"/>
  <c r="AC226" i="48"/>
  <c r="AD226" i="48" s="1"/>
  <c r="U226" i="48"/>
  <c r="X227" i="48"/>
  <c r="N227" i="48" s="1"/>
  <c r="AQ204" i="21"/>
  <c r="AJ205" i="21" s="1"/>
  <c r="AP204" i="21"/>
  <c r="AO206" i="12"/>
  <c r="AQ206" i="12" s="1"/>
  <c r="AN206" i="12"/>
  <c r="AL279" i="48" l="1"/>
  <c r="AF280" i="48" s="1"/>
  <c r="AG280" i="48" s="1"/>
  <c r="V279" i="48"/>
  <c r="AJ279" i="48"/>
  <c r="AK279" i="48" s="1"/>
  <c r="AP226" i="48"/>
  <c r="Y227" i="48"/>
  <c r="O227" i="48" s="1"/>
  <c r="AO227" i="48"/>
  <c r="R227" i="48" s="1"/>
  <c r="AN227" i="48"/>
  <c r="AM205" i="21"/>
  <c r="AP206" i="12"/>
  <c r="AJ207" i="12"/>
  <c r="P280" i="48" l="1"/>
  <c r="AH280" i="48"/>
  <c r="S226" i="48"/>
  <c r="AB227" i="48"/>
  <c r="AE227" i="48"/>
  <c r="W228" i="48" s="1"/>
  <c r="AO205" i="21"/>
  <c r="AN205" i="21"/>
  <c r="AM207" i="12"/>
  <c r="Q280" i="48" l="1"/>
  <c r="AL280" i="48"/>
  <c r="AF281" i="48" s="1"/>
  <c r="AI280" i="48"/>
  <c r="AC227" i="48"/>
  <c r="AD227" i="48" s="1"/>
  <c r="U227" i="48"/>
  <c r="X228" i="48"/>
  <c r="N228" i="48" s="1"/>
  <c r="AP205" i="21"/>
  <c r="AQ205" i="21"/>
  <c r="AJ206" i="21" s="1"/>
  <c r="AO207" i="12"/>
  <c r="AQ207" i="12" s="1"/>
  <c r="AN207" i="12"/>
  <c r="AJ280" i="48" l="1"/>
  <c r="AK280" i="48" s="1"/>
  <c r="V280" i="48"/>
  <c r="AG281" i="48"/>
  <c r="P281" i="48" s="1"/>
  <c r="AP227" i="48"/>
  <c r="Y228" i="48"/>
  <c r="O228" i="48" s="1"/>
  <c r="AN228" i="48"/>
  <c r="AO228" i="48"/>
  <c r="R228" i="48" s="1"/>
  <c r="AM206" i="21"/>
  <c r="AP207" i="12"/>
  <c r="AJ208" i="12"/>
  <c r="AH281" i="48" l="1"/>
  <c r="S227" i="48"/>
  <c r="AB228" i="48"/>
  <c r="AE228" i="48"/>
  <c r="W229" i="48" s="1"/>
  <c r="AO206" i="21"/>
  <c r="AN206" i="21"/>
  <c r="AM208" i="12"/>
  <c r="Q281" i="48" l="1"/>
  <c r="AL281" i="48"/>
  <c r="AF282" i="48" s="1"/>
  <c r="AI281" i="48"/>
  <c r="AC228" i="48"/>
  <c r="AD228" i="48" s="1"/>
  <c r="U228" i="48"/>
  <c r="X229" i="48"/>
  <c r="N229" i="48" s="1"/>
  <c r="AQ206" i="21"/>
  <c r="AJ207" i="21" s="1"/>
  <c r="AP206" i="21"/>
  <c r="AO208" i="12"/>
  <c r="AQ208" i="12" s="1"/>
  <c r="AN208" i="12"/>
  <c r="V281" i="48" l="1"/>
  <c r="AJ281" i="48"/>
  <c r="AK281" i="48" s="1"/>
  <c r="AG282" i="48"/>
  <c r="P282" i="48" s="1"/>
  <c r="AH282" i="48"/>
  <c r="Q282" i="48" s="1"/>
  <c r="AP228" i="48"/>
  <c r="Y229" i="48"/>
  <c r="O229" i="48" s="1"/>
  <c r="AN229" i="48"/>
  <c r="AO229" i="48"/>
  <c r="R229" i="48" s="1"/>
  <c r="AM207" i="21"/>
  <c r="AP208" i="12"/>
  <c r="AJ209" i="12"/>
  <c r="AI282" i="48" l="1"/>
  <c r="AL282" i="48"/>
  <c r="AF283" i="48" s="1"/>
  <c r="S228" i="48"/>
  <c r="AB229" i="48"/>
  <c r="AE229" i="48"/>
  <c r="W230" i="48" s="1"/>
  <c r="AO207" i="21"/>
  <c r="AN207" i="21"/>
  <c r="AM209" i="12"/>
  <c r="AG283" i="48" l="1"/>
  <c r="P283" i="48" s="1"/>
  <c r="AJ282" i="48"/>
  <c r="AK282" i="48" s="1"/>
  <c r="V282" i="48"/>
  <c r="AC229" i="48"/>
  <c r="AD229" i="48" s="1"/>
  <c r="U229" i="48"/>
  <c r="X230" i="48"/>
  <c r="N230" i="48" s="1"/>
  <c r="AP207" i="21"/>
  <c r="AQ207" i="21"/>
  <c r="AJ208" i="21" s="1"/>
  <c r="AO209" i="12"/>
  <c r="AQ209" i="12" s="1"/>
  <c r="AN209" i="12"/>
  <c r="AH283" i="48" l="1"/>
  <c r="AP229" i="48"/>
  <c r="Y230" i="48"/>
  <c r="O230" i="48" s="1"/>
  <c r="AN230" i="48"/>
  <c r="AO230" i="48"/>
  <c r="R230" i="48" s="1"/>
  <c r="AM208" i="21"/>
  <c r="AP209" i="12"/>
  <c r="AJ210" i="12"/>
  <c r="Q283" i="48" l="1"/>
  <c r="AL283" i="48"/>
  <c r="AF284" i="48" s="1"/>
  <c r="AI283" i="48"/>
  <c r="S229" i="48"/>
  <c r="AB230" i="48"/>
  <c r="AE230" i="48"/>
  <c r="W231" i="48" s="1"/>
  <c r="AO208" i="21"/>
  <c r="AN208" i="21"/>
  <c r="AM210" i="12"/>
  <c r="AJ283" i="48" l="1"/>
  <c r="AK283" i="48" s="1"/>
  <c r="V283" i="48"/>
  <c r="AG284" i="48"/>
  <c r="P284" i="48" s="1"/>
  <c r="AC230" i="48"/>
  <c r="AD230" i="48" s="1"/>
  <c r="U230" i="48"/>
  <c r="X231" i="48"/>
  <c r="N231" i="48" s="1"/>
  <c r="AQ208" i="21"/>
  <c r="AJ209" i="21" s="1"/>
  <c r="AP208" i="21"/>
  <c r="AO210" i="12"/>
  <c r="AQ210" i="12" s="1"/>
  <c r="AN210" i="12"/>
  <c r="AH284" i="48" l="1"/>
  <c r="AP230" i="48"/>
  <c r="Y231" i="48"/>
  <c r="O231" i="48" s="1"/>
  <c r="AO231" i="48"/>
  <c r="R231" i="48" s="1"/>
  <c r="AN231" i="48"/>
  <c r="AM209" i="21"/>
  <c r="AP210" i="12"/>
  <c r="AJ211" i="12"/>
  <c r="Q284" i="48" l="1"/>
  <c r="AL284" i="48"/>
  <c r="AF285" i="48" s="1"/>
  <c r="AI284" i="48"/>
  <c r="S230" i="48"/>
  <c r="AB231" i="48"/>
  <c r="AE231" i="48"/>
  <c r="W232" i="48" s="1"/>
  <c r="AO209" i="21"/>
  <c r="AN209" i="21"/>
  <c r="AM211" i="12"/>
  <c r="V284" i="48" l="1"/>
  <c r="AJ284" i="48"/>
  <c r="AK284" i="48" s="1"/>
  <c r="AG285" i="48"/>
  <c r="P285" i="48" s="1"/>
  <c r="AC231" i="48"/>
  <c r="AD231" i="48" s="1"/>
  <c r="U231" i="48"/>
  <c r="X232" i="48"/>
  <c r="N232" i="48" s="1"/>
  <c r="AQ209" i="21"/>
  <c r="AJ210" i="21" s="1"/>
  <c r="AP209" i="21"/>
  <c r="AO211" i="12"/>
  <c r="AQ211" i="12" s="1"/>
  <c r="AN211" i="12"/>
  <c r="AH285" i="48" l="1"/>
  <c r="AP231" i="48"/>
  <c r="S231" i="48" s="1"/>
  <c r="Y232" i="48"/>
  <c r="O232" i="48" s="1"/>
  <c r="AN232" i="48"/>
  <c r="AO232" i="48"/>
  <c r="R232" i="48" s="1"/>
  <c r="AM210" i="21"/>
  <c r="AP211" i="12"/>
  <c r="AJ212" i="12"/>
  <c r="Q285" i="48" l="1"/>
  <c r="AL285" i="48"/>
  <c r="AF286" i="48" s="1"/>
  <c r="AI285" i="48"/>
  <c r="AB232" i="48"/>
  <c r="AE232" i="48"/>
  <c r="W233" i="48" s="1"/>
  <c r="AO210" i="21"/>
  <c r="AN210" i="21"/>
  <c r="AM212" i="12"/>
  <c r="V285" i="48" l="1"/>
  <c r="AJ285" i="48"/>
  <c r="AK285" i="48" s="1"/>
  <c r="AH286" i="48"/>
  <c r="Q286" i="48" s="1"/>
  <c r="AG286" i="48"/>
  <c r="P286" i="48" s="1"/>
  <c r="AC232" i="48"/>
  <c r="AD232" i="48" s="1"/>
  <c r="U232" i="48"/>
  <c r="X233" i="48"/>
  <c r="N233" i="48" s="1"/>
  <c r="AP210" i="21"/>
  <c r="AQ210" i="21"/>
  <c r="AJ211" i="21" s="1"/>
  <c r="AO212" i="12"/>
  <c r="AQ212" i="12" s="1"/>
  <c r="AN212" i="12"/>
  <c r="AL286" i="48" l="1"/>
  <c r="AF287" i="48" s="1"/>
  <c r="AI286" i="48"/>
  <c r="AP232" i="48"/>
  <c r="S232" i="48" s="1"/>
  <c r="Y233" i="48"/>
  <c r="O233" i="48" s="1"/>
  <c r="AO233" i="48"/>
  <c r="R233" i="48" s="1"/>
  <c r="AN233" i="48"/>
  <c r="AM211" i="21"/>
  <c r="AP212" i="12"/>
  <c r="AJ213" i="12"/>
  <c r="V286" i="48" l="1"/>
  <c r="AJ286" i="48"/>
  <c r="AK286" i="48" s="1"/>
  <c r="AG287" i="48"/>
  <c r="P287" i="48" s="1"/>
  <c r="AB233" i="48"/>
  <c r="AE233" i="48"/>
  <c r="W234" i="48" s="1"/>
  <c r="AO211" i="21"/>
  <c r="AN211" i="21"/>
  <c r="AM213" i="12"/>
  <c r="AH287" i="48" l="1"/>
  <c r="AC233" i="48"/>
  <c r="AD233" i="48" s="1"/>
  <c r="U233" i="48"/>
  <c r="X234" i="48"/>
  <c r="N234" i="48" s="1"/>
  <c r="AQ211" i="21"/>
  <c r="AJ212" i="21" s="1"/>
  <c r="AP211" i="21"/>
  <c r="AO213" i="12"/>
  <c r="AQ213" i="12" s="1"/>
  <c r="AN213" i="12"/>
  <c r="Q287" i="48" l="1"/>
  <c r="AL287" i="48"/>
  <c r="AF288" i="48" s="1"/>
  <c r="AI287" i="48"/>
  <c r="AP233" i="48"/>
  <c r="Y234" i="48"/>
  <c r="O234" i="48" s="1"/>
  <c r="AN234" i="48"/>
  <c r="AO234" i="48"/>
  <c r="R234" i="48" s="1"/>
  <c r="AM212" i="21"/>
  <c r="AP213" i="12"/>
  <c r="AJ214" i="12"/>
  <c r="AG288" i="48" l="1"/>
  <c r="P288" i="48" s="1"/>
  <c r="V287" i="48"/>
  <c r="AJ287" i="48"/>
  <c r="AK287" i="48" s="1"/>
  <c r="S233" i="48"/>
  <c r="AB234" i="48"/>
  <c r="AE234" i="48"/>
  <c r="W235" i="48" s="1"/>
  <c r="AO212" i="21"/>
  <c r="AN212" i="21"/>
  <c r="AM214" i="12"/>
  <c r="AH288" i="48" l="1"/>
  <c r="AC234" i="48"/>
  <c r="AD234" i="48" s="1"/>
  <c r="U234" i="48"/>
  <c r="X235" i="48"/>
  <c r="N235" i="48" s="1"/>
  <c r="AQ212" i="21"/>
  <c r="AJ213" i="21" s="1"/>
  <c r="AP212" i="21"/>
  <c r="AO214" i="12"/>
  <c r="AQ214" i="12" s="1"/>
  <c r="AN214" i="12"/>
  <c r="Q288" i="48" l="1"/>
  <c r="AI288" i="48"/>
  <c r="AL288" i="48"/>
  <c r="AF289" i="48" s="1"/>
  <c r="AP234" i="48"/>
  <c r="S234" i="48" s="1"/>
  <c r="Y235" i="48"/>
  <c r="O235" i="48" s="1"/>
  <c r="AO235" i="48"/>
  <c r="R235" i="48" s="1"/>
  <c r="AN235" i="48"/>
  <c r="AM213" i="21"/>
  <c r="AP214" i="12"/>
  <c r="AJ215" i="12"/>
  <c r="AG289" i="48" l="1"/>
  <c r="P289" i="48" s="1"/>
  <c r="AJ288" i="48"/>
  <c r="AK288" i="48" s="1"/>
  <c r="V288" i="48"/>
  <c r="AB235" i="48"/>
  <c r="AE235" i="48"/>
  <c r="W236" i="48" s="1"/>
  <c r="AO213" i="21"/>
  <c r="AN213" i="21"/>
  <c r="AM215" i="12"/>
  <c r="AH289" i="48" l="1"/>
  <c r="AC235" i="48"/>
  <c r="AD235" i="48" s="1"/>
  <c r="U235" i="48"/>
  <c r="X236" i="48"/>
  <c r="N236" i="48" s="1"/>
  <c r="AQ213" i="21"/>
  <c r="AJ214" i="21" s="1"/>
  <c r="AP213" i="21"/>
  <c r="AO215" i="12"/>
  <c r="AQ215" i="12" s="1"/>
  <c r="AN215" i="12"/>
  <c r="Q289" i="48" l="1"/>
  <c r="AI289" i="48"/>
  <c r="AL289" i="48"/>
  <c r="AF290" i="48" s="1"/>
  <c r="AP235" i="48"/>
  <c r="S235" i="48" s="1"/>
  <c r="Y236" i="48"/>
  <c r="O236" i="48" s="1"/>
  <c r="AN236" i="48"/>
  <c r="AO236" i="48"/>
  <c r="R236" i="48" s="1"/>
  <c r="AM214" i="21"/>
  <c r="AP215" i="12"/>
  <c r="AJ216" i="12"/>
  <c r="AG290" i="48" l="1"/>
  <c r="P290" i="48" s="1"/>
  <c r="AH290" i="48"/>
  <c r="Q290" i="48" s="1"/>
  <c r="V289" i="48"/>
  <c r="AJ289" i="48"/>
  <c r="AK289" i="48" s="1"/>
  <c r="AI290" i="48"/>
  <c r="AB236" i="48"/>
  <c r="AE236" i="48"/>
  <c r="W237" i="48" s="1"/>
  <c r="AO214" i="21"/>
  <c r="AN214" i="21"/>
  <c r="AM216" i="12"/>
  <c r="AL290" i="48" l="1"/>
  <c r="AF291" i="48" s="1"/>
  <c r="AJ290" i="48"/>
  <c r="AK290" i="48" s="1"/>
  <c r="V290" i="48"/>
  <c r="AC236" i="48"/>
  <c r="AD236" i="48" s="1"/>
  <c r="U236" i="48"/>
  <c r="X237" i="48"/>
  <c r="N237" i="48" s="1"/>
  <c r="AP214" i="21"/>
  <c r="AQ214" i="21"/>
  <c r="AJ215" i="21" s="1"/>
  <c r="AO216" i="12"/>
  <c r="AQ216" i="12" s="1"/>
  <c r="AN216" i="12"/>
  <c r="AG291" i="48" l="1"/>
  <c r="P291" i="48" s="1"/>
  <c r="AH291" i="48"/>
  <c r="AP236" i="48"/>
  <c r="S236" i="48" s="1"/>
  <c r="Y237" i="48"/>
  <c r="O237" i="48" s="1"/>
  <c r="AN237" i="48"/>
  <c r="AO237" i="48"/>
  <c r="R237" i="48" s="1"/>
  <c r="AM215" i="21"/>
  <c r="AP216" i="12"/>
  <c r="AJ217" i="12"/>
  <c r="Q291" i="48" l="1"/>
  <c r="AI291" i="48"/>
  <c r="AL291" i="48"/>
  <c r="AF292" i="48" s="1"/>
  <c r="AB237" i="48"/>
  <c r="AE237" i="48"/>
  <c r="W238" i="48" s="1"/>
  <c r="AO215" i="21"/>
  <c r="AN215" i="21"/>
  <c r="AM217" i="12"/>
  <c r="V291" i="48" l="1"/>
  <c r="AJ291" i="48"/>
  <c r="AK291" i="48" s="1"/>
  <c r="AG292" i="48"/>
  <c r="P292" i="48" s="1"/>
  <c r="AC237" i="48"/>
  <c r="AD237" i="48" s="1"/>
  <c r="U237" i="48"/>
  <c r="X238" i="48"/>
  <c r="N238" i="48" s="1"/>
  <c r="AQ215" i="21"/>
  <c r="AJ216" i="21" s="1"/>
  <c r="AP215" i="21"/>
  <c r="AO217" i="12"/>
  <c r="AQ217" i="12" s="1"/>
  <c r="AN217" i="12"/>
  <c r="AH292" i="48" l="1"/>
  <c r="AP237" i="48"/>
  <c r="S237" i="48" s="1"/>
  <c r="Y238" i="48"/>
  <c r="O238" i="48" s="1"/>
  <c r="AN238" i="48"/>
  <c r="AO238" i="48"/>
  <c r="R238" i="48" s="1"/>
  <c r="AM216" i="21"/>
  <c r="AP217" i="12"/>
  <c r="AJ218" i="12"/>
  <c r="Q292" i="48" l="1"/>
  <c r="AI292" i="48"/>
  <c r="AL292" i="48"/>
  <c r="AF293" i="48" s="1"/>
  <c r="AB238" i="48"/>
  <c r="AE238" i="48"/>
  <c r="W239" i="48" s="1"/>
  <c r="AO216" i="21"/>
  <c r="AN216" i="21"/>
  <c r="AM218" i="12"/>
  <c r="V292" i="48" l="1"/>
  <c r="AJ292" i="48"/>
  <c r="AK292" i="48" s="1"/>
  <c r="AG293" i="48"/>
  <c r="P293" i="48" s="1"/>
  <c r="AH293" i="48"/>
  <c r="AL293" i="48"/>
  <c r="AF294" i="48" s="1"/>
  <c r="AC238" i="48"/>
  <c r="AD238" i="48" s="1"/>
  <c r="U238" i="48"/>
  <c r="X239" i="48"/>
  <c r="N239" i="48" s="1"/>
  <c r="AQ216" i="21"/>
  <c r="AJ217" i="21" s="1"/>
  <c r="AP216" i="21"/>
  <c r="AO218" i="12"/>
  <c r="AQ218" i="12" s="1"/>
  <c r="AN218" i="12"/>
  <c r="AI293" i="48" l="1"/>
  <c r="Q293" i="48"/>
  <c r="AG294" i="48"/>
  <c r="P294" i="48" s="1"/>
  <c r="AH294" i="48"/>
  <c r="Q294" i="48" s="1"/>
  <c r="AP238" i="48"/>
  <c r="S238" i="48" s="1"/>
  <c r="Y239" i="48"/>
  <c r="O239" i="48" s="1"/>
  <c r="AN239" i="48"/>
  <c r="AO239" i="48"/>
  <c r="R239" i="48" s="1"/>
  <c r="AM217" i="21"/>
  <c r="AJ219" i="12"/>
  <c r="AP218" i="12"/>
  <c r="AL294" i="48" l="1"/>
  <c r="AF295" i="48" s="1"/>
  <c r="V293" i="48"/>
  <c r="AJ293" i="48"/>
  <c r="AK293" i="48" s="1"/>
  <c r="AI294" i="48"/>
  <c r="AB239" i="48"/>
  <c r="AE239" i="48"/>
  <c r="W240" i="48" s="1"/>
  <c r="AO217" i="21"/>
  <c r="AN217" i="21"/>
  <c r="AM219" i="12"/>
  <c r="AJ294" i="48" l="1"/>
  <c r="AK294" i="48" s="1"/>
  <c r="V294" i="48"/>
  <c r="AG295" i="48"/>
  <c r="P295" i="48" s="1"/>
  <c r="AC239" i="48"/>
  <c r="AD239" i="48" s="1"/>
  <c r="U239" i="48"/>
  <c r="X240" i="48"/>
  <c r="N240" i="48" s="1"/>
  <c r="AP217" i="21"/>
  <c r="AQ217" i="21"/>
  <c r="AJ218" i="21" s="1"/>
  <c r="AO219" i="12"/>
  <c r="AQ219" i="12" s="1"/>
  <c r="AN219" i="12"/>
  <c r="AH295" i="48" l="1"/>
  <c r="AP239" i="48"/>
  <c r="S239" i="48" s="1"/>
  <c r="Y240" i="48"/>
  <c r="O240" i="48" s="1"/>
  <c r="AO240" i="48"/>
  <c r="R240" i="48" s="1"/>
  <c r="AN240" i="48"/>
  <c r="AM218" i="21"/>
  <c r="AP219" i="12"/>
  <c r="AJ220" i="12"/>
  <c r="Q295" i="48" l="1"/>
  <c r="AL295" i="48"/>
  <c r="AF296" i="48" s="1"/>
  <c r="AI295" i="48"/>
  <c r="AB240" i="48"/>
  <c r="AE240" i="48"/>
  <c r="W241" i="48" s="1"/>
  <c r="AO218" i="21"/>
  <c r="AN218" i="21"/>
  <c r="AM220" i="12"/>
  <c r="AJ295" i="48" l="1"/>
  <c r="AK295" i="48" s="1"/>
  <c r="V295" i="48"/>
  <c r="AG296" i="48"/>
  <c r="P296" i="48" s="1"/>
  <c r="AC240" i="48"/>
  <c r="AD240" i="48" s="1"/>
  <c r="U240" i="48"/>
  <c r="X241" i="48"/>
  <c r="N241" i="48" s="1"/>
  <c r="AQ218" i="21"/>
  <c r="AJ219" i="21" s="1"/>
  <c r="AP218" i="21"/>
  <c r="AO220" i="12"/>
  <c r="AQ220" i="12" s="1"/>
  <c r="AN220" i="12"/>
  <c r="AH296" i="48" l="1"/>
  <c r="AP240" i="48"/>
  <c r="S240" i="48" s="1"/>
  <c r="Y241" i="48"/>
  <c r="O241" i="48" s="1"/>
  <c r="AN241" i="48"/>
  <c r="AO241" i="48"/>
  <c r="R241" i="48" s="1"/>
  <c r="AM219" i="21"/>
  <c r="AJ221" i="12"/>
  <c r="AP220" i="12"/>
  <c r="Q296" i="48" l="1"/>
  <c r="AI296" i="48"/>
  <c r="AL296" i="48"/>
  <c r="AF297" i="48" s="1"/>
  <c r="AB241" i="48"/>
  <c r="AE241" i="48"/>
  <c r="W242" i="48" s="1"/>
  <c r="AO219" i="21"/>
  <c r="AN219" i="21"/>
  <c r="AM221" i="12"/>
  <c r="AG297" i="48" l="1"/>
  <c r="P297" i="48" s="1"/>
  <c r="AH297" i="48"/>
  <c r="Q297" i="48" s="1"/>
  <c r="AL297" i="48"/>
  <c r="AF298" i="48" s="1"/>
  <c r="V296" i="48"/>
  <c r="AJ296" i="48"/>
  <c r="AK296" i="48" s="1"/>
  <c r="AI297" i="48"/>
  <c r="AC241" i="48"/>
  <c r="AD241" i="48" s="1"/>
  <c r="U241" i="48"/>
  <c r="X242" i="48"/>
  <c r="N242" i="48" s="1"/>
  <c r="AQ219" i="21"/>
  <c r="AJ220" i="21" s="1"/>
  <c r="AP219" i="21"/>
  <c r="AO221" i="12"/>
  <c r="AQ221" i="12" s="1"/>
  <c r="AN221" i="12"/>
  <c r="AG298" i="48" l="1"/>
  <c r="P298" i="48" s="1"/>
  <c r="AH298" i="48"/>
  <c r="Q298" i="48" s="1"/>
  <c r="AL298" i="48"/>
  <c r="AF299" i="48" s="1"/>
  <c r="V297" i="48"/>
  <c r="AJ297" i="48"/>
  <c r="AK297" i="48" s="1"/>
  <c r="AI298" i="48"/>
  <c r="AP241" i="48"/>
  <c r="Y242" i="48"/>
  <c r="O242" i="48" s="1"/>
  <c r="AO242" i="48"/>
  <c r="R242" i="48" s="1"/>
  <c r="AN242" i="48"/>
  <c r="AM220" i="21"/>
  <c r="AP221" i="12"/>
  <c r="AJ222" i="12"/>
  <c r="AJ298" i="48" l="1"/>
  <c r="AK298" i="48" s="1"/>
  <c r="V298" i="48"/>
  <c r="AG299" i="48"/>
  <c r="P299" i="48" s="1"/>
  <c r="S241" i="48"/>
  <c r="AB242" i="48"/>
  <c r="AE242" i="48"/>
  <c r="W243" i="48" s="1"/>
  <c r="AO220" i="21"/>
  <c r="AN220" i="21"/>
  <c r="AM222" i="12"/>
  <c r="AH299" i="48" l="1"/>
  <c r="AC242" i="48"/>
  <c r="AD242" i="48" s="1"/>
  <c r="U242" i="48"/>
  <c r="X243" i="48"/>
  <c r="N243" i="48" s="1"/>
  <c r="AP220" i="21"/>
  <c r="AQ220" i="21"/>
  <c r="AJ221" i="21" s="1"/>
  <c r="AO222" i="12"/>
  <c r="AQ222" i="12" s="1"/>
  <c r="AN222" i="12"/>
  <c r="Q299" i="48" l="1"/>
  <c r="AL299" i="48"/>
  <c r="AF300" i="48" s="1"/>
  <c r="AI299" i="48"/>
  <c r="AP242" i="48"/>
  <c r="S242" i="48" s="1"/>
  <c r="Y243" i="48"/>
  <c r="O243" i="48" s="1"/>
  <c r="AN243" i="48"/>
  <c r="AO243" i="48"/>
  <c r="R243" i="48" s="1"/>
  <c r="AM221" i="21"/>
  <c r="AJ223" i="12"/>
  <c r="AP222" i="12"/>
  <c r="V299" i="48" l="1"/>
  <c r="AJ299" i="48"/>
  <c r="AK299" i="48" s="1"/>
  <c r="AG300" i="48"/>
  <c r="P300" i="48" s="1"/>
  <c r="AB243" i="48"/>
  <c r="AE243" i="48"/>
  <c r="W244" i="48" s="1"/>
  <c r="AO221" i="21"/>
  <c r="AN221" i="21"/>
  <c r="AM223" i="12"/>
  <c r="AH300" i="48" l="1"/>
  <c r="AC243" i="48"/>
  <c r="AD243" i="48" s="1"/>
  <c r="U243" i="48"/>
  <c r="X244" i="48"/>
  <c r="N244" i="48" s="1"/>
  <c r="AQ221" i="21"/>
  <c r="AJ222" i="21" s="1"/>
  <c r="AP221" i="21"/>
  <c r="AO223" i="12"/>
  <c r="AQ223" i="12" s="1"/>
  <c r="AN223" i="12"/>
  <c r="Q300" i="48" l="1"/>
  <c r="AL300" i="48"/>
  <c r="AF301" i="48" s="1"/>
  <c r="AI300" i="48"/>
  <c r="AP243" i="48"/>
  <c r="S243" i="48" s="1"/>
  <c r="Y244" i="48"/>
  <c r="O244" i="48" s="1"/>
  <c r="AN244" i="48"/>
  <c r="AO244" i="48"/>
  <c r="R244" i="48" s="1"/>
  <c r="AM222" i="21"/>
  <c r="AP223" i="12"/>
  <c r="AJ224" i="12"/>
  <c r="V300" i="48" l="1"/>
  <c r="AJ300" i="48"/>
  <c r="AK300" i="48" s="1"/>
  <c r="AG301" i="48"/>
  <c r="P301" i="48" s="1"/>
  <c r="AB244" i="48"/>
  <c r="AE244" i="48"/>
  <c r="W245" i="48" s="1"/>
  <c r="AO222" i="21"/>
  <c r="AN222" i="21"/>
  <c r="AM224" i="12"/>
  <c r="AH301" i="48" l="1"/>
  <c r="AC244" i="48"/>
  <c r="AD244" i="48" s="1"/>
  <c r="U244" i="48"/>
  <c r="X245" i="48"/>
  <c r="N245" i="48" s="1"/>
  <c r="AQ222" i="21"/>
  <c r="AJ223" i="21" s="1"/>
  <c r="AP222" i="21"/>
  <c r="AO224" i="12"/>
  <c r="AQ224" i="12" s="1"/>
  <c r="AN224" i="12"/>
  <c r="Q301" i="48" l="1"/>
  <c r="AL301" i="48"/>
  <c r="AF302" i="48" s="1"/>
  <c r="AI301" i="48"/>
  <c r="AP244" i="48"/>
  <c r="Y245" i="48"/>
  <c r="O245" i="48" s="1"/>
  <c r="AN245" i="48"/>
  <c r="AO245" i="48"/>
  <c r="R245" i="48" s="1"/>
  <c r="AM223" i="21"/>
  <c r="AP224" i="12"/>
  <c r="AJ225" i="12"/>
  <c r="AJ301" i="48" l="1"/>
  <c r="AK301" i="48" s="1"/>
  <c r="V301" i="48"/>
  <c r="AG302" i="48"/>
  <c r="P302" i="48" s="1"/>
  <c r="S244" i="48"/>
  <c r="AB245" i="48"/>
  <c r="AE245" i="48"/>
  <c r="W246" i="48" s="1"/>
  <c r="AO223" i="21"/>
  <c r="AN223" i="21"/>
  <c r="AM225" i="12"/>
  <c r="AH302" i="48" l="1"/>
  <c r="AC245" i="48"/>
  <c r="AD245" i="48" s="1"/>
  <c r="U245" i="48"/>
  <c r="X246" i="48"/>
  <c r="N246" i="48" s="1"/>
  <c r="AP223" i="21"/>
  <c r="AQ223" i="21"/>
  <c r="AJ224" i="21" s="1"/>
  <c r="AO225" i="12"/>
  <c r="AQ225" i="12" s="1"/>
  <c r="AN225" i="12"/>
  <c r="Q302" i="48" l="1"/>
  <c r="AL302" i="48"/>
  <c r="AF303" i="48" s="1"/>
  <c r="AI302" i="48"/>
  <c r="AP245" i="48"/>
  <c r="Y246" i="48"/>
  <c r="O246" i="48" s="1"/>
  <c r="AO246" i="48"/>
  <c r="R246" i="48" s="1"/>
  <c r="AN246" i="48"/>
  <c r="AM224" i="21"/>
  <c r="AJ226" i="12"/>
  <c r="AP225" i="12"/>
  <c r="V302" i="48" l="1"/>
  <c r="AJ302" i="48"/>
  <c r="AK302" i="48" s="1"/>
  <c r="AL303" i="48"/>
  <c r="AF304" i="48" s="1"/>
  <c r="AG303" i="48"/>
  <c r="P303" i="48" s="1"/>
  <c r="AH303" i="48"/>
  <c r="Q303" i="48" s="1"/>
  <c r="S245" i="48"/>
  <c r="AB246" i="48"/>
  <c r="AE246" i="48"/>
  <c r="W247" i="48" s="1"/>
  <c r="AO224" i="21"/>
  <c r="AN224" i="21"/>
  <c r="AM226" i="12"/>
  <c r="AI303" i="48" l="1"/>
  <c r="AG304" i="48"/>
  <c r="P304" i="48" s="1"/>
  <c r="AH304" i="48"/>
  <c r="Q304" i="48" s="1"/>
  <c r="AL304" i="48"/>
  <c r="AF305" i="48" s="1"/>
  <c r="AC246" i="48"/>
  <c r="AD246" i="48" s="1"/>
  <c r="U246" i="48"/>
  <c r="X247" i="48"/>
  <c r="N247" i="48" s="1"/>
  <c r="AQ224" i="21"/>
  <c r="AJ225" i="21" s="1"/>
  <c r="AP224" i="21"/>
  <c r="AO226" i="12"/>
  <c r="AQ226" i="12" s="1"/>
  <c r="AN226" i="12"/>
  <c r="AG305" i="48" l="1"/>
  <c r="P305" i="48" s="1"/>
  <c r="AH305" i="48"/>
  <c r="Q305" i="48" s="1"/>
  <c r="V303" i="48"/>
  <c r="AJ303" i="48"/>
  <c r="AK303" i="48" s="1"/>
  <c r="AI304" i="48"/>
  <c r="AP246" i="48"/>
  <c r="Y247" i="48"/>
  <c r="O247" i="48" s="1"/>
  <c r="AO247" i="48"/>
  <c r="R247" i="48" s="1"/>
  <c r="AN247" i="48"/>
  <c r="AM225" i="21"/>
  <c r="AP226" i="12"/>
  <c r="AJ227" i="12"/>
  <c r="AL305" i="48" l="1"/>
  <c r="AF306" i="48" s="1"/>
  <c r="AJ304" i="48"/>
  <c r="AK304" i="48" s="1"/>
  <c r="V304" i="48"/>
  <c r="AI305" i="48"/>
  <c r="S246" i="48"/>
  <c r="AB247" i="48"/>
  <c r="AE247" i="48"/>
  <c r="W248" i="48" s="1"/>
  <c r="AO225" i="21"/>
  <c r="AN225" i="21"/>
  <c r="AM227" i="12"/>
  <c r="V305" i="48" l="1"/>
  <c r="AJ305" i="48"/>
  <c r="AK305" i="48" s="1"/>
  <c r="AG306" i="48"/>
  <c r="P306" i="48" s="1"/>
  <c r="AC247" i="48"/>
  <c r="AD247" i="48" s="1"/>
  <c r="U247" i="48"/>
  <c r="X248" i="48"/>
  <c r="N248" i="48" s="1"/>
  <c r="AP225" i="21"/>
  <c r="AQ225" i="21"/>
  <c r="AJ226" i="21" s="1"/>
  <c r="AO227" i="12"/>
  <c r="AQ227" i="12" s="1"/>
  <c r="AN227" i="12"/>
  <c r="AH306" i="48" l="1"/>
  <c r="AP247" i="48"/>
  <c r="Y248" i="48"/>
  <c r="O248" i="48" s="1"/>
  <c r="AO248" i="48"/>
  <c r="R248" i="48" s="1"/>
  <c r="AN248" i="48"/>
  <c r="AM226" i="21"/>
  <c r="AP227" i="12"/>
  <c r="AJ228" i="12"/>
  <c r="Q306" i="48" l="1"/>
  <c r="AL306" i="48"/>
  <c r="AF307" i="48" s="1"/>
  <c r="AI306" i="48"/>
  <c r="S247" i="48"/>
  <c r="AB248" i="48"/>
  <c r="AE248" i="48"/>
  <c r="W249" i="48" s="1"/>
  <c r="AO226" i="21"/>
  <c r="AN226" i="21"/>
  <c r="AM228" i="12"/>
  <c r="AJ306" i="48" l="1"/>
  <c r="AK306" i="48" s="1"/>
  <c r="V306" i="48"/>
  <c r="AG307" i="48"/>
  <c r="P307" i="48" s="1"/>
  <c r="AC248" i="48"/>
  <c r="AD248" i="48" s="1"/>
  <c r="U248" i="48"/>
  <c r="X249" i="48"/>
  <c r="N249" i="48" s="1"/>
  <c r="AQ226" i="21"/>
  <c r="AJ227" i="21" s="1"/>
  <c r="AP226" i="21"/>
  <c r="AO228" i="12"/>
  <c r="AQ228" i="12" s="1"/>
  <c r="AN228" i="12"/>
  <c r="AH307" i="48" l="1"/>
  <c r="AP248" i="48"/>
  <c r="Y249" i="48"/>
  <c r="O249" i="48" s="1"/>
  <c r="AO249" i="48"/>
  <c r="R249" i="48" s="1"/>
  <c r="AN249" i="48"/>
  <c r="AM227" i="21"/>
  <c r="AJ229" i="12"/>
  <c r="AP228" i="12"/>
  <c r="Q307" i="48" l="1"/>
  <c r="AL307" i="48"/>
  <c r="AF308" i="48" s="1"/>
  <c r="AI307" i="48"/>
  <c r="S248" i="48"/>
  <c r="AB249" i="48"/>
  <c r="AE249" i="48"/>
  <c r="W250" i="48" s="1"/>
  <c r="AO227" i="21"/>
  <c r="AN227" i="21"/>
  <c r="AM229" i="12"/>
  <c r="AJ307" i="48" l="1"/>
  <c r="AK307" i="48" s="1"/>
  <c r="V307" i="48"/>
  <c r="AG308" i="48"/>
  <c r="P308" i="48" s="1"/>
  <c r="AC249" i="48"/>
  <c r="AD249" i="48" s="1"/>
  <c r="U249" i="48"/>
  <c r="X250" i="48"/>
  <c r="N250" i="48" s="1"/>
  <c r="AP227" i="21"/>
  <c r="AQ227" i="21"/>
  <c r="AJ228" i="21" s="1"/>
  <c r="AO229" i="12"/>
  <c r="AQ229" i="12" s="1"/>
  <c r="AN229" i="12"/>
  <c r="AH308" i="48" l="1"/>
  <c r="AP249" i="48"/>
  <c r="Y250" i="48"/>
  <c r="O250" i="48" s="1"/>
  <c r="AN250" i="48"/>
  <c r="AO250" i="48"/>
  <c r="R250" i="48" s="1"/>
  <c r="AM228" i="21"/>
  <c r="AP229" i="12"/>
  <c r="AJ230" i="12"/>
  <c r="Q308" i="48" l="1"/>
  <c r="AL308" i="48"/>
  <c r="AF309" i="48" s="1"/>
  <c r="AI308" i="48"/>
  <c r="S249" i="48"/>
  <c r="AB250" i="48"/>
  <c r="AE250" i="48"/>
  <c r="W251" i="48" s="1"/>
  <c r="AO228" i="21"/>
  <c r="AN228" i="21"/>
  <c r="AM230" i="12"/>
  <c r="AJ308" i="48" l="1"/>
  <c r="AK308" i="48" s="1"/>
  <c r="V308" i="48"/>
  <c r="AL309" i="48"/>
  <c r="AF310" i="48" s="1"/>
  <c r="AG309" i="48"/>
  <c r="P309" i="48" s="1"/>
  <c r="AH309" i="48"/>
  <c r="Q309" i="48" s="1"/>
  <c r="AC250" i="48"/>
  <c r="AD250" i="48" s="1"/>
  <c r="U250" i="48"/>
  <c r="X251" i="48"/>
  <c r="N251" i="48" s="1"/>
  <c r="AQ228" i="21"/>
  <c r="AJ229" i="21" s="1"/>
  <c r="AP228" i="21"/>
  <c r="AO230" i="12"/>
  <c r="AQ230" i="12" s="1"/>
  <c r="AN230" i="12"/>
  <c r="AG310" i="48" l="1"/>
  <c r="P310" i="48" s="1"/>
  <c r="AI309" i="48"/>
  <c r="AP250" i="48"/>
  <c r="S250" i="48" s="1"/>
  <c r="Y251" i="48"/>
  <c r="O251" i="48" s="1"/>
  <c r="AO251" i="48"/>
  <c r="R251" i="48" s="1"/>
  <c r="AN251" i="48"/>
  <c r="AM229" i="21"/>
  <c r="AJ231" i="12"/>
  <c r="AP230" i="12"/>
  <c r="V309" i="48" l="1"/>
  <c r="AJ309" i="48"/>
  <c r="AK309" i="48" s="1"/>
  <c r="AH310" i="48"/>
  <c r="AB251" i="48"/>
  <c r="AE251" i="48"/>
  <c r="W252" i="48" s="1"/>
  <c r="AO229" i="21"/>
  <c r="AN229" i="21"/>
  <c r="AM231" i="12"/>
  <c r="Q310" i="48" l="1"/>
  <c r="AL310" i="48"/>
  <c r="AF311" i="48" s="1"/>
  <c r="AI310" i="48"/>
  <c r="AC251" i="48"/>
  <c r="AD251" i="48" s="1"/>
  <c r="U251" i="48"/>
  <c r="X252" i="48"/>
  <c r="N252" i="48" s="1"/>
  <c r="AQ229" i="21"/>
  <c r="AJ230" i="21" s="1"/>
  <c r="AP229" i="21"/>
  <c r="AO231" i="12"/>
  <c r="AQ231" i="12" s="1"/>
  <c r="AN231" i="12"/>
  <c r="V310" i="48" l="1"/>
  <c r="AJ310" i="48"/>
  <c r="AK310" i="48" s="1"/>
  <c r="AG311" i="48"/>
  <c r="P311" i="48" s="1"/>
  <c r="AP251" i="48"/>
  <c r="S251" i="48" s="1"/>
  <c r="Y252" i="48"/>
  <c r="O252" i="48" s="1"/>
  <c r="AO252" i="48"/>
  <c r="R252" i="48" s="1"/>
  <c r="AN252" i="48"/>
  <c r="AM230" i="21"/>
  <c r="AP231" i="12"/>
  <c r="AJ232" i="12"/>
  <c r="AH311" i="48" l="1"/>
  <c r="AB252" i="48"/>
  <c r="AE252" i="48"/>
  <c r="W253" i="48" s="1"/>
  <c r="AO230" i="21"/>
  <c r="AN230" i="21"/>
  <c r="AM232" i="12"/>
  <c r="Q311" i="48" l="1"/>
  <c r="AL311" i="48"/>
  <c r="AF312" i="48" s="1"/>
  <c r="AI311" i="48"/>
  <c r="AC252" i="48"/>
  <c r="AD252" i="48" s="1"/>
  <c r="U252" i="48"/>
  <c r="X253" i="48"/>
  <c r="N253" i="48" s="1"/>
  <c r="AQ230" i="21"/>
  <c r="AJ231" i="21" s="1"/>
  <c r="AP230" i="21"/>
  <c r="AO232" i="12"/>
  <c r="AQ232" i="12" s="1"/>
  <c r="AN232" i="12"/>
  <c r="V311" i="48" l="1"/>
  <c r="AJ311" i="48"/>
  <c r="AK311" i="48" s="1"/>
  <c r="AG312" i="48"/>
  <c r="P312" i="48" s="1"/>
  <c r="AP252" i="48"/>
  <c r="S252" i="48" s="1"/>
  <c r="Y253" i="48"/>
  <c r="O253" i="48" s="1"/>
  <c r="AO253" i="48"/>
  <c r="R253" i="48" s="1"/>
  <c r="AN253" i="48"/>
  <c r="AM231" i="21"/>
  <c r="AP232" i="12"/>
  <c r="AJ233" i="12"/>
  <c r="AH312" i="48" l="1"/>
  <c r="AB253" i="48"/>
  <c r="AE253" i="48"/>
  <c r="W254" i="48" s="1"/>
  <c r="AO231" i="21"/>
  <c r="AN231" i="21"/>
  <c r="AM233" i="12"/>
  <c r="Q312" i="48" l="1"/>
  <c r="AL312" i="48"/>
  <c r="AF313" i="48" s="1"/>
  <c r="AI312" i="48"/>
  <c r="AC253" i="48"/>
  <c r="AD253" i="48" s="1"/>
  <c r="U253" i="48"/>
  <c r="X254" i="48"/>
  <c r="N254" i="48" s="1"/>
  <c r="AP231" i="21"/>
  <c r="AQ231" i="21"/>
  <c r="AJ232" i="21" s="1"/>
  <c r="AO233" i="12"/>
  <c r="AQ233" i="12" s="1"/>
  <c r="AN233" i="12"/>
  <c r="AJ312" i="48" l="1"/>
  <c r="AK312" i="48" s="1"/>
  <c r="V312" i="48"/>
  <c r="AH313" i="48"/>
  <c r="Q313" i="48" s="1"/>
  <c r="AG313" i="48"/>
  <c r="P313" i="48" s="1"/>
  <c r="AP253" i="48"/>
  <c r="S253" i="48" s="1"/>
  <c r="Y254" i="48"/>
  <c r="O254" i="48" s="1"/>
  <c r="AN254" i="48"/>
  <c r="AO254" i="48"/>
  <c r="R254" i="48" s="1"/>
  <c r="AM232" i="21"/>
  <c r="AJ234" i="12"/>
  <c r="AP233" i="12"/>
  <c r="AL313" i="48" l="1"/>
  <c r="AF314" i="48" s="1"/>
  <c r="AI313" i="48"/>
  <c r="AB254" i="48"/>
  <c r="AE254" i="48"/>
  <c r="W255" i="48" s="1"/>
  <c r="AO232" i="21"/>
  <c r="AN232" i="21"/>
  <c r="AM234" i="12"/>
  <c r="AJ313" i="48" l="1"/>
  <c r="AK313" i="48" s="1"/>
  <c r="V313" i="48"/>
  <c r="AG314" i="48"/>
  <c r="P314" i="48" s="1"/>
  <c r="AC254" i="48"/>
  <c r="AD254" i="48" s="1"/>
  <c r="U254" i="48"/>
  <c r="X255" i="48"/>
  <c r="N255" i="48" s="1"/>
  <c r="AP232" i="21"/>
  <c r="AQ232" i="21"/>
  <c r="AJ233" i="21" s="1"/>
  <c r="AO234" i="12"/>
  <c r="AQ234" i="12" s="1"/>
  <c r="AN234" i="12"/>
  <c r="AH314" i="48" l="1"/>
  <c r="AP254" i="48"/>
  <c r="Y255" i="48"/>
  <c r="O255" i="48" s="1"/>
  <c r="AO255" i="48"/>
  <c r="R255" i="48" s="1"/>
  <c r="AN255" i="48"/>
  <c r="AM233" i="21"/>
  <c r="AP234" i="12"/>
  <c r="AJ235" i="12"/>
  <c r="Q314" i="48" l="1"/>
  <c r="AL314" i="48"/>
  <c r="AF315" i="48" s="1"/>
  <c r="AI314" i="48"/>
  <c r="S254" i="48"/>
  <c r="AB255" i="48"/>
  <c r="AE255" i="48"/>
  <c r="W256" i="48" s="1"/>
  <c r="AO233" i="21"/>
  <c r="AN233" i="21"/>
  <c r="AM235" i="12"/>
  <c r="AJ314" i="48" l="1"/>
  <c r="AK314" i="48" s="1"/>
  <c r="V314" i="48"/>
  <c r="AG315" i="48"/>
  <c r="P315" i="48" s="1"/>
  <c r="AC255" i="48"/>
  <c r="AD255" i="48" s="1"/>
  <c r="U255" i="48"/>
  <c r="X256" i="48"/>
  <c r="N256" i="48" s="1"/>
  <c r="AP233" i="21"/>
  <c r="AQ233" i="21"/>
  <c r="AJ234" i="21" s="1"/>
  <c r="AN235" i="12"/>
  <c r="AO235" i="12"/>
  <c r="AQ235" i="12" s="1"/>
  <c r="AH315" i="48" l="1"/>
  <c r="AP255" i="48"/>
  <c r="Y256" i="48"/>
  <c r="O256" i="48" s="1"/>
  <c r="AN256" i="48"/>
  <c r="AO256" i="48"/>
  <c r="R256" i="48" s="1"/>
  <c r="AM234" i="21"/>
  <c r="AJ236" i="12"/>
  <c r="AP235" i="12"/>
  <c r="Q315" i="48" l="1"/>
  <c r="AL315" i="48"/>
  <c r="AF316" i="48" s="1"/>
  <c r="AI315" i="48"/>
  <c r="S255" i="48"/>
  <c r="AB256" i="48"/>
  <c r="AE256" i="48"/>
  <c r="W257" i="48" s="1"/>
  <c r="AO234" i="21"/>
  <c r="AN234" i="21"/>
  <c r="AM236" i="12"/>
  <c r="V315" i="48" l="1"/>
  <c r="AJ315" i="48"/>
  <c r="AK315" i="48" s="1"/>
  <c r="AG316" i="48"/>
  <c r="P316" i="48" s="1"/>
  <c r="AC256" i="48"/>
  <c r="AD256" i="48" s="1"/>
  <c r="U256" i="48"/>
  <c r="X257" i="48"/>
  <c r="N257" i="48" s="1"/>
  <c r="AP234" i="21"/>
  <c r="AQ234" i="21"/>
  <c r="AJ235" i="21" s="1"/>
  <c r="AN236" i="12"/>
  <c r="AO236" i="12"/>
  <c r="AQ236" i="12" s="1"/>
  <c r="AH316" i="48" l="1"/>
  <c r="AP256" i="48"/>
  <c r="Y257" i="48"/>
  <c r="O257" i="48" s="1"/>
  <c r="AO257" i="48"/>
  <c r="R257" i="48" s="1"/>
  <c r="AN257" i="48"/>
  <c r="AM235" i="21"/>
  <c r="AP236" i="12"/>
  <c r="AJ237" i="12"/>
  <c r="Q316" i="48" l="1"/>
  <c r="AL316" i="48"/>
  <c r="AF317" i="48" s="1"/>
  <c r="AI316" i="48"/>
  <c r="S256" i="48"/>
  <c r="AB257" i="48"/>
  <c r="AE257" i="48"/>
  <c r="W258" i="48" s="1"/>
  <c r="AO235" i="21"/>
  <c r="AN235" i="21"/>
  <c r="AM237" i="12"/>
  <c r="V316" i="48" l="1"/>
  <c r="AJ316" i="48"/>
  <c r="AK316" i="48" s="1"/>
  <c r="AH317" i="48"/>
  <c r="Q317" i="48" s="1"/>
  <c r="AG317" i="48"/>
  <c r="P317" i="48" s="1"/>
  <c r="AC257" i="48"/>
  <c r="AD257" i="48" s="1"/>
  <c r="U257" i="48"/>
  <c r="X258" i="48"/>
  <c r="N258" i="48" s="1"/>
  <c r="AP235" i="21"/>
  <c r="AQ235" i="21"/>
  <c r="AJ236" i="21" s="1"/>
  <c r="AO237" i="12"/>
  <c r="AQ237" i="12" s="1"/>
  <c r="AN237" i="12"/>
  <c r="AI317" i="48" l="1"/>
  <c r="AL317" i="48"/>
  <c r="AF318" i="48" s="1"/>
  <c r="AP257" i="48"/>
  <c r="S257" i="48" s="1"/>
  <c r="Y258" i="48"/>
  <c r="O258" i="48" s="1"/>
  <c r="AN258" i="48"/>
  <c r="AO258" i="48"/>
  <c r="R258" i="48" s="1"/>
  <c r="AM236" i="21"/>
  <c r="AJ238" i="12"/>
  <c r="AP237" i="12"/>
  <c r="AG318" i="48" l="1"/>
  <c r="P318" i="48" s="1"/>
  <c r="AH318" i="48"/>
  <c r="Q318" i="48" s="1"/>
  <c r="AJ317" i="48"/>
  <c r="AK317" i="48" s="1"/>
  <c r="V317" i="48"/>
  <c r="AB258" i="48"/>
  <c r="AE258" i="48"/>
  <c r="W259" i="48" s="1"/>
  <c r="AO236" i="21"/>
  <c r="AN236" i="21"/>
  <c r="AM238" i="12"/>
  <c r="AL318" i="48" l="1"/>
  <c r="AF319" i="48" s="1"/>
  <c r="AI318" i="48"/>
  <c r="AC258" i="48"/>
  <c r="AD258" i="48" s="1"/>
  <c r="U258" i="48"/>
  <c r="X259" i="48"/>
  <c r="N259" i="48" s="1"/>
  <c r="AP236" i="21"/>
  <c r="AQ236" i="21"/>
  <c r="AJ237" i="21" s="1"/>
  <c r="AO238" i="12"/>
  <c r="AQ238" i="12" s="1"/>
  <c r="AN238" i="12"/>
  <c r="AJ318" i="48" l="1"/>
  <c r="AK318" i="48" s="1"/>
  <c r="V318" i="48"/>
  <c r="AG319" i="48"/>
  <c r="P319" i="48" s="1"/>
  <c r="AP258" i="48"/>
  <c r="S258" i="48" s="1"/>
  <c r="Y259" i="48"/>
  <c r="O259" i="48" s="1"/>
  <c r="AO259" i="48"/>
  <c r="R259" i="48" s="1"/>
  <c r="AN259" i="48"/>
  <c r="AM237" i="21"/>
  <c r="AP238" i="12"/>
  <c r="AJ239" i="12"/>
  <c r="AH319" i="48" l="1"/>
  <c r="AB259" i="48"/>
  <c r="AE259" i="48"/>
  <c r="W260" i="48" s="1"/>
  <c r="AO237" i="21"/>
  <c r="AN237" i="21"/>
  <c r="AM239" i="12"/>
  <c r="Q319" i="48" l="1"/>
  <c r="AL319" i="48"/>
  <c r="AF320" i="48" s="1"/>
  <c r="AI319" i="48"/>
  <c r="AC259" i="48"/>
  <c r="AD259" i="48" s="1"/>
  <c r="U259" i="48"/>
  <c r="X260" i="48"/>
  <c r="N260" i="48" s="1"/>
  <c r="AQ237" i="21"/>
  <c r="AJ238" i="21" s="1"/>
  <c r="AP237" i="21"/>
  <c r="AO239" i="12"/>
  <c r="AQ239" i="12" s="1"/>
  <c r="AN239" i="12"/>
  <c r="AJ319" i="48" l="1"/>
  <c r="AK319" i="48" s="1"/>
  <c r="V319" i="48"/>
  <c r="AL320" i="48"/>
  <c r="AF321" i="48" s="1"/>
  <c r="AG320" i="48"/>
  <c r="P320" i="48" s="1"/>
  <c r="AH320" i="48"/>
  <c r="Q320" i="48" s="1"/>
  <c r="AP259" i="48"/>
  <c r="Y260" i="48"/>
  <c r="O260" i="48" s="1"/>
  <c r="AN260" i="48"/>
  <c r="AO260" i="48"/>
  <c r="R260" i="48" s="1"/>
  <c r="AM238" i="21"/>
  <c r="AJ240" i="12"/>
  <c r="AP239" i="12"/>
  <c r="AG321" i="48" l="1"/>
  <c r="P321" i="48" s="1"/>
  <c r="AH321" i="48"/>
  <c r="Q321" i="48" s="1"/>
  <c r="AL321" i="48"/>
  <c r="AF322" i="48" s="1"/>
  <c r="AI320" i="48"/>
  <c r="S259" i="48"/>
  <c r="AB260" i="48"/>
  <c r="AE260" i="48"/>
  <c r="W261" i="48" s="1"/>
  <c r="AO238" i="21"/>
  <c r="AN238" i="21"/>
  <c r="AM240" i="12"/>
  <c r="AG322" i="48" l="1"/>
  <c r="P322" i="48" s="1"/>
  <c r="AJ320" i="48"/>
  <c r="AK320" i="48" s="1"/>
  <c r="V320" i="48"/>
  <c r="AI321" i="48"/>
  <c r="AC260" i="48"/>
  <c r="AD260" i="48" s="1"/>
  <c r="U260" i="48"/>
  <c r="X261" i="48"/>
  <c r="N261" i="48" s="1"/>
  <c r="AP238" i="21"/>
  <c r="AQ238" i="21"/>
  <c r="AJ239" i="21" s="1"/>
  <c r="AO240" i="12"/>
  <c r="AQ240" i="12" s="1"/>
  <c r="AN240" i="12"/>
  <c r="AJ321" i="48" l="1"/>
  <c r="AK321" i="48" s="1"/>
  <c r="V321" i="48"/>
  <c r="AH322" i="48"/>
  <c r="AP260" i="48"/>
  <c r="Y261" i="48"/>
  <c r="O261" i="48" s="1"/>
  <c r="AO261" i="48"/>
  <c r="R261" i="48" s="1"/>
  <c r="AN261" i="48"/>
  <c r="AM239" i="21"/>
  <c r="AP240" i="12"/>
  <c r="AJ241" i="12"/>
  <c r="Q322" i="48" l="1"/>
  <c r="AL322" i="48"/>
  <c r="AF323" i="48" s="1"/>
  <c r="AI322" i="48"/>
  <c r="S260" i="48"/>
  <c r="AB261" i="48"/>
  <c r="AE261" i="48"/>
  <c r="W262" i="48" s="1"/>
  <c r="AO239" i="21"/>
  <c r="AN239" i="21"/>
  <c r="AM241" i="12"/>
  <c r="AJ322" i="48" l="1"/>
  <c r="AK322" i="48" s="1"/>
  <c r="V322" i="48"/>
  <c r="AG323" i="48"/>
  <c r="P323" i="48" s="1"/>
  <c r="AC261" i="48"/>
  <c r="AD261" i="48" s="1"/>
  <c r="U261" i="48"/>
  <c r="X262" i="48"/>
  <c r="N262" i="48" s="1"/>
  <c r="AQ239" i="21"/>
  <c r="AJ240" i="21" s="1"/>
  <c r="AP239" i="21"/>
  <c r="AO241" i="12"/>
  <c r="AQ241" i="12" s="1"/>
  <c r="AN241" i="12"/>
  <c r="AH323" i="48" l="1"/>
  <c r="AP261" i="48"/>
  <c r="S261" i="48" s="1"/>
  <c r="Y262" i="48"/>
  <c r="O262" i="48" s="1"/>
  <c r="AN262" i="48"/>
  <c r="AO262" i="48"/>
  <c r="R262" i="48" s="1"/>
  <c r="AM240" i="21"/>
  <c r="AJ242" i="12"/>
  <c r="AP241" i="12"/>
  <c r="Q323" i="48" l="1"/>
  <c r="AI323" i="48"/>
  <c r="AL323" i="48"/>
  <c r="AF324" i="48" s="1"/>
  <c r="AB262" i="48"/>
  <c r="AE262" i="48"/>
  <c r="W263" i="48" s="1"/>
  <c r="AO240" i="21"/>
  <c r="AN240" i="21"/>
  <c r="AM242" i="12"/>
  <c r="AG324" i="48" l="1"/>
  <c r="P324" i="48" s="1"/>
  <c r="AH324" i="48"/>
  <c r="Q324" i="48" s="1"/>
  <c r="AL324" i="48"/>
  <c r="AF325" i="48" s="1"/>
  <c r="AJ323" i="48"/>
  <c r="AK323" i="48" s="1"/>
  <c r="V323" i="48"/>
  <c r="AI324" i="48"/>
  <c r="AC262" i="48"/>
  <c r="AD262" i="48" s="1"/>
  <c r="U262" i="48"/>
  <c r="X263" i="48"/>
  <c r="N263" i="48" s="1"/>
  <c r="AP240" i="21"/>
  <c r="AQ240" i="21"/>
  <c r="AJ241" i="21" s="1"/>
  <c r="AO242" i="12"/>
  <c r="AQ242" i="12" s="1"/>
  <c r="AN242" i="12"/>
  <c r="AG325" i="48" l="1"/>
  <c r="P325" i="48" s="1"/>
  <c r="V324" i="48"/>
  <c r="AJ324" i="48"/>
  <c r="AK324" i="48" s="1"/>
  <c r="AP262" i="48"/>
  <c r="Y263" i="48"/>
  <c r="O263" i="48" s="1"/>
  <c r="AO263" i="48"/>
  <c r="R263" i="48" s="1"/>
  <c r="AN263" i="48"/>
  <c r="AM241" i="21"/>
  <c r="AP242" i="12"/>
  <c r="AJ243" i="12"/>
  <c r="AH325" i="48" l="1"/>
  <c r="S262" i="48"/>
  <c r="AB263" i="48"/>
  <c r="AE263" i="48"/>
  <c r="W264" i="48" s="1"/>
  <c r="AO241" i="21"/>
  <c r="AN241" i="21"/>
  <c r="AM243" i="12"/>
  <c r="Q325" i="48" l="1"/>
  <c r="AI325" i="48"/>
  <c r="AL325" i="48"/>
  <c r="AF326" i="48" s="1"/>
  <c r="AC263" i="48"/>
  <c r="AD263" i="48" s="1"/>
  <c r="U263" i="48"/>
  <c r="X264" i="48"/>
  <c r="N264" i="48" s="1"/>
  <c r="AQ241" i="21"/>
  <c r="AJ242" i="21" s="1"/>
  <c r="AP241" i="21"/>
  <c r="AO243" i="12"/>
  <c r="AQ243" i="12" s="1"/>
  <c r="AN243" i="12"/>
  <c r="AG326" i="48" l="1"/>
  <c r="P326" i="48" s="1"/>
  <c r="V325" i="48"/>
  <c r="AJ325" i="48"/>
  <c r="AK325" i="48" s="1"/>
  <c r="AP263" i="48"/>
  <c r="Y264" i="48"/>
  <c r="O264" i="48" s="1"/>
  <c r="AN264" i="48"/>
  <c r="AO264" i="48"/>
  <c r="R264" i="48" s="1"/>
  <c r="AM242" i="21"/>
  <c r="AP243" i="12"/>
  <c r="AJ244" i="12"/>
  <c r="AH326" i="48" l="1"/>
  <c r="S263" i="48"/>
  <c r="AB264" i="48"/>
  <c r="AE264" i="48"/>
  <c r="W265" i="48" s="1"/>
  <c r="AO242" i="21"/>
  <c r="AN242" i="21"/>
  <c r="AM244" i="12"/>
  <c r="Q326" i="48" l="1"/>
  <c r="AI326" i="48"/>
  <c r="AL326" i="48"/>
  <c r="AF327" i="48" s="1"/>
  <c r="AC264" i="48"/>
  <c r="AD264" i="48" s="1"/>
  <c r="U264" i="48"/>
  <c r="X265" i="48"/>
  <c r="N265" i="48" s="1"/>
  <c r="AP242" i="21"/>
  <c r="AQ242" i="21"/>
  <c r="AJ243" i="21" s="1"/>
  <c r="AO244" i="12"/>
  <c r="AQ244" i="12" s="1"/>
  <c r="AN244" i="12"/>
  <c r="AG327" i="48" l="1"/>
  <c r="P327" i="48" s="1"/>
  <c r="AH327" i="48"/>
  <c r="Q327" i="48" s="1"/>
  <c r="AL327" i="48"/>
  <c r="AF328" i="48" s="1"/>
  <c r="V326" i="48"/>
  <c r="AJ326" i="48"/>
  <c r="AK326" i="48" s="1"/>
  <c r="AI327" i="48"/>
  <c r="AP264" i="48"/>
  <c r="Y265" i="48"/>
  <c r="O265" i="48" s="1"/>
  <c r="AO265" i="48"/>
  <c r="R265" i="48" s="1"/>
  <c r="AN265" i="48"/>
  <c r="AM243" i="21"/>
  <c r="AP244" i="12"/>
  <c r="AJ245" i="12"/>
  <c r="AG328" i="48" l="1"/>
  <c r="P328" i="48" s="1"/>
  <c r="AJ327" i="48"/>
  <c r="AK327" i="48" s="1"/>
  <c r="V327" i="48"/>
  <c r="S264" i="48"/>
  <c r="AB265" i="48"/>
  <c r="AE265" i="48"/>
  <c r="W266" i="48" s="1"/>
  <c r="AO243" i="21"/>
  <c r="AN243" i="21"/>
  <c r="AM245" i="12"/>
  <c r="AH328" i="48" l="1"/>
  <c r="AC265" i="48"/>
  <c r="AD265" i="48" s="1"/>
  <c r="U265" i="48"/>
  <c r="X266" i="48"/>
  <c r="N266" i="48" s="1"/>
  <c r="AP243" i="21"/>
  <c r="AQ243" i="21"/>
  <c r="AJ244" i="21" s="1"/>
  <c r="AO245" i="12"/>
  <c r="AQ245" i="12" s="1"/>
  <c r="AN245" i="12"/>
  <c r="Q328" i="48" l="1"/>
  <c r="AI328" i="48"/>
  <c r="AL328" i="48"/>
  <c r="AF329" i="48" s="1"/>
  <c r="AP265" i="48"/>
  <c r="Y266" i="48"/>
  <c r="O266" i="48" s="1"/>
  <c r="AN266" i="48"/>
  <c r="AO266" i="48"/>
  <c r="R266" i="48" s="1"/>
  <c r="AM244" i="21"/>
  <c r="AP245" i="12"/>
  <c r="AJ246" i="12"/>
  <c r="AG329" i="48" l="1"/>
  <c r="P329" i="48" s="1"/>
  <c r="AH329" i="48"/>
  <c r="Q329" i="48" s="1"/>
  <c r="V328" i="48"/>
  <c r="AJ328" i="48"/>
  <c r="AK328" i="48" s="1"/>
  <c r="AI329" i="48"/>
  <c r="S265" i="48"/>
  <c r="AB266" i="48"/>
  <c r="AE266" i="48"/>
  <c r="W267" i="48" s="1"/>
  <c r="AO244" i="21"/>
  <c r="AN244" i="21"/>
  <c r="AM246" i="12"/>
  <c r="AL329" i="48" l="1"/>
  <c r="AF330" i="48" s="1"/>
  <c r="V329" i="48"/>
  <c r="AJ329" i="48"/>
  <c r="AK329" i="48" s="1"/>
  <c r="AC266" i="48"/>
  <c r="AD266" i="48" s="1"/>
  <c r="U266" i="48"/>
  <c r="X267" i="48"/>
  <c r="N267" i="48" s="1"/>
  <c r="AQ244" i="21"/>
  <c r="AJ245" i="21" s="1"/>
  <c r="AP244" i="21"/>
  <c r="AO246" i="12"/>
  <c r="AQ246" i="12" s="1"/>
  <c r="AN246" i="12"/>
  <c r="AG330" i="48" l="1"/>
  <c r="P330" i="48" s="1"/>
  <c r="AP266" i="48"/>
  <c r="Y267" i="48"/>
  <c r="O267" i="48" s="1"/>
  <c r="AO267" i="48"/>
  <c r="R267" i="48" s="1"/>
  <c r="AN267" i="48"/>
  <c r="AM245" i="21"/>
  <c r="AP246" i="12"/>
  <c r="AJ247" i="12"/>
  <c r="AH330" i="48" l="1"/>
  <c r="S266" i="48"/>
  <c r="AB267" i="48"/>
  <c r="AE267" i="48"/>
  <c r="W268" i="48" s="1"/>
  <c r="AO245" i="21"/>
  <c r="AN245" i="21"/>
  <c r="AM247" i="12"/>
  <c r="Q330" i="48" l="1"/>
  <c r="AI330" i="48"/>
  <c r="AL330" i="48"/>
  <c r="AF331" i="48" s="1"/>
  <c r="AC267" i="48"/>
  <c r="AD267" i="48" s="1"/>
  <c r="U267" i="48"/>
  <c r="X268" i="48"/>
  <c r="N268" i="48" s="1"/>
  <c r="AP245" i="21"/>
  <c r="AQ245" i="21"/>
  <c r="AJ246" i="21" s="1"/>
  <c r="AO247" i="12"/>
  <c r="AQ247" i="12" s="1"/>
  <c r="AN247" i="12"/>
  <c r="AG331" i="48" l="1"/>
  <c r="P331" i="48" s="1"/>
  <c r="AH331" i="48"/>
  <c r="Q331" i="48" s="1"/>
  <c r="AL331" i="48"/>
  <c r="AF332" i="48" s="1"/>
  <c r="V330" i="48"/>
  <c r="AJ330" i="48"/>
  <c r="AK330" i="48" s="1"/>
  <c r="AI331" i="48"/>
  <c r="AP267" i="48"/>
  <c r="Y268" i="48"/>
  <c r="O268" i="48" s="1"/>
  <c r="AN268" i="48"/>
  <c r="AO268" i="48"/>
  <c r="R268" i="48" s="1"/>
  <c r="AM246" i="21"/>
  <c r="AP247" i="12"/>
  <c r="AJ248" i="12"/>
  <c r="AG332" i="48" l="1"/>
  <c r="P332" i="48" s="1"/>
  <c r="AH332" i="48"/>
  <c r="Q332" i="48" s="1"/>
  <c r="AL332" i="48"/>
  <c r="AF333" i="48" s="1"/>
  <c r="AI332" i="48"/>
  <c r="V331" i="48"/>
  <c r="AJ331" i="48"/>
  <c r="AK331" i="48" s="1"/>
  <c r="S267" i="48"/>
  <c r="AB268" i="48"/>
  <c r="AE268" i="48"/>
  <c r="W269" i="48" s="1"/>
  <c r="AO246" i="21"/>
  <c r="AN246" i="21"/>
  <c r="AM248" i="12"/>
  <c r="AG333" i="48" l="1"/>
  <c r="P333" i="48" s="1"/>
  <c r="AH333" i="48"/>
  <c r="V332" i="48"/>
  <c r="AJ332" i="48"/>
  <c r="AK332" i="48" s="1"/>
  <c r="AI333" i="48"/>
  <c r="V333" i="48"/>
  <c r="AJ333" i="48"/>
  <c r="AK333" i="48" s="1"/>
  <c r="AC268" i="48"/>
  <c r="AD268" i="48" s="1"/>
  <c r="U268" i="48"/>
  <c r="X269" i="48"/>
  <c r="N269" i="48" s="1"/>
  <c r="AQ246" i="21"/>
  <c r="AJ247" i="21" s="1"/>
  <c r="AP246" i="21"/>
  <c r="AO248" i="12"/>
  <c r="AQ248" i="12" s="1"/>
  <c r="AN248" i="12"/>
  <c r="AL333" i="48" l="1"/>
  <c r="AF334" i="48" s="1"/>
  <c r="Q333" i="48"/>
  <c r="AP268" i="48"/>
  <c r="Y269" i="48"/>
  <c r="O269" i="48" s="1"/>
  <c r="AO269" i="48"/>
  <c r="R269" i="48" s="1"/>
  <c r="AN269" i="48"/>
  <c r="AM247" i="21"/>
  <c r="AJ249" i="12"/>
  <c r="AP248" i="12"/>
  <c r="AG334" i="48" l="1"/>
  <c r="P334" i="48" s="1"/>
  <c r="AH334" i="48"/>
  <c r="S268" i="48"/>
  <c r="AB269" i="48"/>
  <c r="AE269" i="48"/>
  <c r="W270" i="48" s="1"/>
  <c r="AO247" i="21"/>
  <c r="AN247" i="21"/>
  <c r="AM249" i="12"/>
  <c r="AI334" i="48" l="1"/>
  <c r="Q334" i="48"/>
  <c r="AL334" i="48"/>
  <c r="AF335" i="48" s="1"/>
  <c r="AG335" i="48" s="1"/>
  <c r="P335" i="48" s="1"/>
  <c r="AC269" i="48"/>
  <c r="AD269" i="48" s="1"/>
  <c r="U269" i="48"/>
  <c r="X270" i="48"/>
  <c r="N270" i="48" s="1"/>
  <c r="AQ247" i="21"/>
  <c r="AJ248" i="21" s="1"/>
  <c r="AP247" i="21"/>
  <c r="AO249" i="12"/>
  <c r="AQ249" i="12" s="1"/>
  <c r="AN249" i="12"/>
  <c r="AH335" i="48" l="1"/>
  <c r="V334" i="48"/>
  <c r="AJ334" i="48"/>
  <c r="AK334" i="48" s="1"/>
  <c r="Q335" i="48"/>
  <c r="AI335" i="48"/>
  <c r="AL335" i="48"/>
  <c r="AF336" i="48" s="1"/>
  <c r="AP269" i="48"/>
  <c r="Y270" i="48"/>
  <c r="O270" i="48" s="1"/>
  <c r="AO270" i="48"/>
  <c r="R270" i="48" s="1"/>
  <c r="AN270" i="48"/>
  <c r="AM248" i="21"/>
  <c r="AP249" i="12"/>
  <c r="AJ250" i="12"/>
  <c r="AG336" i="48" l="1"/>
  <c r="P336" i="48" s="1"/>
  <c r="AJ335" i="48"/>
  <c r="AK335" i="48" s="1"/>
  <c r="V335" i="48"/>
  <c r="S269" i="48"/>
  <c r="AB270" i="48"/>
  <c r="AE270" i="48"/>
  <c r="W271" i="48" s="1"/>
  <c r="AO248" i="21"/>
  <c r="AN248" i="21"/>
  <c r="AM250" i="12"/>
  <c r="AH336" i="48" l="1"/>
  <c r="AC270" i="48"/>
  <c r="AD270" i="48" s="1"/>
  <c r="U270" i="48"/>
  <c r="X271" i="48"/>
  <c r="N271" i="48" s="1"/>
  <c r="AP248" i="21"/>
  <c r="AQ248" i="21"/>
  <c r="AJ249" i="21" s="1"/>
  <c r="AO250" i="12"/>
  <c r="AQ250" i="12" s="1"/>
  <c r="AN250" i="12"/>
  <c r="Q336" i="48" l="1"/>
  <c r="AL336" i="48"/>
  <c r="AF337" i="48" s="1"/>
  <c r="AI336" i="48"/>
  <c r="AP270" i="48"/>
  <c r="S270" i="48" s="1"/>
  <c r="Y271" i="48"/>
  <c r="O271" i="48" s="1"/>
  <c r="AN271" i="48"/>
  <c r="AO271" i="48"/>
  <c r="R271" i="48" s="1"/>
  <c r="AM249" i="21"/>
  <c r="AP250" i="12"/>
  <c r="AJ251" i="12"/>
  <c r="AJ336" i="48" l="1"/>
  <c r="AK336" i="48" s="1"/>
  <c r="V336" i="48"/>
  <c r="AG337" i="48"/>
  <c r="P337" i="48" s="1"/>
  <c r="AH337" i="48"/>
  <c r="Q337" i="48" s="1"/>
  <c r="AB271" i="48"/>
  <c r="AE271" i="48"/>
  <c r="W272" i="48" s="1"/>
  <c r="AO249" i="21"/>
  <c r="AN249" i="21"/>
  <c r="AM251" i="12"/>
  <c r="AL337" i="48" l="1"/>
  <c r="AF338" i="48" s="1"/>
  <c r="AI337" i="48"/>
  <c r="AC271" i="48"/>
  <c r="AD271" i="48" s="1"/>
  <c r="U271" i="48"/>
  <c r="X272" i="48"/>
  <c r="N272" i="48" s="1"/>
  <c r="AQ249" i="21"/>
  <c r="AJ250" i="21" s="1"/>
  <c r="AP249" i="21"/>
  <c r="AO251" i="12"/>
  <c r="AQ251" i="12" s="1"/>
  <c r="AN251" i="12"/>
  <c r="AJ337" i="48" l="1"/>
  <c r="AK337" i="48" s="1"/>
  <c r="V337" i="48"/>
  <c r="AG338" i="48"/>
  <c r="P338" i="48" s="1"/>
  <c r="AP271" i="48"/>
  <c r="S271" i="48" s="1"/>
  <c r="Y272" i="48"/>
  <c r="O272" i="48" s="1"/>
  <c r="AO272" i="48"/>
  <c r="R272" i="48" s="1"/>
  <c r="AN272" i="48"/>
  <c r="AM250" i="21"/>
  <c r="AP251" i="12"/>
  <c r="AJ252" i="12"/>
  <c r="AH338" i="48" l="1"/>
  <c r="AB272" i="48"/>
  <c r="AE272" i="48"/>
  <c r="W273" i="48" s="1"/>
  <c r="AO250" i="21"/>
  <c r="AN250" i="21"/>
  <c r="AM252" i="12"/>
  <c r="Q338" i="48" l="1"/>
  <c r="AI338" i="48"/>
  <c r="AL338" i="48"/>
  <c r="AF339" i="48" s="1"/>
  <c r="AC272" i="48"/>
  <c r="AD272" i="48" s="1"/>
  <c r="U272" i="48"/>
  <c r="X273" i="48"/>
  <c r="N273" i="48" s="1"/>
  <c r="AQ250" i="21"/>
  <c r="AJ251" i="21" s="1"/>
  <c r="AP250" i="21"/>
  <c r="AO252" i="12"/>
  <c r="AQ252" i="12" s="1"/>
  <c r="AN252" i="12"/>
  <c r="AG339" i="48" l="1"/>
  <c r="P339" i="48" s="1"/>
  <c r="AH339" i="48"/>
  <c r="AL339" i="48" s="1"/>
  <c r="AF340" i="48" s="1"/>
  <c r="AJ338" i="48"/>
  <c r="AK338" i="48" s="1"/>
  <c r="V338" i="48"/>
  <c r="AP272" i="48"/>
  <c r="Y273" i="48"/>
  <c r="O273" i="48" s="1"/>
  <c r="AN273" i="48"/>
  <c r="AO273" i="48"/>
  <c r="R273" i="48" s="1"/>
  <c r="AM251" i="21"/>
  <c r="AP252" i="12"/>
  <c r="AJ253" i="12"/>
  <c r="AG340" i="48" l="1"/>
  <c r="P340" i="48" s="1"/>
  <c r="AI339" i="48"/>
  <c r="Q339" i="48"/>
  <c r="S272" i="48"/>
  <c r="AB273" i="48"/>
  <c r="AE273" i="48"/>
  <c r="W274" i="48" s="1"/>
  <c r="AO251" i="21"/>
  <c r="AN251" i="21"/>
  <c r="AM253" i="12"/>
  <c r="V339" i="48" l="1"/>
  <c r="AJ339" i="48"/>
  <c r="AK339" i="48" s="1"/>
  <c r="AH340" i="48"/>
  <c r="AC273" i="48"/>
  <c r="AD273" i="48" s="1"/>
  <c r="U273" i="48"/>
  <c r="X274" i="48"/>
  <c r="N274" i="48" s="1"/>
  <c r="AP251" i="21"/>
  <c r="AQ251" i="21"/>
  <c r="AJ252" i="21" s="1"/>
  <c r="AO253" i="12"/>
  <c r="AQ253" i="12" s="1"/>
  <c r="AN253" i="12"/>
  <c r="Q340" i="48" l="1"/>
  <c r="AL340" i="48"/>
  <c r="AF341" i="48" s="1"/>
  <c r="AI340" i="48"/>
  <c r="AP273" i="48"/>
  <c r="S273" i="48" s="1"/>
  <c r="Y274" i="48"/>
  <c r="O274" i="48" s="1"/>
  <c r="AO274" i="48"/>
  <c r="R274" i="48" s="1"/>
  <c r="AN274" i="48"/>
  <c r="AM252" i="21"/>
  <c r="AP253" i="12"/>
  <c r="AJ254" i="12"/>
  <c r="AJ340" i="48" l="1"/>
  <c r="AK340" i="48" s="1"/>
  <c r="V340" i="48"/>
  <c r="AG341" i="48"/>
  <c r="P341" i="48" s="1"/>
  <c r="AB274" i="48"/>
  <c r="AE274" i="48"/>
  <c r="W275" i="48" s="1"/>
  <c r="AO252" i="21"/>
  <c r="AN252" i="21"/>
  <c r="AM254" i="12"/>
  <c r="AH341" i="48" l="1"/>
  <c r="Q341" i="48" s="1"/>
  <c r="AC274" i="48"/>
  <c r="AD274" i="48" s="1"/>
  <c r="U274" i="48"/>
  <c r="X275" i="48"/>
  <c r="N275" i="48" s="1"/>
  <c r="AQ252" i="21"/>
  <c r="AJ253" i="21" s="1"/>
  <c r="AP252" i="21"/>
  <c r="AO254" i="12"/>
  <c r="AQ254" i="12" s="1"/>
  <c r="AN254" i="12"/>
  <c r="AI341" i="48" l="1"/>
  <c r="AL341" i="48"/>
  <c r="AF342" i="48" s="1"/>
  <c r="AG342" i="48" s="1"/>
  <c r="V341" i="48"/>
  <c r="AJ341" i="48"/>
  <c r="AK341" i="48" s="1"/>
  <c r="AP274" i="48"/>
  <c r="S274" i="48" s="1"/>
  <c r="Y275" i="48"/>
  <c r="O275" i="48" s="1"/>
  <c r="AN275" i="48"/>
  <c r="AO275" i="48"/>
  <c r="R275" i="48" s="1"/>
  <c r="AM253" i="21"/>
  <c r="AP254" i="12"/>
  <c r="AJ255" i="12"/>
  <c r="P342" i="48" l="1"/>
  <c r="AH342" i="48"/>
  <c r="Q342" i="48" s="1"/>
  <c r="AI342" i="48"/>
  <c r="AL342" i="48"/>
  <c r="AF343" i="48" s="1"/>
  <c r="AB275" i="48"/>
  <c r="AE275" i="48"/>
  <c r="W276" i="48" s="1"/>
  <c r="AO253" i="21"/>
  <c r="AN253" i="21"/>
  <c r="AM255" i="12"/>
  <c r="AG343" i="48" l="1"/>
  <c r="P343" i="48" s="1"/>
  <c r="V342" i="48"/>
  <c r="AJ342" i="48"/>
  <c r="AK342" i="48" s="1"/>
  <c r="AC275" i="48"/>
  <c r="AD275" i="48" s="1"/>
  <c r="U275" i="48"/>
  <c r="X276" i="48"/>
  <c r="N276" i="48" s="1"/>
  <c r="AP253" i="21"/>
  <c r="AQ253" i="21"/>
  <c r="AJ254" i="21" s="1"/>
  <c r="AO255" i="12"/>
  <c r="AQ255" i="12" s="1"/>
  <c r="AN255" i="12"/>
  <c r="AH343" i="48" l="1"/>
  <c r="AP275" i="48"/>
  <c r="S275" i="48" s="1"/>
  <c r="Y276" i="48"/>
  <c r="O276" i="48" s="1"/>
  <c r="AO276" i="48"/>
  <c r="R276" i="48" s="1"/>
  <c r="AN276" i="48"/>
  <c r="AM254" i="21"/>
  <c r="AP255" i="12"/>
  <c r="AJ256" i="12"/>
  <c r="Q343" i="48" l="1"/>
  <c r="AI343" i="48"/>
  <c r="AL343" i="48"/>
  <c r="AF344" i="48" s="1"/>
  <c r="AB276" i="48"/>
  <c r="AE276" i="48"/>
  <c r="W277" i="48" s="1"/>
  <c r="AO254" i="21"/>
  <c r="AN254" i="21"/>
  <c r="AM256" i="12"/>
  <c r="AG344" i="48" l="1"/>
  <c r="P344" i="48" s="1"/>
  <c r="AH344" i="48"/>
  <c r="Q344" i="48" s="1"/>
  <c r="AJ343" i="48"/>
  <c r="AK343" i="48" s="1"/>
  <c r="V343" i="48"/>
  <c r="AC276" i="48"/>
  <c r="AD276" i="48" s="1"/>
  <c r="U276" i="48"/>
  <c r="X277" i="48"/>
  <c r="N277" i="48" s="1"/>
  <c r="AQ254" i="21"/>
  <c r="AJ255" i="21" s="1"/>
  <c r="AP254" i="21"/>
  <c r="AO256" i="12"/>
  <c r="AQ256" i="12" s="1"/>
  <c r="AN256" i="12"/>
  <c r="AI344" i="48" l="1"/>
  <c r="AL344" i="48"/>
  <c r="AF345" i="48" s="1"/>
  <c r="V344" i="48"/>
  <c r="AJ344" i="48"/>
  <c r="AK344" i="48" s="1"/>
  <c r="AP276" i="48"/>
  <c r="Y277" i="48"/>
  <c r="O277" i="48" s="1"/>
  <c r="AO277" i="48"/>
  <c r="R277" i="48" s="1"/>
  <c r="AN277" i="48"/>
  <c r="AM255" i="21"/>
  <c r="AJ257" i="12"/>
  <c r="AP256" i="12"/>
  <c r="AG345" i="48" l="1"/>
  <c r="P345" i="48" s="1"/>
  <c r="S276" i="48"/>
  <c r="AB277" i="48"/>
  <c r="AE277" i="48"/>
  <c r="W278" i="48" s="1"/>
  <c r="AO255" i="21"/>
  <c r="AN255" i="21"/>
  <c r="AM257" i="12"/>
  <c r="AH345" i="48" l="1"/>
  <c r="AL345" i="48" s="1"/>
  <c r="AF346" i="48" s="1"/>
  <c r="AG346" i="48" s="1"/>
  <c r="Q345" i="48"/>
  <c r="AI345" i="48"/>
  <c r="AC277" i="48"/>
  <c r="AD277" i="48" s="1"/>
  <c r="U277" i="48"/>
  <c r="X278" i="48"/>
  <c r="N278" i="48" s="1"/>
  <c r="AP255" i="21"/>
  <c r="AQ255" i="21"/>
  <c r="AJ256" i="21" s="1"/>
  <c r="AO257" i="12"/>
  <c r="AQ257" i="12" s="1"/>
  <c r="AN257" i="12"/>
  <c r="P346" i="48" l="1"/>
  <c r="AH346" i="48"/>
  <c r="Q346" i="48" s="1"/>
  <c r="AL346" i="48"/>
  <c r="AF347" i="48" s="1"/>
  <c r="AJ345" i="48"/>
  <c r="AK345" i="48" s="1"/>
  <c r="V345" i="48"/>
  <c r="AI346" i="48"/>
  <c r="AP277" i="48"/>
  <c r="Y278" i="48"/>
  <c r="O278" i="48" s="1"/>
  <c r="AN278" i="48"/>
  <c r="AO278" i="48"/>
  <c r="R278" i="48" s="1"/>
  <c r="AM256" i="21"/>
  <c r="AP257" i="12"/>
  <c r="AJ258" i="12"/>
  <c r="V346" i="48" l="1"/>
  <c r="AJ346" i="48"/>
  <c r="AK346" i="48" s="1"/>
  <c r="AG347" i="48"/>
  <c r="P347" i="48" s="1"/>
  <c r="S277" i="48"/>
  <c r="AB278" i="48"/>
  <c r="AE278" i="48"/>
  <c r="W279" i="48" s="1"/>
  <c r="AO256" i="21"/>
  <c r="AN256" i="21"/>
  <c r="AM258" i="12"/>
  <c r="AH347" i="48" l="1"/>
  <c r="AC278" i="48"/>
  <c r="AD278" i="48" s="1"/>
  <c r="U278" i="48"/>
  <c r="X279" i="48"/>
  <c r="N279" i="48" s="1"/>
  <c r="AQ256" i="21"/>
  <c r="AJ257" i="21" s="1"/>
  <c r="AP256" i="21"/>
  <c r="AO258" i="12"/>
  <c r="AQ258" i="12" s="1"/>
  <c r="AN258" i="12"/>
  <c r="Q347" i="48" l="1"/>
  <c r="AL347" i="48"/>
  <c r="AF348" i="48" s="1"/>
  <c r="AI347" i="48"/>
  <c r="AP278" i="48"/>
  <c r="Y279" i="48"/>
  <c r="O279" i="48" s="1"/>
  <c r="AN279" i="48"/>
  <c r="AO279" i="48"/>
  <c r="R279" i="48" s="1"/>
  <c r="AM257" i="21"/>
  <c r="AJ259" i="12"/>
  <c r="AP258" i="12"/>
  <c r="V347" i="48" l="1"/>
  <c r="AJ347" i="48"/>
  <c r="AK347" i="48" s="1"/>
  <c r="AG348" i="48"/>
  <c r="P348" i="48" s="1"/>
  <c r="S278" i="48"/>
  <c r="AB279" i="48"/>
  <c r="AE279" i="48"/>
  <c r="W280" i="48" s="1"/>
  <c r="AO257" i="21"/>
  <c r="AN257" i="21"/>
  <c r="AM259" i="12"/>
  <c r="AH348" i="48" l="1"/>
  <c r="Q348" i="48" s="1"/>
  <c r="AI348" i="48"/>
  <c r="AC279" i="48"/>
  <c r="AD279" i="48" s="1"/>
  <c r="U279" i="48"/>
  <c r="X280" i="48"/>
  <c r="N280" i="48" s="1"/>
  <c r="AP257" i="21"/>
  <c r="AQ257" i="21"/>
  <c r="AJ258" i="21" s="1"/>
  <c r="AO259" i="12"/>
  <c r="AQ259" i="12" s="1"/>
  <c r="AN259" i="12"/>
  <c r="AL348" i="48" l="1"/>
  <c r="AF349" i="48" s="1"/>
  <c r="V348" i="48"/>
  <c r="AJ348" i="48"/>
  <c r="AK348" i="48" s="1"/>
  <c r="AG349" i="48"/>
  <c r="P349" i="48" s="1"/>
  <c r="AP279" i="48"/>
  <c r="S279" i="48" s="1"/>
  <c r="Y280" i="48"/>
  <c r="O280" i="48" s="1"/>
  <c r="AO280" i="48"/>
  <c r="R280" i="48" s="1"/>
  <c r="AN280" i="48"/>
  <c r="AM258" i="21"/>
  <c r="AP259" i="12"/>
  <c r="AJ260" i="12"/>
  <c r="AH349" i="48" l="1"/>
  <c r="Q349" i="48" s="1"/>
  <c r="AI349" i="48"/>
  <c r="AB280" i="48"/>
  <c r="AE280" i="48"/>
  <c r="W281" i="48" s="1"/>
  <c r="AO258" i="21"/>
  <c r="AN258" i="21"/>
  <c r="AM260" i="12"/>
  <c r="AL349" i="48" l="1"/>
  <c r="AF350" i="48" s="1"/>
  <c r="V349" i="48"/>
  <c r="AJ349" i="48"/>
  <c r="AK349" i="48" s="1"/>
  <c r="AG350" i="48"/>
  <c r="P350" i="48" s="1"/>
  <c r="AC280" i="48"/>
  <c r="AD280" i="48" s="1"/>
  <c r="U280" i="48"/>
  <c r="X281" i="48"/>
  <c r="N281" i="48" s="1"/>
  <c r="AQ258" i="21"/>
  <c r="AJ259" i="21" s="1"/>
  <c r="AP258" i="21"/>
  <c r="AO260" i="12"/>
  <c r="AQ260" i="12" s="1"/>
  <c r="AN260" i="12"/>
  <c r="AH350" i="48" l="1"/>
  <c r="AP280" i="48"/>
  <c r="S280" i="48" s="1"/>
  <c r="Y281" i="48"/>
  <c r="O281" i="48" s="1"/>
  <c r="AO281" i="48"/>
  <c r="R281" i="48" s="1"/>
  <c r="AN281" i="48"/>
  <c r="AM259" i="21"/>
  <c r="AP260" i="12"/>
  <c r="AJ261" i="12"/>
  <c r="Q350" i="48" l="1"/>
  <c r="AL350" i="48"/>
  <c r="AF351" i="48" s="1"/>
  <c r="AI350" i="48"/>
  <c r="AB281" i="48"/>
  <c r="AE281" i="48"/>
  <c r="W282" i="48" s="1"/>
  <c r="AO259" i="21"/>
  <c r="AN259" i="21"/>
  <c r="AM261" i="12"/>
  <c r="V350" i="48" l="1"/>
  <c r="AJ350" i="48"/>
  <c r="AK350" i="48" s="1"/>
  <c r="AG351" i="48"/>
  <c r="P351" i="48" s="1"/>
  <c r="AC281" i="48"/>
  <c r="AD281" i="48" s="1"/>
  <c r="U281" i="48"/>
  <c r="X282" i="48"/>
  <c r="N282" i="48" s="1"/>
  <c r="AP259" i="21"/>
  <c r="AQ259" i="21"/>
  <c r="AJ260" i="21" s="1"/>
  <c r="AO261" i="12"/>
  <c r="AQ261" i="12" s="1"/>
  <c r="AN261" i="12"/>
  <c r="AH351" i="48" l="1"/>
  <c r="AP281" i="48"/>
  <c r="S281" i="48" s="1"/>
  <c r="Y282" i="48"/>
  <c r="O282" i="48" s="1"/>
  <c r="AO282" i="48"/>
  <c r="R282" i="48" s="1"/>
  <c r="AN282" i="48"/>
  <c r="AM260" i="21"/>
  <c r="AP261" i="12"/>
  <c r="AJ262" i="12"/>
  <c r="Q351" i="48" l="1"/>
  <c r="AI351" i="48"/>
  <c r="AL351" i="48"/>
  <c r="AF352" i="48" s="1"/>
  <c r="AB282" i="48"/>
  <c r="AE282" i="48"/>
  <c r="W283" i="48" s="1"/>
  <c r="AO260" i="21"/>
  <c r="AN260" i="21"/>
  <c r="AM262" i="12"/>
  <c r="AG352" i="48" l="1"/>
  <c r="P352" i="48" s="1"/>
  <c r="AH352" i="48"/>
  <c r="Q352" i="48" s="1"/>
  <c r="AL352" i="48"/>
  <c r="AF353" i="48" s="1"/>
  <c r="AJ351" i="48"/>
  <c r="AK351" i="48" s="1"/>
  <c r="V351" i="48"/>
  <c r="AC282" i="48"/>
  <c r="AD282" i="48" s="1"/>
  <c r="U282" i="48"/>
  <c r="X283" i="48"/>
  <c r="N283" i="48" s="1"/>
  <c r="AQ260" i="21"/>
  <c r="AJ261" i="21" s="1"/>
  <c r="AP260" i="21"/>
  <c r="AO262" i="12"/>
  <c r="AQ262" i="12" s="1"/>
  <c r="AN262" i="12"/>
  <c r="AI352" i="48" l="1"/>
  <c r="AG353" i="48"/>
  <c r="P353" i="48" s="1"/>
  <c r="AH353" i="48"/>
  <c r="Q353" i="48" s="1"/>
  <c r="V352" i="48"/>
  <c r="AJ352" i="48"/>
  <c r="AK352" i="48" s="1"/>
  <c r="AP282" i="48"/>
  <c r="Y283" i="48"/>
  <c r="O283" i="48" s="1"/>
  <c r="AN283" i="48"/>
  <c r="AO283" i="48"/>
  <c r="R283" i="48" s="1"/>
  <c r="AM261" i="21"/>
  <c r="AP262" i="12"/>
  <c r="AJ263" i="12"/>
  <c r="AI353" i="48" l="1"/>
  <c r="AL353" i="48"/>
  <c r="AF354" i="48" s="1"/>
  <c r="AJ353" i="48"/>
  <c r="AK353" i="48" s="1"/>
  <c r="V353" i="48"/>
  <c r="S282" i="48"/>
  <c r="AB283" i="48"/>
  <c r="AE283" i="48"/>
  <c r="W284" i="48" s="1"/>
  <c r="AO261" i="21"/>
  <c r="AN261" i="21"/>
  <c r="AM263" i="12"/>
  <c r="AG354" i="48" l="1"/>
  <c r="P354" i="48" s="1"/>
  <c r="AH354" i="48"/>
  <c r="AL354" i="48" s="1"/>
  <c r="AF355" i="48" s="1"/>
  <c r="AC283" i="48"/>
  <c r="AD283" i="48" s="1"/>
  <c r="U283" i="48"/>
  <c r="X284" i="48"/>
  <c r="N284" i="48" s="1"/>
  <c r="AP261" i="21"/>
  <c r="AQ261" i="21"/>
  <c r="AJ262" i="21" s="1"/>
  <c r="AO263" i="12"/>
  <c r="AQ263" i="12" s="1"/>
  <c r="AN263" i="12"/>
  <c r="AG355" i="48" l="1"/>
  <c r="P355" i="48" s="1"/>
  <c r="Q354" i="48"/>
  <c r="AI354" i="48"/>
  <c r="AP283" i="48"/>
  <c r="Y284" i="48"/>
  <c r="O284" i="48" s="1"/>
  <c r="AO284" i="48"/>
  <c r="R284" i="48" s="1"/>
  <c r="AN284" i="48"/>
  <c r="AM262" i="21"/>
  <c r="AP263" i="12"/>
  <c r="AJ264" i="12"/>
  <c r="V354" i="48" l="1"/>
  <c r="AJ354" i="48"/>
  <c r="AK354" i="48" s="1"/>
  <c r="AH355" i="48"/>
  <c r="S283" i="48"/>
  <c r="AB284" i="48"/>
  <c r="AE284" i="48"/>
  <c r="W285" i="48" s="1"/>
  <c r="AO262" i="21"/>
  <c r="AN262" i="21"/>
  <c r="AM264" i="12"/>
  <c r="Q355" i="48" l="1"/>
  <c r="AL355" i="48"/>
  <c r="AF356" i="48" s="1"/>
  <c r="AI355" i="48"/>
  <c r="AC284" i="48"/>
  <c r="AD284" i="48" s="1"/>
  <c r="U284" i="48"/>
  <c r="X285" i="48"/>
  <c r="N285" i="48" s="1"/>
  <c r="AQ262" i="21"/>
  <c r="AJ263" i="21" s="1"/>
  <c r="AP262" i="21"/>
  <c r="AO264" i="12"/>
  <c r="AQ264" i="12" s="1"/>
  <c r="AN264" i="12"/>
  <c r="AJ355" i="48" l="1"/>
  <c r="AK355" i="48" s="1"/>
  <c r="V355" i="48"/>
  <c r="AG356" i="48"/>
  <c r="P356" i="48" s="1"/>
  <c r="AP284" i="48"/>
  <c r="Y285" i="48"/>
  <c r="O285" i="48" s="1"/>
  <c r="AN285" i="48"/>
  <c r="AO285" i="48"/>
  <c r="R285" i="48" s="1"/>
  <c r="AM263" i="21"/>
  <c r="AP264" i="12"/>
  <c r="AJ265" i="12"/>
  <c r="AH356" i="48" l="1"/>
  <c r="S284" i="48"/>
  <c r="AB285" i="48"/>
  <c r="AE285" i="48"/>
  <c r="W286" i="48" s="1"/>
  <c r="AO263" i="21"/>
  <c r="AN263" i="21"/>
  <c r="AM265" i="12"/>
  <c r="AL356" i="48" l="1"/>
  <c r="AF357" i="48" s="1"/>
  <c r="Q356" i="48"/>
  <c r="AI356" i="48"/>
  <c r="AC285" i="48"/>
  <c r="AD285" i="48" s="1"/>
  <c r="U285" i="48"/>
  <c r="X286" i="48"/>
  <c r="N286" i="48" s="1"/>
  <c r="AQ263" i="21"/>
  <c r="AJ264" i="21" s="1"/>
  <c r="AP263" i="21"/>
  <c r="AO265" i="12"/>
  <c r="AQ265" i="12" s="1"/>
  <c r="AN265" i="12"/>
  <c r="V356" i="48" l="1"/>
  <c r="AJ356" i="48"/>
  <c r="AK356" i="48" s="1"/>
  <c r="AG357" i="48"/>
  <c r="P357" i="48" s="1"/>
  <c r="AP285" i="48"/>
  <c r="Y286" i="48"/>
  <c r="O286" i="48" s="1"/>
  <c r="AO286" i="48"/>
  <c r="R286" i="48" s="1"/>
  <c r="AN286" i="48"/>
  <c r="AM264" i="21"/>
  <c r="AP265" i="12"/>
  <c r="AJ266" i="12"/>
  <c r="AH357" i="48" l="1"/>
  <c r="S285" i="48"/>
  <c r="AB286" i="48"/>
  <c r="AE286" i="48"/>
  <c r="W287" i="48" s="1"/>
  <c r="AO264" i="21"/>
  <c r="AN264" i="21"/>
  <c r="AM266" i="12"/>
  <c r="Q357" i="48" l="1"/>
  <c r="AL357" i="48"/>
  <c r="AF358" i="48" s="1"/>
  <c r="AI357" i="48"/>
  <c r="AC286" i="48"/>
  <c r="AD286" i="48" s="1"/>
  <c r="U286" i="48"/>
  <c r="X287" i="48"/>
  <c r="N287" i="48" s="1"/>
  <c r="AQ264" i="21"/>
  <c r="AJ265" i="21" s="1"/>
  <c r="AP264" i="21"/>
  <c r="AO266" i="12"/>
  <c r="AQ266" i="12" s="1"/>
  <c r="AN266" i="12"/>
  <c r="AJ357" i="48" l="1"/>
  <c r="AK357" i="48" s="1"/>
  <c r="V357" i="48"/>
  <c r="AG358" i="48"/>
  <c r="P358" i="48" s="1"/>
  <c r="AP286" i="48"/>
  <c r="Y287" i="48"/>
  <c r="O287" i="48" s="1"/>
  <c r="AO287" i="48"/>
  <c r="R287" i="48" s="1"/>
  <c r="AN287" i="48"/>
  <c r="AM265" i="21"/>
  <c r="AP266" i="12"/>
  <c r="AJ267" i="12"/>
  <c r="AH358" i="48" l="1"/>
  <c r="S286" i="48"/>
  <c r="AB287" i="48"/>
  <c r="AE287" i="48"/>
  <c r="W288" i="48" s="1"/>
  <c r="AO265" i="21"/>
  <c r="AN265" i="21"/>
  <c r="AM267" i="12"/>
  <c r="Q358" i="48" l="1"/>
  <c r="AL358" i="48"/>
  <c r="AF359" i="48" s="1"/>
  <c r="AI358" i="48"/>
  <c r="AC287" i="48"/>
  <c r="AD287" i="48" s="1"/>
  <c r="U287" i="48"/>
  <c r="X288" i="48"/>
  <c r="N288" i="48" s="1"/>
  <c r="AP265" i="21"/>
  <c r="AQ265" i="21"/>
  <c r="AJ266" i="21" s="1"/>
  <c r="AO267" i="12"/>
  <c r="AQ267" i="12" s="1"/>
  <c r="AN267" i="12"/>
  <c r="AJ358" i="48" l="1"/>
  <c r="AK358" i="48" s="1"/>
  <c r="V358" i="48"/>
  <c r="AG359" i="48"/>
  <c r="AH359" i="48"/>
  <c r="Q359" i="48" s="1"/>
  <c r="AP287" i="48"/>
  <c r="Y288" i="48"/>
  <c r="O288" i="48" s="1"/>
  <c r="AO288" i="48"/>
  <c r="R288" i="48" s="1"/>
  <c r="AN288" i="48"/>
  <c r="AM266" i="21"/>
  <c r="AP267" i="12"/>
  <c r="AJ268" i="12"/>
  <c r="AL359" i="48" l="1"/>
  <c r="AF360" i="48" s="1"/>
  <c r="AI359" i="48"/>
  <c r="P359" i="48"/>
  <c r="S287" i="48"/>
  <c r="AB288" i="48"/>
  <c r="AE288" i="48"/>
  <c r="W289" i="48" s="1"/>
  <c r="AO266" i="21"/>
  <c r="AN266" i="21"/>
  <c r="AM268" i="12"/>
  <c r="V359" i="48" l="1"/>
  <c r="AJ359" i="48"/>
  <c r="AK359" i="48" s="1"/>
  <c r="AG360" i="48"/>
  <c r="AH360" i="48" s="1"/>
  <c r="AC288" i="48"/>
  <c r="AD288" i="48" s="1"/>
  <c r="U288" i="48"/>
  <c r="X289" i="48"/>
  <c r="N289" i="48" s="1"/>
  <c r="AQ266" i="21"/>
  <c r="AJ267" i="21" s="1"/>
  <c r="AP266" i="21"/>
  <c r="AO268" i="12"/>
  <c r="AQ268" i="12" s="1"/>
  <c r="AN268" i="12"/>
  <c r="Q360" i="48" l="1"/>
  <c r="AL360" i="48"/>
  <c r="AF361" i="48" s="1"/>
  <c r="AG361" i="48"/>
  <c r="P361" i="48" s="1"/>
  <c r="AI360" i="48"/>
  <c r="P360" i="48"/>
  <c r="AP288" i="48"/>
  <c r="Y289" i="48"/>
  <c r="O289" i="48" s="1"/>
  <c r="AO289" i="48"/>
  <c r="R289" i="48" s="1"/>
  <c r="AN289" i="48"/>
  <c r="AM267" i="21"/>
  <c r="AP268" i="12"/>
  <c r="AJ269" i="12"/>
  <c r="V360" i="48" l="1"/>
  <c r="AJ360" i="48"/>
  <c r="AK360" i="48" s="1"/>
  <c r="AH361" i="48"/>
  <c r="S288" i="48"/>
  <c r="AB289" i="48"/>
  <c r="AE289" i="48"/>
  <c r="W290" i="48" s="1"/>
  <c r="AO267" i="21"/>
  <c r="AN267" i="21"/>
  <c r="AM269" i="12"/>
  <c r="Q361" i="48" l="1"/>
  <c r="AL361" i="48"/>
  <c r="AF362" i="48" s="1"/>
  <c r="AI361" i="48"/>
  <c r="AC289" i="48"/>
  <c r="AD289" i="48" s="1"/>
  <c r="U289" i="48"/>
  <c r="X290" i="48"/>
  <c r="N290" i="48" s="1"/>
  <c r="AP267" i="21"/>
  <c r="AQ267" i="21"/>
  <c r="AJ268" i="21" s="1"/>
  <c r="AO269" i="12"/>
  <c r="AQ269" i="12" s="1"/>
  <c r="AN269" i="12"/>
  <c r="V361" i="48" l="1"/>
  <c r="AJ361" i="48"/>
  <c r="AK361" i="48" s="1"/>
  <c r="AG362" i="48"/>
  <c r="AP289" i="48"/>
  <c r="Y290" i="48"/>
  <c r="O290" i="48" s="1"/>
  <c r="AO290" i="48"/>
  <c r="R290" i="48" s="1"/>
  <c r="AN290" i="48"/>
  <c r="AM268" i="21"/>
  <c r="AP269" i="12"/>
  <c r="AJ270" i="12"/>
  <c r="P362" i="48" l="1"/>
  <c r="AH362" i="48"/>
  <c r="S289" i="48"/>
  <c r="AB290" i="48"/>
  <c r="AE290" i="48"/>
  <c r="W291" i="48" s="1"/>
  <c r="AO268" i="21"/>
  <c r="AN268" i="21"/>
  <c r="AM270" i="12"/>
  <c r="Q362" i="48" l="1"/>
  <c r="AI362" i="48"/>
  <c r="AL362" i="48"/>
  <c r="AF363" i="48" s="1"/>
  <c r="AC290" i="48"/>
  <c r="AD290" i="48" s="1"/>
  <c r="U290" i="48"/>
  <c r="X291" i="48"/>
  <c r="N291" i="48" s="1"/>
  <c r="AQ268" i="21"/>
  <c r="AJ269" i="21" s="1"/>
  <c r="AP268" i="21"/>
  <c r="AO270" i="12"/>
  <c r="AQ270" i="12" s="1"/>
  <c r="AN270" i="12"/>
  <c r="AG363" i="48" l="1"/>
  <c r="AH363" i="48" s="1"/>
  <c r="V362" i="48"/>
  <c r="AJ362" i="48"/>
  <c r="AK362" i="48" s="1"/>
  <c r="AP290" i="48"/>
  <c r="Y291" i="48"/>
  <c r="O291" i="48" s="1"/>
  <c r="AO291" i="48"/>
  <c r="R291" i="48" s="1"/>
  <c r="AN291" i="48"/>
  <c r="AM269" i="21"/>
  <c r="AP270" i="12"/>
  <c r="AJ271" i="12"/>
  <c r="AL363" i="48" l="1"/>
  <c r="AF364" i="48" s="1"/>
  <c r="Q363" i="48"/>
  <c r="AI363" i="48"/>
  <c r="P363" i="48"/>
  <c r="S290" i="48"/>
  <c r="AB291" i="48"/>
  <c r="AE291" i="48"/>
  <c r="W292" i="48" s="1"/>
  <c r="AO269" i="21"/>
  <c r="AN269" i="21"/>
  <c r="AM271" i="12"/>
  <c r="V363" i="48" l="1"/>
  <c r="AJ363" i="48"/>
  <c r="AK363" i="48" s="1"/>
  <c r="AG364" i="48"/>
  <c r="AH364" i="48" s="1"/>
  <c r="AC291" i="48"/>
  <c r="AD291" i="48" s="1"/>
  <c r="U291" i="48"/>
  <c r="X292" i="48"/>
  <c r="N292" i="48" s="1"/>
  <c r="AP269" i="21"/>
  <c r="AQ269" i="21"/>
  <c r="AJ270" i="21" s="1"/>
  <c r="AO271" i="12"/>
  <c r="AQ271" i="12" s="1"/>
  <c r="AN271" i="12"/>
  <c r="Q364" i="48" l="1"/>
  <c r="AL364" i="48"/>
  <c r="AF365" i="48" s="1"/>
  <c r="AI364" i="48"/>
  <c r="P364" i="48"/>
  <c r="AP291" i="48"/>
  <c r="Y292" i="48"/>
  <c r="O292" i="48" s="1"/>
  <c r="AN292" i="48"/>
  <c r="AO292" i="48"/>
  <c r="R292" i="48" s="1"/>
  <c r="AM270" i="21"/>
  <c r="AP271" i="12"/>
  <c r="AJ272" i="12"/>
  <c r="AJ364" i="48" l="1"/>
  <c r="AK364" i="48" s="1"/>
  <c r="V364" i="48"/>
  <c r="AG365" i="48"/>
  <c r="P365" i="48" s="1"/>
  <c r="AH365" i="48"/>
  <c r="Q365" i="48" s="1"/>
  <c r="S291" i="48"/>
  <c r="AB292" i="48"/>
  <c r="AE292" i="48"/>
  <c r="W293" i="48" s="1"/>
  <c r="AO270" i="21"/>
  <c r="AN270" i="21"/>
  <c r="AM272" i="12"/>
  <c r="AI365" i="48" l="1"/>
  <c r="AL365" i="48"/>
  <c r="AF366" i="48" s="1"/>
  <c r="AC292" i="48"/>
  <c r="AD292" i="48" s="1"/>
  <c r="U292" i="48"/>
  <c r="X293" i="48"/>
  <c r="N293" i="48" s="1"/>
  <c r="AQ270" i="21"/>
  <c r="AJ271" i="21" s="1"/>
  <c r="AP270" i="21"/>
  <c r="AO272" i="12"/>
  <c r="AQ272" i="12" s="1"/>
  <c r="AN272" i="12"/>
  <c r="AJ365" i="48" l="1"/>
  <c r="AK365" i="48" s="1"/>
  <c r="V365" i="48"/>
  <c r="AG366" i="48"/>
  <c r="P366" i="48" s="1"/>
  <c r="AP292" i="48"/>
  <c r="Y293" i="48"/>
  <c r="O293" i="48" s="1"/>
  <c r="AN293" i="48"/>
  <c r="AO293" i="48"/>
  <c r="R293" i="48" s="1"/>
  <c r="AM271" i="21"/>
  <c r="AP272" i="12"/>
  <c r="AJ273" i="12"/>
  <c r="AH366" i="48" l="1"/>
  <c r="S292" i="48"/>
  <c r="AB293" i="48"/>
  <c r="AE293" i="48"/>
  <c r="W294" i="48" s="1"/>
  <c r="AO271" i="21"/>
  <c r="AN271" i="21"/>
  <c r="AM273" i="12"/>
  <c r="Q366" i="48" l="1"/>
  <c r="AL366" i="48"/>
  <c r="AF367" i="48" s="1"/>
  <c r="AI366" i="48"/>
  <c r="AC293" i="48"/>
  <c r="AD293" i="48" s="1"/>
  <c r="U293" i="48"/>
  <c r="X294" i="48"/>
  <c r="N294" i="48" s="1"/>
  <c r="AP271" i="21"/>
  <c r="AQ271" i="21"/>
  <c r="AJ272" i="21" s="1"/>
  <c r="AO273" i="12"/>
  <c r="AQ273" i="12" s="1"/>
  <c r="AN273" i="12"/>
  <c r="V366" i="48" l="1"/>
  <c r="AJ366" i="48"/>
  <c r="AK366" i="48" s="1"/>
  <c r="AG367" i="48"/>
  <c r="P367" i="48" s="1"/>
  <c r="AP293" i="48"/>
  <c r="Y294" i="48"/>
  <c r="O294" i="48" s="1"/>
  <c r="AO294" i="48"/>
  <c r="R294" i="48" s="1"/>
  <c r="AN294" i="48"/>
  <c r="AM272" i="21"/>
  <c r="AP273" i="12"/>
  <c r="AJ274" i="12"/>
  <c r="AH367" i="48" l="1"/>
  <c r="S293" i="48"/>
  <c r="AB294" i="48"/>
  <c r="AE294" i="48"/>
  <c r="W295" i="48" s="1"/>
  <c r="AO272" i="21"/>
  <c r="AN272" i="21"/>
  <c r="AM274" i="12"/>
  <c r="Q367" i="48" l="1"/>
  <c r="AL367" i="48"/>
  <c r="AF368" i="48" s="1"/>
  <c r="AI367" i="48"/>
  <c r="AC294" i="48"/>
  <c r="AD294" i="48" s="1"/>
  <c r="U294" i="48"/>
  <c r="X295" i="48"/>
  <c r="N295" i="48" s="1"/>
  <c r="AQ272" i="21"/>
  <c r="AJ273" i="21" s="1"/>
  <c r="AP272" i="21"/>
  <c r="AO274" i="12"/>
  <c r="AQ274" i="12" s="1"/>
  <c r="AN274" i="12"/>
  <c r="AJ367" i="48" l="1"/>
  <c r="AK367" i="48" s="1"/>
  <c r="V367" i="48"/>
  <c r="AG368" i="48"/>
  <c r="P368" i="48" s="1"/>
  <c r="AP294" i="48"/>
  <c r="Y295" i="48"/>
  <c r="O295" i="48" s="1"/>
  <c r="AN295" i="48"/>
  <c r="AO295" i="48"/>
  <c r="R295" i="48" s="1"/>
  <c r="AM273" i="21"/>
  <c r="AP274" i="12"/>
  <c r="AJ275" i="12"/>
  <c r="AH368" i="48" l="1"/>
  <c r="S294" i="48"/>
  <c r="AB295" i="48"/>
  <c r="AE295" i="48"/>
  <c r="W296" i="48" s="1"/>
  <c r="AO273" i="21"/>
  <c r="AN273" i="21"/>
  <c r="AM275" i="12"/>
  <c r="Q368" i="48" l="1"/>
  <c r="AL368" i="48"/>
  <c r="AF369" i="48" s="1"/>
  <c r="AI368" i="48"/>
  <c r="AC295" i="48"/>
  <c r="AD295" i="48" s="1"/>
  <c r="U295" i="48"/>
  <c r="X296" i="48"/>
  <c r="N296" i="48" s="1"/>
  <c r="AQ273" i="21"/>
  <c r="AJ274" i="21" s="1"/>
  <c r="AP273" i="21"/>
  <c r="AO275" i="12"/>
  <c r="AQ275" i="12" s="1"/>
  <c r="AN275" i="12"/>
  <c r="V368" i="48" l="1"/>
  <c r="AJ368" i="48"/>
  <c r="AK368" i="48" s="1"/>
  <c r="AG369" i="48"/>
  <c r="P369" i="48" s="1"/>
  <c r="AP295" i="48"/>
  <c r="Y296" i="48"/>
  <c r="O296" i="48" s="1"/>
  <c r="AO296" i="48"/>
  <c r="R296" i="48" s="1"/>
  <c r="AN296" i="48"/>
  <c r="AM274" i="21"/>
  <c r="AP275" i="12"/>
  <c r="AJ276" i="12"/>
  <c r="AH369" i="48" l="1"/>
  <c r="S295" i="48"/>
  <c r="AB296" i="48"/>
  <c r="AE296" i="48"/>
  <c r="W297" i="48" s="1"/>
  <c r="AO274" i="21"/>
  <c r="AN274" i="21"/>
  <c r="AM276" i="12"/>
  <c r="Q369" i="48" l="1"/>
  <c r="AL369" i="48"/>
  <c r="AF370" i="48" s="1"/>
  <c r="AI369" i="48"/>
  <c r="AC296" i="48"/>
  <c r="AD296" i="48" s="1"/>
  <c r="U296" i="48"/>
  <c r="X297" i="48"/>
  <c r="N297" i="48" s="1"/>
  <c r="AP274" i="21"/>
  <c r="AQ274" i="21"/>
  <c r="AJ275" i="21" s="1"/>
  <c r="AO276" i="12"/>
  <c r="AQ276" i="12" s="1"/>
  <c r="AN276" i="12"/>
  <c r="V369" i="48" l="1"/>
  <c r="AJ369" i="48"/>
  <c r="AK369" i="48" s="1"/>
  <c r="AG370" i="48"/>
  <c r="P370" i="48" s="1"/>
  <c r="AP296" i="48"/>
  <c r="Y297" i="48"/>
  <c r="O297" i="48" s="1"/>
  <c r="AN297" i="48"/>
  <c r="AO297" i="48"/>
  <c r="R297" i="48" s="1"/>
  <c r="AM275" i="21"/>
  <c r="AP276" i="12"/>
  <c r="AJ277" i="12"/>
  <c r="AH370" i="48" l="1"/>
  <c r="S296" i="48"/>
  <c r="AB297" i="48"/>
  <c r="AE297" i="48"/>
  <c r="W298" i="48" s="1"/>
  <c r="AO275" i="21"/>
  <c r="AN275" i="21"/>
  <c r="AM277" i="12"/>
  <c r="Q370" i="48" l="1"/>
  <c r="AL370" i="48"/>
  <c r="AF371" i="48" s="1"/>
  <c r="AI370" i="48"/>
  <c r="AC297" i="48"/>
  <c r="AD297" i="48" s="1"/>
  <c r="U297" i="48"/>
  <c r="X298" i="48"/>
  <c r="N298" i="48" s="1"/>
  <c r="AQ275" i="21"/>
  <c r="AJ276" i="21" s="1"/>
  <c r="AP275" i="21"/>
  <c r="AO277" i="12"/>
  <c r="AQ277" i="12" s="1"/>
  <c r="AN277" i="12"/>
  <c r="V370" i="48" l="1"/>
  <c r="AJ370" i="48"/>
  <c r="AK370" i="48" s="1"/>
  <c r="AG371" i="48"/>
  <c r="P371" i="48" s="1"/>
  <c r="AP297" i="48"/>
  <c r="Y298" i="48"/>
  <c r="O298" i="48" s="1"/>
  <c r="AO298" i="48"/>
  <c r="R298" i="48" s="1"/>
  <c r="AN298" i="48"/>
  <c r="AM276" i="21"/>
  <c r="AP277" i="12"/>
  <c r="AJ278" i="12"/>
  <c r="AH371" i="48" l="1"/>
  <c r="S297" i="48"/>
  <c r="AB298" i="48"/>
  <c r="AE298" i="48"/>
  <c r="W299" i="48" s="1"/>
  <c r="AO276" i="21"/>
  <c r="AN276" i="21"/>
  <c r="AM278" i="12"/>
  <c r="Q371" i="48" l="1"/>
  <c r="AL371" i="48"/>
  <c r="AF372" i="48" s="1"/>
  <c r="AI371" i="48"/>
  <c r="AC298" i="48"/>
  <c r="AD298" i="48" s="1"/>
  <c r="U298" i="48"/>
  <c r="X299" i="48"/>
  <c r="N299" i="48" s="1"/>
  <c r="AP276" i="21"/>
  <c r="AQ276" i="21"/>
  <c r="AJ277" i="21" s="1"/>
  <c r="AO278" i="12"/>
  <c r="AQ278" i="12" s="1"/>
  <c r="AN278" i="12"/>
  <c r="V371" i="48" l="1"/>
  <c r="AJ371" i="48"/>
  <c r="AK371" i="48" s="1"/>
  <c r="AG372" i="48"/>
  <c r="P372" i="48" s="1"/>
  <c r="AP298" i="48"/>
  <c r="Y299" i="48"/>
  <c r="O299" i="48" s="1"/>
  <c r="AN299" i="48"/>
  <c r="AO299" i="48"/>
  <c r="R299" i="48" s="1"/>
  <c r="AM277" i="21"/>
  <c r="AP278" i="12"/>
  <c r="AJ279" i="12"/>
  <c r="AH372" i="48" l="1"/>
  <c r="S298" i="48"/>
  <c r="AB299" i="48"/>
  <c r="AE299" i="48"/>
  <c r="W300" i="48" s="1"/>
  <c r="AO277" i="21"/>
  <c r="AN277" i="21"/>
  <c r="AM279" i="12"/>
  <c r="Q372" i="48" l="1"/>
  <c r="AL372" i="48"/>
  <c r="AF373" i="48" s="1"/>
  <c r="AI372" i="48"/>
  <c r="AC299" i="48"/>
  <c r="AD299" i="48" s="1"/>
  <c r="U299" i="48"/>
  <c r="X300" i="48"/>
  <c r="N300" i="48" s="1"/>
  <c r="AQ277" i="21"/>
  <c r="AJ278" i="21" s="1"/>
  <c r="AP277" i="21"/>
  <c r="AO279" i="12"/>
  <c r="AQ279" i="12" s="1"/>
  <c r="AN279" i="12"/>
  <c r="AJ372" i="48" l="1"/>
  <c r="AK372" i="48" s="1"/>
  <c r="V372" i="48"/>
  <c r="AG373" i="48"/>
  <c r="P373" i="48" s="1"/>
  <c r="AP299" i="48"/>
  <c r="Y300" i="48"/>
  <c r="O300" i="48" s="1"/>
  <c r="AO300" i="48"/>
  <c r="R300" i="48" s="1"/>
  <c r="AN300" i="48"/>
  <c r="AM278" i="21"/>
  <c r="AP279" i="12"/>
  <c r="AJ280" i="12"/>
  <c r="AH373" i="48" l="1"/>
  <c r="S299" i="48"/>
  <c r="AB300" i="48"/>
  <c r="AE300" i="48"/>
  <c r="W301" i="48" s="1"/>
  <c r="AO278" i="21"/>
  <c r="AN278" i="21"/>
  <c r="AM280" i="12"/>
  <c r="Q373" i="48" l="1"/>
  <c r="AI373" i="48"/>
  <c r="AL373" i="48"/>
  <c r="AF374" i="48" s="1"/>
  <c r="AC300" i="48"/>
  <c r="AD300" i="48" s="1"/>
  <c r="U300" i="48"/>
  <c r="X301" i="48"/>
  <c r="N301" i="48" s="1"/>
  <c r="AP278" i="21"/>
  <c r="AQ278" i="21"/>
  <c r="AJ279" i="21" s="1"/>
  <c r="AO280" i="12"/>
  <c r="AQ280" i="12" s="1"/>
  <c r="AN280" i="12"/>
  <c r="AG374" i="48" l="1"/>
  <c r="P374" i="48" s="1"/>
  <c r="AH374" i="48"/>
  <c r="Q374" i="48" s="1"/>
  <c r="AL374" i="48"/>
  <c r="AF375" i="48" s="1"/>
  <c r="AJ373" i="48"/>
  <c r="AK373" i="48" s="1"/>
  <c r="V373" i="48"/>
  <c r="AI374" i="48"/>
  <c r="AP300" i="48"/>
  <c r="Y301" i="48"/>
  <c r="O301" i="48" s="1"/>
  <c r="AN301" i="48"/>
  <c r="AO301" i="48"/>
  <c r="R301" i="48" s="1"/>
  <c r="AM279" i="21"/>
  <c r="AP280" i="12"/>
  <c r="AJ281" i="12"/>
  <c r="AG375" i="48" l="1"/>
  <c r="P375" i="48" s="1"/>
  <c r="AJ374" i="48"/>
  <c r="AK374" i="48" s="1"/>
  <c r="V374" i="48"/>
  <c r="S300" i="48"/>
  <c r="AB301" i="48"/>
  <c r="AE301" i="48"/>
  <c r="W302" i="48" s="1"/>
  <c r="AO279" i="21"/>
  <c r="AN279" i="21"/>
  <c r="AM281" i="12"/>
  <c r="AH375" i="48" l="1"/>
  <c r="AC301" i="48"/>
  <c r="AD301" i="48" s="1"/>
  <c r="U301" i="48"/>
  <c r="X302" i="48"/>
  <c r="N302" i="48" s="1"/>
  <c r="AP279" i="21"/>
  <c r="AQ279" i="21"/>
  <c r="AJ280" i="21" s="1"/>
  <c r="AO281" i="12"/>
  <c r="AQ281" i="12" s="1"/>
  <c r="AN281" i="12"/>
  <c r="Q375" i="48" l="1"/>
  <c r="AI375" i="48"/>
  <c r="AL375" i="48"/>
  <c r="AF376" i="48" s="1"/>
  <c r="AP301" i="48"/>
  <c r="S301" i="48" s="1"/>
  <c r="Y302" i="48"/>
  <c r="O302" i="48" s="1"/>
  <c r="AO302" i="48"/>
  <c r="R302" i="48" s="1"/>
  <c r="AN302" i="48"/>
  <c r="AM280" i="21"/>
  <c r="AP281" i="12"/>
  <c r="AJ282" i="12"/>
  <c r="AG376" i="48" l="1"/>
  <c r="P376" i="48" s="1"/>
  <c r="AH376" i="48"/>
  <c r="Q376" i="48" s="1"/>
  <c r="AJ375" i="48"/>
  <c r="AK375" i="48" s="1"/>
  <c r="V375" i="48"/>
  <c r="AI376" i="48"/>
  <c r="AB302" i="48"/>
  <c r="AE302" i="48"/>
  <c r="W303" i="48" s="1"/>
  <c r="AO280" i="21"/>
  <c r="AN280" i="21"/>
  <c r="AM282" i="12"/>
  <c r="AL376" i="48" l="1"/>
  <c r="AF377" i="48" s="1"/>
  <c r="AJ376" i="48"/>
  <c r="AK376" i="48" s="1"/>
  <c r="V376" i="48"/>
  <c r="AC302" i="48"/>
  <c r="AD302" i="48" s="1"/>
  <c r="U302" i="48"/>
  <c r="X303" i="48"/>
  <c r="N303" i="48" s="1"/>
  <c r="AQ280" i="21"/>
  <c r="AJ281" i="21" s="1"/>
  <c r="AP280" i="21"/>
  <c r="AO282" i="12"/>
  <c r="AQ282" i="12" s="1"/>
  <c r="AN282" i="12"/>
  <c r="AG377" i="48" l="1"/>
  <c r="P377" i="48" s="1"/>
  <c r="AH377" i="48"/>
  <c r="AL377" i="48" s="1"/>
  <c r="AF378" i="48" s="1"/>
  <c r="AP302" i="48"/>
  <c r="S302" i="48" s="1"/>
  <c r="Y303" i="48"/>
  <c r="O303" i="48" s="1"/>
  <c r="AN303" i="48"/>
  <c r="AO303" i="48"/>
  <c r="R303" i="48" s="1"/>
  <c r="AM281" i="21"/>
  <c r="AP282" i="12"/>
  <c r="AJ283" i="12"/>
  <c r="AH378" i="48" l="1"/>
  <c r="Q378" i="48" s="1"/>
  <c r="AL378" i="48"/>
  <c r="AG378" i="48"/>
  <c r="Q377" i="48"/>
  <c r="AI377" i="48"/>
  <c r="AB303" i="48"/>
  <c r="AE303" i="48"/>
  <c r="W304" i="48" s="1"/>
  <c r="AO281" i="21"/>
  <c r="AN281" i="21"/>
  <c r="AM283" i="12"/>
  <c r="P378" i="48" l="1"/>
  <c r="C27" i="50"/>
  <c r="AI378" i="48"/>
  <c r="V377" i="48"/>
  <c r="AJ377" i="48"/>
  <c r="AK377" i="48" s="1"/>
  <c r="AC303" i="48"/>
  <c r="AD303" i="48" s="1"/>
  <c r="U303" i="48"/>
  <c r="X304" i="48"/>
  <c r="N304" i="48" s="1"/>
  <c r="AP281" i="21"/>
  <c r="AQ281" i="21"/>
  <c r="AJ282" i="21" s="1"/>
  <c r="AO283" i="12"/>
  <c r="AQ283" i="12" s="1"/>
  <c r="AN283" i="12"/>
  <c r="V378" i="48" l="1"/>
  <c r="AJ378" i="48"/>
  <c r="AK378" i="48" s="1"/>
  <c r="AP303" i="48"/>
  <c r="S303" i="48" s="1"/>
  <c r="Y304" i="48"/>
  <c r="O304" i="48" s="1"/>
  <c r="AO304" i="48"/>
  <c r="R304" i="48" s="1"/>
  <c r="AN304" i="48"/>
  <c r="AM282" i="21"/>
  <c r="AP283" i="12"/>
  <c r="AJ284" i="12"/>
  <c r="AB304" i="48" l="1"/>
  <c r="AE304" i="48"/>
  <c r="W305" i="48" s="1"/>
  <c r="AO282" i="21"/>
  <c r="AN282" i="21"/>
  <c r="AM284" i="12"/>
  <c r="AC304" i="48" l="1"/>
  <c r="AD304" i="48" s="1"/>
  <c r="U304" i="48"/>
  <c r="X305" i="48"/>
  <c r="N305" i="48" s="1"/>
  <c r="AQ282" i="21"/>
  <c r="AJ283" i="21" s="1"/>
  <c r="AP282" i="21"/>
  <c r="AO284" i="12"/>
  <c r="AQ284" i="12" s="1"/>
  <c r="AN284" i="12"/>
  <c r="AP304" i="48" l="1"/>
  <c r="S304" i="48" s="1"/>
  <c r="Y305" i="48"/>
  <c r="O305" i="48" s="1"/>
  <c r="AN305" i="48"/>
  <c r="AO305" i="48"/>
  <c r="R305" i="48" s="1"/>
  <c r="AM283" i="21"/>
  <c r="AP284" i="12"/>
  <c r="AJ285" i="12"/>
  <c r="AB305" i="48" l="1"/>
  <c r="AE305" i="48"/>
  <c r="W306" i="48" s="1"/>
  <c r="AO283" i="21"/>
  <c r="AN283" i="21"/>
  <c r="AM285" i="12"/>
  <c r="AC305" i="48" l="1"/>
  <c r="AD305" i="48" s="1"/>
  <c r="U305" i="48"/>
  <c r="X306" i="48"/>
  <c r="N306" i="48" s="1"/>
  <c r="AP283" i="21"/>
  <c r="AQ283" i="21"/>
  <c r="AJ284" i="21" s="1"/>
  <c r="AO285" i="12"/>
  <c r="AQ285" i="12" s="1"/>
  <c r="AN285" i="12"/>
  <c r="AP305" i="48" l="1"/>
  <c r="Y306" i="48"/>
  <c r="O306" i="48" s="1"/>
  <c r="AO306" i="48"/>
  <c r="R306" i="48" s="1"/>
  <c r="AN306" i="48"/>
  <c r="AM284" i="21"/>
  <c r="AP285" i="12"/>
  <c r="AJ286" i="12"/>
  <c r="S305" i="48" l="1"/>
  <c r="AB306" i="48"/>
  <c r="AE306" i="48"/>
  <c r="W307" i="48" s="1"/>
  <c r="AO284" i="21"/>
  <c r="AN284" i="21"/>
  <c r="AM286" i="12"/>
  <c r="AC306" i="48" l="1"/>
  <c r="AD306" i="48" s="1"/>
  <c r="U306" i="48"/>
  <c r="X307" i="48"/>
  <c r="N307" i="48" s="1"/>
  <c r="AP284" i="21"/>
  <c r="AQ284" i="21"/>
  <c r="AJ285" i="21" s="1"/>
  <c r="AO286" i="12"/>
  <c r="AQ286" i="12" s="1"/>
  <c r="AN286" i="12"/>
  <c r="AP306" i="48" l="1"/>
  <c r="S306" i="48" s="1"/>
  <c r="Y307" i="48"/>
  <c r="O307" i="48" s="1"/>
  <c r="AN307" i="48"/>
  <c r="AO307" i="48"/>
  <c r="R307" i="48" s="1"/>
  <c r="AM285" i="21"/>
  <c r="AP286" i="12"/>
  <c r="AJ287" i="12"/>
  <c r="AB307" i="48" l="1"/>
  <c r="AE307" i="48"/>
  <c r="W308" i="48" s="1"/>
  <c r="AO285" i="21"/>
  <c r="AN285" i="21"/>
  <c r="AM287" i="12"/>
  <c r="AC307" i="48" l="1"/>
  <c r="AD307" i="48" s="1"/>
  <c r="U307" i="48"/>
  <c r="X308" i="48"/>
  <c r="N308" i="48" s="1"/>
  <c r="AQ285" i="21"/>
  <c r="AJ286" i="21" s="1"/>
  <c r="AP285" i="21"/>
  <c r="AO287" i="12"/>
  <c r="AQ287" i="12" s="1"/>
  <c r="AN287" i="12"/>
  <c r="AP307" i="48" l="1"/>
  <c r="S307" i="48" s="1"/>
  <c r="Y308" i="48"/>
  <c r="O308" i="48" s="1"/>
  <c r="AO308" i="48"/>
  <c r="R308" i="48" s="1"/>
  <c r="AN308" i="48"/>
  <c r="AM286" i="21"/>
  <c r="AJ288" i="12"/>
  <c r="AP287" i="12"/>
  <c r="AB308" i="48" l="1"/>
  <c r="AE308" i="48"/>
  <c r="W309" i="48" s="1"/>
  <c r="AO286" i="21"/>
  <c r="AN286" i="21"/>
  <c r="AM288" i="12"/>
  <c r="AC308" i="48" l="1"/>
  <c r="AD308" i="48" s="1"/>
  <c r="U308" i="48"/>
  <c r="X309" i="48"/>
  <c r="N309" i="48" s="1"/>
  <c r="AP286" i="21"/>
  <c r="AQ286" i="21"/>
  <c r="AJ287" i="21" s="1"/>
  <c r="AO288" i="12"/>
  <c r="AQ288" i="12" s="1"/>
  <c r="AN288" i="12"/>
  <c r="AP308" i="48" l="1"/>
  <c r="S308" i="48" s="1"/>
  <c r="Y309" i="48"/>
  <c r="O309" i="48" s="1"/>
  <c r="AN309" i="48"/>
  <c r="AO309" i="48"/>
  <c r="R309" i="48" s="1"/>
  <c r="AM287" i="21"/>
  <c r="AP288" i="12"/>
  <c r="AJ289" i="12"/>
  <c r="AB309" i="48" l="1"/>
  <c r="AE309" i="48"/>
  <c r="W310" i="48" s="1"/>
  <c r="AO287" i="21"/>
  <c r="AN287" i="21"/>
  <c r="AM289" i="12"/>
  <c r="AC309" i="48" l="1"/>
  <c r="AD309" i="48" s="1"/>
  <c r="U309" i="48"/>
  <c r="X310" i="48"/>
  <c r="N310" i="48" s="1"/>
  <c r="AQ287" i="21"/>
  <c r="AJ288" i="21" s="1"/>
  <c r="AP287" i="21"/>
  <c r="AO289" i="12"/>
  <c r="AQ289" i="12" s="1"/>
  <c r="AN289" i="12"/>
  <c r="AP309" i="48" l="1"/>
  <c r="Y310" i="48"/>
  <c r="O310" i="48" s="1"/>
  <c r="AO310" i="48"/>
  <c r="R310" i="48" s="1"/>
  <c r="AN310" i="48"/>
  <c r="AM288" i="21"/>
  <c r="AJ290" i="12"/>
  <c r="AP289" i="12"/>
  <c r="S309" i="48" l="1"/>
  <c r="AB310" i="48"/>
  <c r="AE310" i="48"/>
  <c r="W311" i="48" s="1"/>
  <c r="AO288" i="21"/>
  <c r="AN288" i="21"/>
  <c r="AM290" i="12"/>
  <c r="AC310" i="48" l="1"/>
  <c r="AD310" i="48" s="1"/>
  <c r="U310" i="48"/>
  <c r="X311" i="48"/>
  <c r="N311" i="48" s="1"/>
  <c r="AP288" i="21"/>
  <c r="AQ288" i="21"/>
  <c r="AJ289" i="21" s="1"/>
  <c r="AO290" i="12"/>
  <c r="AQ290" i="12" s="1"/>
  <c r="AN290" i="12"/>
  <c r="AP310" i="48" l="1"/>
  <c r="Y311" i="48"/>
  <c r="O311" i="48" s="1"/>
  <c r="AN311" i="48"/>
  <c r="AO311" i="48"/>
  <c r="R311" i="48" s="1"/>
  <c r="AM289" i="21"/>
  <c r="AP290" i="12"/>
  <c r="AJ291" i="12"/>
  <c r="S310" i="48" l="1"/>
  <c r="AB311" i="48"/>
  <c r="AE311" i="48"/>
  <c r="W312" i="48" s="1"/>
  <c r="AO289" i="21"/>
  <c r="AN289" i="21"/>
  <c r="AM291" i="12"/>
  <c r="AC311" i="48" l="1"/>
  <c r="AD311" i="48" s="1"/>
  <c r="U311" i="48"/>
  <c r="X312" i="48"/>
  <c r="N312" i="48" s="1"/>
  <c r="AP289" i="21"/>
  <c r="AQ289" i="21"/>
  <c r="AJ290" i="21" s="1"/>
  <c r="AO291" i="12"/>
  <c r="AQ291" i="12" s="1"/>
  <c r="AN291" i="12"/>
  <c r="AP311" i="48" l="1"/>
  <c r="Y312" i="48"/>
  <c r="O312" i="48" s="1"/>
  <c r="AN312" i="48"/>
  <c r="AO312" i="48"/>
  <c r="R312" i="48" s="1"/>
  <c r="AM290" i="21"/>
  <c r="AJ292" i="12"/>
  <c r="AP291" i="12"/>
  <c r="S311" i="48" l="1"/>
  <c r="AB312" i="48"/>
  <c r="AE312" i="48"/>
  <c r="W313" i="48" s="1"/>
  <c r="AO290" i="21"/>
  <c r="AN290" i="21"/>
  <c r="AM292" i="12"/>
  <c r="AC312" i="48" l="1"/>
  <c r="AD312" i="48" s="1"/>
  <c r="U312" i="48"/>
  <c r="X313" i="48"/>
  <c r="N313" i="48" s="1"/>
  <c r="AQ290" i="21"/>
  <c r="AJ291" i="21" s="1"/>
  <c r="AP290" i="21"/>
  <c r="AO292" i="12"/>
  <c r="AQ292" i="12" s="1"/>
  <c r="AN292" i="12"/>
  <c r="AP312" i="48" l="1"/>
  <c r="Y313" i="48"/>
  <c r="O313" i="48" s="1"/>
  <c r="AO313" i="48"/>
  <c r="R313" i="48" s="1"/>
  <c r="AN313" i="48"/>
  <c r="AM291" i="21"/>
  <c r="AP292" i="12"/>
  <c r="AJ293" i="12"/>
  <c r="S312" i="48" l="1"/>
  <c r="AB313" i="48"/>
  <c r="AE313" i="48"/>
  <c r="W314" i="48" s="1"/>
  <c r="AO291" i="21"/>
  <c r="AN291" i="21"/>
  <c r="AM293" i="12"/>
  <c r="AC313" i="48" l="1"/>
  <c r="AD313" i="48" s="1"/>
  <c r="U313" i="48"/>
  <c r="X314" i="48"/>
  <c r="N314" i="48" s="1"/>
  <c r="AP291" i="21"/>
  <c r="AQ291" i="21"/>
  <c r="AJ292" i="21" s="1"/>
  <c r="AO293" i="12"/>
  <c r="AQ293" i="12" s="1"/>
  <c r="AN293" i="12"/>
  <c r="AP313" i="48" l="1"/>
  <c r="Y314" i="48"/>
  <c r="O314" i="48" s="1"/>
  <c r="AN314" i="48"/>
  <c r="AO314" i="48"/>
  <c r="R314" i="48" s="1"/>
  <c r="AM292" i="21"/>
  <c r="AP293" i="12"/>
  <c r="AJ294" i="12"/>
  <c r="S313" i="48" l="1"/>
  <c r="AB314" i="48"/>
  <c r="AE314" i="48"/>
  <c r="W315" i="48" s="1"/>
  <c r="AO292" i="21"/>
  <c r="AN292" i="21"/>
  <c r="AM294" i="12"/>
  <c r="AC314" i="48" l="1"/>
  <c r="AD314" i="48" s="1"/>
  <c r="U314" i="48"/>
  <c r="X315" i="48"/>
  <c r="N315" i="48" s="1"/>
  <c r="AQ292" i="21"/>
  <c r="AJ293" i="21" s="1"/>
  <c r="AP292" i="21"/>
  <c r="AO294" i="12"/>
  <c r="AQ294" i="12" s="1"/>
  <c r="AN294" i="12"/>
  <c r="AP314" i="48" l="1"/>
  <c r="Y315" i="48"/>
  <c r="O315" i="48" s="1"/>
  <c r="AO315" i="48"/>
  <c r="R315" i="48" s="1"/>
  <c r="AN315" i="48"/>
  <c r="AM293" i="21"/>
  <c r="AP294" i="12"/>
  <c r="AJ295" i="12"/>
  <c r="S314" i="48" l="1"/>
  <c r="AB315" i="48"/>
  <c r="AE315" i="48"/>
  <c r="W316" i="48" s="1"/>
  <c r="AO293" i="21"/>
  <c r="AN293" i="21"/>
  <c r="AM295" i="12"/>
  <c r="AC315" i="48" l="1"/>
  <c r="AD315" i="48" s="1"/>
  <c r="U315" i="48"/>
  <c r="X316" i="48"/>
  <c r="N316" i="48" s="1"/>
  <c r="AP293" i="21"/>
  <c r="AQ293" i="21"/>
  <c r="AJ294" i="21" s="1"/>
  <c r="AO295" i="12"/>
  <c r="AQ295" i="12" s="1"/>
  <c r="AN295" i="12"/>
  <c r="AP315" i="48" l="1"/>
  <c r="Y316" i="48"/>
  <c r="O316" i="48" s="1"/>
  <c r="AN316" i="48"/>
  <c r="AO316" i="48"/>
  <c r="R316" i="48" s="1"/>
  <c r="AM294" i="21"/>
  <c r="AJ296" i="12"/>
  <c r="AP295" i="12"/>
  <c r="S315" i="48" l="1"/>
  <c r="AB316" i="48"/>
  <c r="AE316" i="48"/>
  <c r="W317" i="48" s="1"/>
  <c r="AO294" i="21"/>
  <c r="AN294" i="21"/>
  <c r="AM296" i="12"/>
  <c r="AC316" i="48" l="1"/>
  <c r="AD316" i="48" s="1"/>
  <c r="U316" i="48"/>
  <c r="X317" i="48"/>
  <c r="N317" i="48" s="1"/>
  <c r="AQ294" i="21"/>
  <c r="AJ295" i="21" s="1"/>
  <c r="AP294" i="21"/>
  <c r="AO296" i="12"/>
  <c r="AQ296" i="12" s="1"/>
  <c r="AN296" i="12"/>
  <c r="AP316" i="48" l="1"/>
  <c r="Y317" i="48"/>
  <c r="O317" i="48" s="1"/>
  <c r="AN317" i="48"/>
  <c r="AO317" i="48"/>
  <c r="R317" i="48" s="1"/>
  <c r="AM295" i="21"/>
  <c r="AP296" i="12"/>
  <c r="AJ297" i="12"/>
  <c r="S316" i="48" l="1"/>
  <c r="AB317" i="48"/>
  <c r="AE317" i="48"/>
  <c r="W318" i="48" s="1"/>
  <c r="AO295" i="21"/>
  <c r="AN295" i="21"/>
  <c r="AM297" i="12"/>
  <c r="AC317" i="48" l="1"/>
  <c r="AD317" i="48" s="1"/>
  <c r="U317" i="48"/>
  <c r="X318" i="48"/>
  <c r="N318" i="48" s="1"/>
  <c r="AP295" i="21"/>
  <c r="AQ295" i="21"/>
  <c r="AJ296" i="21" s="1"/>
  <c r="AO297" i="12"/>
  <c r="AQ297" i="12" s="1"/>
  <c r="AN297" i="12"/>
  <c r="AP317" i="48" l="1"/>
  <c r="Y318" i="48"/>
  <c r="O318" i="48" s="1"/>
  <c r="AO318" i="48"/>
  <c r="R318" i="48" s="1"/>
  <c r="AN318" i="48"/>
  <c r="AM296" i="21"/>
  <c r="AJ298" i="12"/>
  <c r="AP297" i="12"/>
  <c r="S317" i="48" l="1"/>
  <c r="AB318" i="48"/>
  <c r="AE318" i="48"/>
  <c r="W319" i="48" s="1"/>
  <c r="AO296" i="21"/>
  <c r="AN296" i="21"/>
  <c r="AM298" i="12"/>
  <c r="AC318" i="48" l="1"/>
  <c r="AD318" i="48" s="1"/>
  <c r="U318" i="48"/>
  <c r="X319" i="48"/>
  <c r="N319" i="48" s="1"/>
  <c r="AQ296" i="21"/>
  <c r="AJ297" i="21" s="1"/>
  <c r="AP296" i="21"/>
  <c r="AO298" i="12"/>
  <c r="AQ298" i="12" s="1"/>
  <c r="AN298" i="12"/>
  <c r="AP318" i="48" l="1"/>
  <c r="Y319" i="48"/>
  <c r="O319" i="48" s="1"/>
  <c r="AO319" i="48"/>
  <c r="R319" i="48" s="1"/>
  <c r="AN319" i="48"/>
  <c r="AM297" i="21"/>
  <c r="AP298" i="12"/>
  <c r="AJ299" i="12"/>
  <c r="S318" i="48" l="1"/>
  <c r="AB319" i="48"/>
  <c r="AE319" i="48"/>
  <c r="W320" i="48" s="1"/>
  <c r="AO297" i="21"/>
  <c r="AN297" i="21"/>
  <c r="AM299" i="12"/>
  <c r="AC319" i="48" l="1"/>
  <c r="AD319" i="48" s="1"/>
  <c r="U319" i="48"/>
  <c r="X320" i="48"/>
  <c r="N320" i="48" s="1"/>
  <c r="AP297" i="21"/>
  <c r="AQ297" i="21"/>
  <c r="AJ298" i="21" s="1"/>
  <c r="AO299" i="12"/>
  <c r="AQ299" i="12" s="1"/>
  <c r="AN299" i="12"/>
  <c r="AP319" i="48" l="1"/>
  <c r="Y320" i="48"/>
  <c r="O320" i="48" s="1"/>
  <c r="AN320" i="48"/>
  <c r="AO320" i="48"/>
  <c r="R320" i="48" s="1"/>
  <c r="AM298" i="21"/>
  <c r="AJ300" i="12"/>
  <c r="AP299" i="12"/>
  <c r="S319" i="48" l="1"/>
  <c r="AB320" i="48"/>
  <c r="AE320" i="48"/>
  <c r="W321" i="48" s="1"/>
  <c r="AO298" i="21"/>
  <c r="AN298" i="21"/>
  <c r="AM300" i="12"/>
  <c r="AC320" i="48" l="1"/>
  <c r="AD320" i="48" s="1"/>
  <c r="U320" i="48"/>
  <c r="X321" i="48"/>
  <c r="N321" i="48" s="1"/>
  <c r="AQ298" i="21"/>
  <c r="AJ299" i="21" s="1"/>
  <c r="AP298" i="21"/>
  <c r="AO300" i="12"/>
  <c r="AQ300" i="12" s="1"/>
  <c r="AN300" i="12"/>
  <c r="AP320" i="48" l="1"/>
  <c r="Y321" i="48"/>
  <c r="O321" i="48" s="1"/>
  <c r="AO321" i="48"/>
  <c r="R321" i="48" s="1"/>
  <c r="AN321" i="48"/>
  <c r="AM299" i="21"/>
  <c r="AP300" i="12"/>
  <c r="AJ301" i="12"/>
  <c r="S320" i="48" l="1"/>
  <c r="AB321" i="48"/>
  <c r="AE321" i="48"/>
  <c r="W322" i="48" s="1"/>
  <c r="AO299" i="21"/>
  <c r="AN299" i="21"/>
  <c r="AM301" i="12"/>
  <c r="AC321" i="48" l="1"/>
  <c r="AD321" i="48" s="1"/>
  <c r="U321" i="48"/>
  <c r="X322" i="48"/>
  <c r="N322" i="48" s="1"/>
  <c r="AP299" i="21"/>
  <c r="AQ299" i="21"/>
  <c r="AJ300" i="21" s="1"/>
  <c r="AO301" i="12"/>
  <c r="AQ301" i="12" s="1"/>
  <c r="AN301" i="12"/>
  <c r="AP321" i="48" l="1"/>
  <c r="Y322" i="48"/>
  <c r="O322" i="48" s="1"/>
  <c r="AN322" i="48"/>
  <c r="AO322" i="48"/>
  <c r="R322" i="48" s="1"/>
  <c r="AM300" i="21"/>
  <c r="AJ302" i="12"/>
  <c r="AP301" i="12"/>
  <c r="S321" i="48" l="1"/>
  <c r="AB322" i="48"/>
  <c r="AE322" i="48"/>
  <c r="W323" i="48" s="1"/>
  <c r="AO300" i="21"/>
  <c r="AN300" i="21"/>
  <c r="AM302" i="12"/>
  <c r="E22" i="12" s="1"/>
  <c r="AC322" i="48" l="1"/>
  <c r="AD322" i="48" s="1"/>
  <c r="U322" i="48"/>
  <c r="X323" i="48"/>
  <c r="N323" i="48" s="1"/>
  <c r="AQ300" i="21"/>
  <c r="AJ301" i="21" s="1"/>
  <c r="AP300" i="21"/>
  <c r="E11" i="12"/>
  <c r="E12" i="12"/>
  <c r="E13" i="12"/>
  <c r="E14" i="12"/>
  <c r="E15" i="12"/>
  <c r="E16" i="12"/>
  <c r="E17" i="12"/>
  <c r="E18" i="12"/>
  <c r="E19" i="12"/>
  <c r="E20" i="12"/>
  <c r="E21" i="12"/>
  <c r="AO302" i="12"/>
  <c r="AQ302" i="12" s="1"/>
  <c r="AN302" i="12"/>
  <c r="AP322" i="48" l="1"/>
  <c r="Y323" i="48"/>
  <c r="O323" i="48" s="1"/>
  <c r="AO323" i="48"/>
  <c r="R323" i="48" s="1"/>
  <c r="AN323" i="48"/>
  <c r="AM301" i="21"/>
  <c r="E27" i="12"/>
  <c r="AP302" i="12"/>
  <c r="S322" i="48" l="1"/>
  <c r="AB323" i="48"/>
  <c r="AE323" i="48"/>
  <c r="W324" i="48" s="1"/>
  <c r="AO301" i="21"/>
  <c r="AN301" i="21"/>
  <c r="AC323" i="48" l="1"/>
  <c r="AD323" i="48" s="1"/>
  <c r="U323" i="48"/>
  <c r="X324" i="48"/>
  <c r="N324" i="48" s="1"/>
  <c r="AP301" i="21"/>
  <c r="AQ301" i="21"/>
  <c r="AJ302" i="21" s="1"/>
  <c r="AP323" i="48" l="1"/>
  <c r="Y324" i="48"/>
  <c r="O324" i="48" s="1"/>
  <c r="AN324" i="48"/>
  <c r="AO324" i="48"/>
  <c r="R324" i="48" s="1"/>
  <c r="AM302" i="21"/>
  <c r="S323" i="48" l="1"/>
  <c r="AB324" i="48"/>
  <c r="AE324" i="48"/>
  <c r="W325" i="48" s="1"/>
  <c r="AO302" i="21"/>
  <c r="E11" i="21"/>
  <c r="E12" i="21"/>
  <c r="E13" i="21"/>
  <c r="E14" i="21"/>
  <c r="E15" i="21"/>
  <c r="E16" i="21"/>
  <c r="E17" i="21"/>
  <c r="E18" i="21"/>
  <c r="E19" i="21"/>
  <c r="E20" i="21"/>
  <c r="E21" i="21"/>
  <c r="E22" i="21"/>
  <c r="AN302" i="21"/>
  <c r="AC324" i="48" l="1"/>
  <c r="AD324" i="48" s="1"/>
  <c r="U324" i="48"/>
  <c r="X325" i="48"/>
  <c r="N325" i="48" s="1"/>
  <c r="E27" i="21"/>
  <c r="AQ302" i="21"/>
  <c r="AP302" i="21"/>
  <c r="AP324" i="48" l="1"/>
  <c r="S324" i="48" s="1"/>
  <c r="Y325" i="48"/>
  <c r="O325" i="48" s="1"/>
  <c r="AO325" i="48"/>
  <c r="R325" i="48" s="1"/>
  <c r="AN325" i="48"/>
  <c r="AB325" i="48" l="1"/>
  <c r="AE325" i="48"/>
  <c r="W326" i="48" s="1"/>
  <c r="AC325" i="48" l="1"/>
  <c r="AD325" i="48" s="1"/>
  <c r="U325" i="48"/>
  <c r="X326" i="48"/>
  <c r="N326" i="48" s="1"/>
  <c r="AP325" i="48" l="1"/>
  <c r="Y326" i="48"/>
  <c r="O326" i="48" s="1"/>
  <c r="AN326" i="48"/>
  <c r="AO326" i="48"/>
  <c r="R326" i="48" s="1"/>
  <c r="S325" i="48" l="1"/>
  <c r="AB326" i="48"/>
  <c r="AE326" i="48"/>
  <c r="W327" i="48" s="1"/>
  <c r="AC326" i="48" l="1"/>
  <c r="AD326" i="48" s="1"/>
  <c r="U326" i="48"/>
  <c r="X327" i="48"/>
  <c r="N327" i="48" s="1"/>
  <c r="AP326" i="48" l="1"/>
  <c r="Y327" i="48"/>
  <c r="O327" i="48" s="1"/>
  <c r="AO327" i="48"/>
  <c r="R327" i="48" s="1"/>
  <c r="AN327" i="48"/>
  <c r="S326" i="48" l="1"/>
  <c r="AB327" i="48"/>
  <c r="AE327" i="48"/>
  <c r="W328" i="48" s="1"/>
  <c r="AC327" i="48" l="1"/>
  <c r="AD327" i="48" s="1"/>
  <c r="U327" i="48"/>
  <c r="X328" i="48"/>
  <c r="N328" i="48" s="1"/>
  <c r="AP327" i="48" l="1"/>
  <c r="S327" i="48" s="1"/>
  <c r="Y328" i="48"/>
  <c r="O328" i="48" s="1"/>
  <c r="AN328" i="48"/>
  <c r="AO328" i="48"/>
  <c r="R328" i="48" s="1"/>
  <c r="AB328" i="48" l="1"/>
  <c r="AE328" i="48"/>
  <c r="W329" i="48" s="1"/>
  <c r="AC328" i="48" l="1"/>
  <c r="AD328" i="48" s="1"/>
  <c r="U328" i="48"/>
  <c r="X329" i="48"/>
  <c r="N329" i="48" s="1"/>
  <c r="AP328" i="48" l="1"/>
  <c r="S328" i="48" s="1"/>
  <c r="Y329" i="48"/>
  <c r="O329" i="48" s="1"/>
  <c r="AO329" i="48"/>
  <c r="R329" i="48" s="1"/>
  <c r="AN329" i="48"/>
  <c r="AB329" i="48" l="1"/>
  <c r="AE329" i="48"/>
  <c r="W330" i="48" s="1"/>
  <c r="AC329" i="48" l="1"/>
  <c r="AD329" i="48" s="1"/>
  <c r="U329" i="48"/>
  <c r="X330" i="48"/>
  <c r="N330" i="48" s="1"/>
  <c r="AP329" i="48" l="1"/>
  <c r="S329" i="48" s="1"/>
  <c r="Y330" i="48"/>
  <c r="O330" i="48" s="1"/>
  <c r="AN330" i="48"/>
  <c r="AO330" i="48"/>
  <c r="R330" i="48" s="1"/>
  <c r="AB330" i="48" l="1"/>
  <c r="AE330" i="48"/>
  <c r="W331" i="48" s="1"/>
  <c r="AC330" i="48" l="1"/>
  <c r="AD330" i="48" s="1"/>
  <c r="AP330" i="48" s="1"/>
  <c r="S330" i="48" s="1"/>
  <c r="U330" i="48"/>
  <c r="X331" i="48"/>
  <c r="N331" i="48" s="1"/>
  <c r="Y331" i="48" l="1"/>
  <c r="O331" i="48" s="1"/>
  <c r="AN331" i="48"/>
  <c r="AO331" i="48"/>
  <c r="R331" i="48" s="1"/>
  <c r="AB331" i="48" l="1"/>
  <c r="AE331" i="48"/>
  <c r="W332" i="48" s="1"/>
  <c r="AC331" i="48" l="1"/>
  <c r="AD331" i="48" s="1"/>
  <c r="AP331" i="48" s="1"/>
  <c r="S331" i="48" s="1"/>
  <c r="U331" i="48"/>
  <c r="X332" i="48"/>
  <c r="N332" i="48" s="1"/>
  <c r="Y332" i="48" l="1"/>
  <c r="O332" i="48" s="1"/>
  <c r="AO332" i="48"/>
  <c r="R332" i="48" s="1"/>
  <c r="AN332" i="48"/>
  <c r="AB332" i="48" l="1"/>
  <c r="AE332" i="48"/>
  <c r="W333" i="48" s="1"/>
  <c r="AC332" i="48" l="1"/>
  <c r="AD332" i="48" s="1"/>
  <c r="AP332" i="48" s="1"/>
  <c r="S332" i="48" s="1"/>
  <c r="U332" i="48"/>
  <c r="X333" i="48"/>
  <c r="N333" i="48" s="1"/>
  <c r="Y333" i="48" l="1"/>
  <c r="O333" i="48" s="1"/>
  <c r="AN333" i="48"/>
  <c r="AO333" i="48"/>
  <c r="R333" i="48" s="1"/>
  <c r="AB333" i="48" l="1"/>
  <c r="AE333" i="48"/>
  <c r="W334" i="48" s="1"/>
  <c r="AC333" i="48" l="1"/>
  <c r="AD333" i="48" s="1"/>
  <c r="AP333" i="48" s="1"/>
  <c r="S333" i="48" s="1"/>
  <c r="U333" i="48"/>
  <c r="X334" i="48"/>
  <c r="N334" i="48" s="1"/>
  <c r="Y334" i="48" l="1"/>
  <c r="O334" i="48" s="1"/>
  <c r="AO334" i="48"/>
  <c r="R334" i="48" s="1"/>
  <c r="AN334" i="48"/>
  <c r="AB334" i="48" l="1"/>
  <c r="AE334" i="48"/>
  <c r="W335" i="48" s="1"/>
  <c r="AC334" i="48" l="1"/>
  <c r="AD334" i="48" s="1"/>
  <c r="AP334" i="48" s="1"/>
  <c r="S334" i="48" s="1"/>
  <c r="U334" i="48"/>
  <c r="X335" i="48"/>
  <c r="N335" i="48" s="1"/>
  <c r="Y335" i="48" l="1"/>
  <c r="O335" i="48" s="1"/>
  <c r="AO335" i="48"/>
  <c r="R335" i="48" s="1"/>
  <c r="AN335" i="48"/>
  <c r="AB335" i="48" l="1"/>
  <c r="AE335" i="48"/>
  <c r="W336" i="48" s="1"/>
  <c r="AC335" i="48" l="1"/>
  <c r="AD335" i="48" s="1"/>
  <c r="AP335" i="48" s="1"/>
  <c r="S335" i="48" s="1"/>
  <c r="U335" i="48"/>
  <c r="X336" i="48"/>
  <c r="N336" i="48" s="1"/>
  <c r="Y336" i="48" l="1"/>
  <c r="O336" i="48" s="1"/>
  <c r="AO336" i="48"/>
  <c r="R336" i="48" s="1"/>
  <c r="AN336" i="48"/>
  <c r="AB336" i="48" l="1"/>
  <c r="AE336" i="48"/>
  <c r="W337" i="48" s="1"/>
  <c r="AC336" i="48" l="1"/>
  <c r="AD336" i="48" s="1"/>
  <c r="AP336" i="48" s="1"/>
  <c r="S336" i="48" s="1"/>
  <c r="U336" i="48"/>
  <c r="X337" i="48"/>
  <c r="N337" i="48" s="1"/>
  <c r="Y337" i="48" l="1"/>
  <c r="O337" i="48" s="1"/>
  <c r="AN337" i="48"/>
  <c r="AO337" i="48"/>
  <c r="R337" i="48" s="1"/>
  <c r="AB337" i="48" l="1"/>
  <c r="AE337" i="48"/>
  <c r="W338" i="48" s="1"/>
  <c r="AC337" i="48" l="1"/>
  <c r="AD337" i="48" s="1"/>
  <c r="AP337" i="48" s="1"/>
  <c r="S337" i="48" s="1"/>
  <c r="U337" i="48"/>
  <c r="X338" i="48"/>
  <c r="N338" i="48" s="1"/>
  <c r="Y338" i="48" l="1"/>
  <c r="O338" i="48" s="1"/>
  <c r="AO338" i="48"/>
  <c r="R338" i="48" s="1"/>
  <c r="AN338" i="48"/>
  <c r="AB338" i="48" l="1"/>
  <c r="AE338" i="48"/>
  <c r="W339" i="48" s="1"/>
  <c r="AC338" i="48" l="1"/>
  <c r="AD338" i="48" s="1"/>
  <c r="AP338" i="48" s="1"/>
  <c r="S338" i="48" s="1"/>
  <c r="U338" i="48"/>
  <c r="X339" i="48"/>
  <c r="N339" i="48" s="1"/>
  <c r="Y339" i="48" l="1"/>
  <c r="O339" i="48" s="1"/>
  <c r="AN339" i="48"/>
  <c r="AO339" i="48"/>
  <c r="R339" i="48" s="1"/>
  <c r="AB339" i="48" l="1"/>
  <c r="AE339" i="48"/>
  <c r="W340" i="48" s="1"/>
  <c r="AC339" i="48" l="1"/>
  <c r="AD339" i="48" s="1"/>
  <c r="AP339" i="48" s="1"/>
  <c r="S339" i="48" s="1"/>
  <c r="U339" i="48"/>
  <c r="X340" i="48"/>
  <c r="N340" i="48" s="1"/>
  <c r="Y340" i="48" l="1"/>
  <c r="O340" i="48" s="1"/>
  <c r="AO340" i="48"/>
  <c r="R340" i="48" s="1"/>
  <c r="AN340" i="48"/>
  <c r="AB340" i="48" l="1"/>
  <c r="AE340" i="48"/>
  <c r="W341" i="48" s="1"/>
  <c r="AC340" i="48" l="1"/>
  <c r="AD340" i="48" s="1"/>
  <c r="AP340" i="48" s="1"/>
  <c r="S340" i="48" s="1"/>
  <c r="U340" i="48"/>
  <c r="X341" i="48"/>
  <c r="N341" i="48" s="1"/>
  <c r="Y341" i="48" l="1"/>
  <c r="O341" i="48" s="1"/>
  <c r="AO341" i="48"/>
  <c r="R341" i="48" s="1"/>
  <c r="AN341" i="48"/>
  <c r="AB341" i="48" l="1"/>
  <c r="AE341" i="48"/>
  <c r="W342" i="48" s="1"/>
  <c r="AC341" i="48" l="1"/>
  <c r="AD341" i="48" s="1"/>
  <c r="AP341" i="48" s="1"/>
  <c r="S341" i="48" s="1"/>
  <c r="U341" i="48"/>
  <c r="X342" i="48"/>
  <c r="N342" i="48" s="1"/>
  <c r="Y342" i="48" l="1"/>
  <c r="O342" i="48" s="1"/>
  <c r="AO342" i="48"/>
  <c r="R342" i="48" s="1"/>
  <c r="AN342" i="48"/>
  <c r="AB342" i="48" l="1"/>
  <c r="AE342" i="48"/>
  <c r="W343" i="48" s="1"/>
  <c r="AC342" i="48" l="1"/>
  <c r="AD342" i="48" s="1"/>
  <c r="AP342" i="48" s="1"/>
  <c r="S342" i="48" s="1"/>
  <c r="U342" i="48"/>
  <c r="X343" i="48"/>
  <c r="N343" i="48" s="1"/>
  <c r="Y343" i="48" l="1"/>
  <c r="O343" i="48" s="1"/>
  <c r="AO343" i="48"/>
  <c r="R343" i="48" s="1"/>
  <c r="AN343" i="48"/>
  <c r="AB343" i="48" l="1"/>
  <c r="AE343" i="48"/>
  <c r="W344" i="48" s="1"/>
  <c r="AC343" i="48" l="1"/>
  <c r="AD343" i="48" s="1"/>
  <c r="AP343" i="48" s="1"/>
  <c r="S343" i="48" s="1"/>
  <c r="U343" i="48"/>
  <c r="X344" i="48"/>
  <c r="N344" i="48" s="1"/>
  <c r="Y344" i="48" l="1"/>
  <c r="O344" i="48" s="1"/>
  <c r="AN344" i="48"/>
  <c r="AO344" i="48"/>
  <c r="R344" i="48" s="1"/>
  <c r="AB344" i="48" l="1"/>
  <c r="AE344" i="48"/>
  <c r="W345" i="48" s="1"/>
  <c r="AC344" i="48" l="1"/>
  <c r="AD344" i="48" s="1"/>
  <c r="AP344" i="48" s="1"/>
  <c r="S344" i="48" s="1"/>
  <c r="U344" i="48"/>
  <c r="X345" i="48"/>
  <c r="N345" i="48" s="1"/>
  <c r="Y345" i="48" l="1"/>
  <c r="O345" i="48" s="1"/>
  <c r="AO345" i="48"/>
  <c r="R345" i="48" s="1"/>
  <c r="AN345" i="48"/>
  <c r="AB345" i="48" l="1"/>
  <c r="AE345" i="48"/>
  <c r="W346" i="48" s="1"/>
  <c r="AC345" i="48" l="1"/>
  <c r="AD345" i="48" s="1"/>
  <c r="AP345" i="48" s="1"/>
  <c r="S345" i="48" s="1"/>
  <c r="U345" i="48"/>
  <c r="X346" i="48"/>
  <c r="N346" i="48" s="1"/>
  <c r="Y346" i="48" l="1"/>
  <c r="O346" i="48" s="1"/>
  <c r="AN346" i="48"/>
  <c r="AO346" i="48"/>
  <c r="R346" i="48" s="1"/>
  <c r="AB346" i="48" l="1"/>
  <c r="AE346" i="48"/>
  <c r="W347" i="48" s="1"/>
  <c r="Y347" i="48" s="1"/>
  <c r="O347" i="48" s="1"/>
  <c r="AC346" i="48" l="1"/>
  <c r="AD346" i="48" s="1"/>
  <c r="AP346" i="48" s="1"/>
  <c r="S346" i="48" s="1"/>
  <c r="U346" i="48"/>
  <c r="X347" i="48"/>
  <c r="N347" i="48" s="1"/>
  <c r="AO347" i="48" l="1"/>
  <c r="R347" i="48" s="1"/>
  <c r="AN347" i="48"/>
  <c r="AB347" i="48" l="1"/>
  <c r="AE347" i="48"/>
  <c r="W348" i="48" s="1"/>
  <c r="Y348" i="48" s="1"/>
  <c r="O348" i="48" s="1"/>
  <c r="AC347" i="48" l="1"/>
  <c r="AD347" i="48" s="1"/>
  <c r="AP347" i="48" s="1"/>
  <c r="S347" i="48" s="1"/>
  <c r="U347" i="48"/>
  <c r="X348" i="48"/>
  <c r="N348" i="48" s="1"/>
  <c r="AN348" i="48" l="1"/>
  <c r="AO348" i="48"/>
  <c r="R348" i="48" s="1"/>
  <c r="AB348" i="48" l="1"/>
  <c r="AE348" i="48"/>
  <c r="W349" i="48" s="1"/>
  <c r="Y349" i="48" s="1"/>
  <c r="O349" i="48" s="1"/>
  <c r="AC348" i="48" l="1"/>
  <c r="AD348" i="48" s="1"/>
  <c r="AP348" i="48" s="1"/>
  <c r="S348" i="48" s="1"/>
  <c r="U348" i="48"/>
  <c r="X349" i="48"/>
  <c r="N349" i="48" s="1"/>
  <c r="AO349" i="48" l="1"/>
  <c r="R349" i="48" s="1"/>
  <c r="AN349" i="48"/>
  <c r="AB349" i="48" l="1"/>
  <c r="AE349" i="48"/>
  <c r="W350" i="48" s="1"/>
  <c r="Y350" i="48" s="1"/>
  <c r="O350" i="48" s="1"/>
  <c r="AC349" i="48" l="1"/>
  <c r="AD349" i="48" s="1"/>
  <c r="AP349" i="48" s="1"/>
  <c r="S349" i="48" s="1"/>
  <c r="U349" i="48"/>
  <c r="X350" i="48"/>
  <c r="N350" i="48" s="1"/>
  <c r="AO350" i="48" l="1"/>
  <c r="R350" i="48" s="1"/>
  <c r="AN350" i="48"/>
  <c r="AB350" i="48" l="1"/>
  <c r="AE350" i="48"/>
  <c r="W351" i="48" s="1"/>
  <c r="Y351" i="48" s="1"/>
  <c r="O351" i="48" s="1"/>
  <c r="AC350" i="48" l="1"/>
  <c r="AD350" i="48" s="1"/>
  <c r="AP350" i="48" s="1"/>
  <c r="S350" i="48" s="1"/>
  <c r="U350" i="48"/>
  <c r="X351" i="48"/>
  <c r="N351" i="48" s="1"/>
  <c r="AO351" i="48" l="1"/>
  <c r="R351" i="48" s="1"/>
  <c r="AN351" i="48"/>
  <c r="AB351" i="48" l="1"/>
  <c r="AE351" i="48"/>
  <c r="W352" i="48" s="1"/>
  <c r="Y352" i="48" s="1"/>
  <c r="O352" i="48" s="1"/>
  <c r="AC351" i="48" l="1"/>
  <c r="AD351" i="48" s="1"/>
  <c r="AP351" i="48" s="1"/>
  <c r="S351" i="48" s="1"/>
  <c r="U351" i="48"/>
  <c r="X352" i="48"/>
  <c r="N352" i="48" s="1"/>
  <c r="AN352" i="48" l="1"/>
  <c r="AO352" i="48"/>
  <c r="R352" i="48" s="1"/>
  <c r="AB352" i="48" l="1"/>
  <c r="AE352" i="48"/>
  <c r="W353" i="48" s="1"/>
  <c r="Y353" i="48" s="1"/>
  <c r="O353" i="48" s="1"/>
  <c r="AC352" i="48" l="1"/>
  <c r="AD352" i="48" s="1"/>
  <c r="AP352" i="48" s="1"/>
  <c r="S352" i="48" s="1"/>
  <c r="U352" i="48"/>
  <c r="X353" i="48"/>
  <c r="N353" i="48" s="1"/>
  <c r="AO353" i="48" l="1"/>
  <c r="R353" i="48" s="1"/>
  <c r="AN353" i="48"/>
  <c r="AB353" i="48" l="1"/>
  <c r="AE353" i="48"/>
  <c r="W354" i="48" s="1"/>
  <c r="Y354" i="48" s="1"/>
  <c r="O354" i="48" s="1"/>
  <c r="AC353" i="48" l="1"/>
  <c r="AD353" i="48" s="1"/>
  <c r="AP353" i="48" s="1"/>
  <c r="S353" i="48" s="1"/>
  <c r="U353" i="48"/>
  <c r="X354" i="48"/>
  <c r="N354" i="48" s="1"/>
  <c r="AN354" i="48" l="1"/>
  <c r="AO354" i="48"/>
  <c r="R354" i="48" s="1"/>
  <c r="C39" i="20"/>
  <c r="C41" i="8"/>
  <c r="AB354" i="48" l="1"/>
  <c r="AE354" i="48"/>
  <c r="W355" i="48" s="1"/>
  <c r="Y355" i="48" s="1"/>
  <c r="O355" i="48" s="1"/>
  <c r="AC354" i="48" l="1"/>
  <c r="AD354" i="48" s="1"/>
  <c r="AP354" i="48" s="1"/>
  <c r="S354" i="48" s="1"/>
  <c r="U354" i="48"/>
  <c r="X355" i="48"/>
  <c r="N355" i="48" s="1"/>
  <c r="AO355" i="48" l="1"/>
  <c r="R355" i="48" s="1"/>
  <c r="AN355" i="48"/>
  <c r="AB355" i="48" l="1"/>
  <c r="AE355" i="48"/>
  <c r="W356" i="48" s="1"/>
  <c r="Y356" i="48" s="1"/>
  <c r="O356" i="48" s="1"/>
  <c r="AC355" i="48" l="1"/>
  <c r="AD355" i="48" s="1"/>
  <c r="AP355" i="48" s="1"/>
  <c r="S355" i="48" s="1"/>
  <c r="U355" i="48"/>
  <c r="X356" i="48"/>
  <c r="N356" i="48" s="1"/>
  <c r="AN356" i="48" l="1"/>
  <c r="AO356" i="48"/>
  <c r="R356" i="48" s="1"/>
  <c r="AB356" i="48" l="1"/>
  <c r="AE356" i="48"/>
  <c r="W357" i="48" s="1"/>
  <c r="Y357" i="48" s="1"/>
  <c r="O357" i="48" s="1"/>
  <c r="AC356" i="48" l="1"/>
  <c r="AD356" i="48" s="1"/>
  <c r="AP356" i="48" s="1"/>
  <c r="S356" i="48" s="1"/>
  <c r="U356" i="48"/>
  <c r="X357" i="48"/>
  <c r="N357" i="48" s="1"/>
  <c r="AO357" i="48" l="1"/>
  <c r="R357" i="48" s="1"/>
  <c r="AN357" i="48"/>
  <c r="AB357" i="48" l="1"/>
  <c r="AE357" i="48"/>
  <c r="W358" i="48" s="1"/>
  <c r="Y358" i="48" s="1"/>
  <c r="O358" i="48" s="1"/>
  <c r="AC357" i="48" l="1"/>
  <c r="AD357" i="48" s="1"/>
  <c r="AP357" i="48" s="1"/>
  <c r="S357" i="48" s="1"/>
  <c r="U357" i="48"/>
  <c r="X358" i="48"/>
  <c r="N358" i="48" s="1"/>
  <c r="AN358" i="48" l="1"/>
  <c r="AO358" i="48"/>
  <c r="R358" i="48" s="1"/>
  <c r="AB358" i="48" l="1"/>
  <c r="AE358" i="48"/>
  <c r="W359" i="48" s="1"/>
  <c r="Y359" i="48" s="1"/>
  <c r="O359" i="48" s="1"/>
  <c r="AC358" i="48" l="1"/>
  <c r="AD358" i="48" s="1"/>
  <c r="AP358" i="48" s="1"/>
  <c r="S358" i="48" s="1"/>
  <c r="U358" i="48"/>
  <c r="X359" i="48"/>
  <c r="N359" i="48" s="1"/>
  <c r="AO359" i="48" l="1"/>
  <c r="R359" i="48" s="1"/>
  <c r="AN359" i="48"/>
  <c r="AB359" i="48" l="1"/>
  <c r="AE359" i="48"/>
  <c r="W360" i="48" s="1"/>
  <c r="Y360" i="48" s="1"/>
  <c r="O360" i="48" s="1"/>
  <c r="AC359" i="48" l="1"/>
  <c r="AD359" i="48" s="1"/>
  <c r="AP359" i="48" s="1"/>
  <c r="S359" i="48" s="1"/>
  <c r="U359" i="48"/>
  <c r="X360" i="48"/>
  <c r="N360" i="48" s="1"/>
  <c r="AN360" i="48" l="1"/>
  <c r="AO360" i="48"/>
  <c r="R360" i="48" s="1"/>
  <c r="AB360" i="48" l="1"/>
  <c r="AE360" i="48"/>
  <c r="W361" i="48" s="1"/>
  <c r="Y361" i="48" s="1"/>
  <c r="O361" i="48" s="1"/>
  <c r="AC360" i="48" l="1"/>
  <c r="AD360" i="48" s="1"/>
  <c r="AP360" i="48" s="1"/>
  <c r="S360" i="48" s="1"/>
  <c r="U360" i="48"/>
  <c r="X361" i="48"/>
  <c r="N361" i="48" s="1"/>
  <c r="AO361" i="48" l="1"/>
  <c r="R361" i="48" s="1"/>
  <c r="AN361" i="48"/>
  <c r="AB361" i="48" l="1"/>
  <c r="AE361" i="48"/>
  <c r="W362" i="48" s="1"/>
  <c r="Y362" i="48" s="1"/>
  <c r="O362" i="48" s="1"/>
  <c r="AC361" i="48" l="1"/>
  <c r="AD361" i="48" s="1"/>
  <c r="AP361" i="48" s="1"/>
  <c r="S361" i="48" s="1"/>
  <c r="U361" i="48"/>
  <c r="X362" i="48"/>
  <c r="N362" i="48" s="1"/>
  <c r="AN362" i="48" l="1"/>
  <c r="AO362" i="48"/>
  <c r="R362" i="48" s="1"/>
  <c r="AB362" i="48" l="1"/>
  <c r="AE362" i="48"/>
  <c r="W363" i="48" s="1"/>
  <c r="Y363" i="48" s="1"/>
  <c r="O363" i="48" s="1"/>
  <c r="AC362" i="48" l="1"/>
  <c r="AD362" i="48" s="1"/>
  <c r="AP362" i="48" s="1"/>
  <c r="S362" i="48" s="1"/>
  <c r="U362" i="48"/>
  <c r="X363" i="48"/>
  <c r="N363" i="48" s="1"/>
  <c r="AO363" i="48" l="1"/>
  <c r="R363" i="48" s="1"/>
  <c r="AN363" i="48"/>
  <c r="AB363" i="48" l="1"/>
  <c r="AE363" i="48"/>
  <c r="W364" i="48" s="1"/>
  <c r="Y364" i="48" s="1"/>
  <c r="O364" i="48" s="1"/>
  <c r="AC363" i="48" l="1"/>
  <c r="AD363" i="48" s="1"/>
  <c r="AP363" i="48" s="1"/>
  <c r="S363" i="48" s="1"/>
  <c r="U363" i="48"/>
  <c r="X364" i="48"/>
  <c r="N364" i="48" s="1"/>
  <c r="AN364" i="48" l="1"/>
  <c r="AO364" i="48"/>
  <c r="R364" i="48" s="1"/>
  <c r="AB364" i="48" l="1"/>
  <c r="AE364" i="48"/>
  <c r="W365" i="48" s="1"/>
  <c r="Y365" i="48" s="1"/>
  <c r="O365" i="48" s="1"/>
  <c r="AC364" i="48" l="1"/>
  <c r="AD364" i="48" s="1"/>
  <c r="AP364" i="48" s="1"/>
  <c r="S364" i="48" s="1"/>
  <c r="U364" i="48"/>
  <c r="X365" i="48"/>
  <c r="N365" i="48" s="1"/>
  <c r="AO365" i="48" l="1"/>
  <c r="R365" i="48" s="1"/>
  <c r="AN365" i="48"/>
  <c r="AB365" i="48" l="1"/>
  <c r="AE365" i="48"/>
  <c r="W366" i="48" s="1"/>
  <c r="Y366" i="48" s="1"/>
  <c r="O366" i="48" s="1"/>
  <c r="AC365" i="48" l="1"/>
  <c r="AD365" i="48" s="1"/>
  <c r="AP365" i="48" s="1"/>
  <c r="S365" i="48" s="1"/>
  <c r="U365" i="48"/>
  <c r="X366" i="48"/>
  <c r="N366" i="48" s="1"/>
  <c r="AN366" i="48" l="1"/>
  <c r="AO366" i="48"/>
  <c r="R366" i="48" s="1"/>
  <c r="AB366" i="48" l="1"/>
  <c r="AE366" i="48"/>
  <c r="W367" i="48" s="1"/>
  <c r="Y367" i="48" s="1"/>
  <c r="O367" i="48" s="1"/>
  <c r="AC366" i="48" l="1"/>
  <c r="AD366" i="48" s="1"/>
  <c r="AP366" i="48" s="1"/>
  <c r="S366" i="48" s="1"/>
  <c r="U366" i="48"/>
  <c r="X367" i="48"/>
  <c r="N367" i="48" s="1"/>
  <c r="AO367" i="48" l="1"/>
  <c r="R367" i="48" s="1"/>
  <c r="AN367" i="48"/>
  <c r="AB367" i="48" l="1"/>
  <c r="AE367" i="48"/>
  <c r="W368" i="48" s="1"/>
  <c r="Y368" i="48" s="1"/>
  <c r="O368" i="48" s="1"/>
  <c r="AC367" i="48" l="1"/>
  <c r="AD367" i="48" s="1"/>
  <c r="AP367" i="48" s="1"/>
  <c r="S367" i="48" s="1"/>
  <c r="U367" i="48"/>
  <c r="X368" i="48"/>
  <c r="N368" i="48" s="1"/>
  <c r="AN368" i="48" l="1"/>
  <c r="AO368" i="48"/>
  <c r="R368" i="48" s="1"/>
  <c r="AB368" i="48" l="1"/>
  <c r="AE368" i="48"/>
  <c r="W369" i="48" s="1"/>
  <c r="Y369" i="48" s="1"/>
  <c r="O369" i="48" s="1"/>
  <c r="AC368" i="48" l="1"/>
  <c r="AD368" i="48" s="1"/>
  <c r="AP368" i="48" s="1"/>
  <c r="S368" i="48" s="1"/>
  <c r="U368" i="48"/>
  <c r="X369" i="48"/>
  <c r="N369" i="48" s="1"/>
  <c r="AO369" i="48" l="1"/>
  <c r="R369" i="48" s="1"/>
  <c r="AN369" i="48"/>
  <c r="AB369" i="48" l="1"/>
  <c r="AE369" i="48"/>
  <c r="W370" i="48" s="1"/>
  <c r="Y370" i="48" s="1"/>
  <c r="O370" i="48" s="1"/>
  <c r="AC369" i="48" l="1"/>
  <c r="AD369" i="48" s="1"/>
  <c r="AP369" i="48" s="1"/>
  <c r="S369" i="48" s="1"/>
  <c r="U369" i="48"/>
  <c r="X370" i="48"/>
  <c r="N370" i="48" s="1"/>
  <c r="AO370" i="48" l="1"/>
  <c r="R370" i="48" s="1"/>
  <c r="AN370" i="48"/>
  <c r="AB370" i="48" l="1"/>
  <c r="AE370" i="48"/>
  <c r="W371" i="48" s="1"/>
  <c r="Y371" i="48" s="1"/>
  <c r="O371" i="48" s="1"/>
  <c r="AC370" i="48" l="1"/>
  <c r="AD370" i="48" s="1"/>
  <c r="AP370" i="48" s="1"/>
  <c r="S370" i="48" s="1"/>
  <c r="U370" i="48"/>
  <c r="X371" i="48"/>
  <c r="N371" i="48" s="1"/>
  <c r="AN371" i="48" l="1"/>
  <c r="AO371" i="48"/>
  <c r="R371" i="48" s="1"/>
  <c r="AB371" i="48" l="1"/>
  <c r="AE371" i="48"/>
  <c r="W372" i="48" s="1"/>
  <c r="Y372" i="48" s="1"/>
  <c r="O372" i="48" s="1"/>
  <c r="AC371" i="48" l="1"/>
  <c r="AD371" i="48" s="1"/>
  <c r="AP371" i="48" s="1"/>
  <c r="S371" i="48" s="1"/>
  <c r="U371" i="48"/>
  <c r="X372" i="48"/>
  <c r="N372" i="48" s="1"/>
  <c r="AO372" i="48" l="1"/>
  <c r="R372" i="48" s="1"/>
  <c r="AN372" i="48"/>
  <c r="AB372" i="48" l="1"/>
  <c r="AE372" i="48"/>
  <c r="W373" i="48" s="1"/>
  <c r="Y373" i="48" s="1"/>
  <c r="O373" i="48" s="1"/>
  <c r="AC372" i="48" l="1"/>
  <c r="AD372" i="48" s="1"/>
  <c r="AP372" i="48" s="1"/>
  <c r="S372" i="48" s="1"/>
  <c r="U372" i="48"/>
  <c r="X373" i="48"/>
  <c r="N373" i="48" s="1"/>
  <c r="AN373" i="48" l="1"/>
  <c r="AO373" i="48"/>
  <c r="R373" i="48" s="1"/>
  <c r="AB373" i="48" l="1"/>
  <c r="AE373" i="48"/>
  <c r="W374" i="48" s="1"/>
  <c r="Y374" i="48" s="1"/>
  <c r="O374" i="48" s="1"/>
  <c r="AC373" i="48" l="1"/>
  <c r="AD373" i="48" s="1"/>
  <c r="AP373" i="48" s="1"/>
  <c r="S373" i="48" s="1"/>
  <c r="U373" i="48"/>
  <c r="X374" i="48"/>
  <c r="N374" i="48" s="1"/>
  <c r="AO374" i="48" l="1"/>
  <c r="R374" i="48" s="1"/>
  <c r="AN374" i="48"/>
  <c r="AB374" i="48" l="1"/>
  <c r="AE374" i="48"/>
  <c r="W375" i="48" s="1"/>
  <c r="Y375" i="48" s="1"/>
  <c r="O375" i="48" s="1"/>
  <c r="AC374" i="48" l="1"/>
  <c r="AD374" i="48" s="1"/>
  <c r="AP374" i="48" s="1"/>
  <c r="S374" i="48" s="1"/>
  <c r="U374" i="48"/>
  <c r="X375" i="48"/>
  <c r="N375" i="48" s="1"/>
  <c r="AN375" i="48" l="1"/>
  <c r="AO375" i="48"/>
  <c r="R375" i="48" s="1"/>
  <c r="AB375" i="48" l="1"/>
  <c r="AE375" i="48"/>
  <c r="W376" i="48" s="1"/>
  <c r="Y376" i="48" s="1"/>
  <c r="O376" i="48" s="1"/>
  <c r="AC375" i="48" l="1"/>
  <c r="AD375" i="48" s="1"/>
  <c r="AP375" i="48" s="1"/>
  <c r="S375" i="48" s="1"/>
  <c r="U375" i="48"/>
  <c r="X376" i="48"/>
  <c r="N376" i="48" s="1"/>
  <c r="AN376" i="48" l="1"/>
  <c r="AO376" i="48"/>
  <c r="R376" i="48" s="1"/>
  <c r="AB376" i="48" l="1"/>
  <c r="AE376" i="48"/>
  <c r="W377" i="48" s="1"/>
  <c r="Y377" i="48" s="1"/>
  <c r="O377" i="48" s="1"/>
  <c r="AC376" i="48" l="1"/>
  <c r="AD376" i="48" s="1"/>
  <c r="AP376" i="48" s="1"/>
  <c r="S376" i="48" s="1"/>
  <c r="U376" i="48"/>
  <c r="X377" i="48"/>
  <c r="N377" i="48" s="1"/>
  <c r="AO377" i="48" l="1"/>
  <c r="R377" i="48" s="1"/>
  <c r="AN377" i="48"/>
  <c r="AB377" i="48" l="1"/>
  <c r="AE377" i="48"/>
  <c r="W378" i="48" s="1"/>
  <c r="Y378" i="48" s="1"/>
  <c r="O378" i="48" s="1"/>
  <c r="U377" i="48" l="1"/>
  <c r="C30" i="50"/>
  <c r="C32" i="50" s="1"/>
  <c r="C31" i="50"/>
  <c r="C33" i="50" s="1"/>
  <c r="X378" i="48"/>
  <c r="N378" i="48" s="1"/>
  <c r="W17" i="45"/>
  <c r="AC377" i="48"/>
  <c r="AD377" i="48" s="1"/>
  <c r="AP377" i="48" s="1"/>
  <c r="S377" i="48" s="1"/>
  <c r="AL17" i="45" l="1"/>
  <c r="W18" i="53" s="1"/>
  <c r="AI17" i="45"/>
  <c r="Q17" i="60" s="1"/>
  <c r="AG17" i="45"/>
  <c r="AE378" i="48"/>
  <c r="AB378" i="48"/>
  <c r="C26" i="50"/>
  <c r="C28" i="50" s="1"/>
  <c r="V43" i="45"/>
  <c r="AA43" i="45" s="1"/>
  <c r="AN378" i="48"/>
  <c r="AO378" i="48"/>
  <c r="R378" i="48" s="1"/>
  <c r="Y18" i="53" l="1"/>
  <c r="Q18" i="53"/>
  <c r="AC378" i="48"/>
  <c r="AD378" i="48" s="1"/>
  <c r="AP378" i="48" s="1"/>
  <c r="S378" i="48" s="1"/>
  <c r="U378" i="48"/>
  <c r="Q17" i="45"/>
  <c r="Z27" i="45"/>
  <c r="Z28" i="45"/>
  <c r="Z29" i="45"/>
  <c r="Z30" i="45"/>
  <c r="Z31" i="45"/>
  <c r="Z32" i="45"/>
  <c r="Z33" i="45"/>
  <c r="Z34" i="45"/>
  <c r="Z35" i="45"/>
  <c r="Z36" i="45"/>
  <c r="Z37" i="45"/>
  <c r="Z38" i="45"/>
  <c r="Z39" i="45"/>
  <c r="Z40" i="45"/>
  <c r="Z41" i="45"/>
  <c r="Z42" i="45"/>
  <c r="Z43" i="45"/>
  <c r="Z44" i="45"/>
  <c r="Z45" i="45"/>
  <c r="Z46" i="45"/>
  <c r="Z47" i="45" l="1"/>
  <c r="C29" i="50" s="1"/>
  <c r="AG18" i="53"/>
  <c r="T18" i="53"/>
  <c r="AF22" i="55" l="1"/>
  <c r="AL22" i="55" s="1"/>
  <c r="AM22" i="55" s="1"/>
  <c r="AN22" i="55" s="1"/>
  <c r="R22" i="55" s="1"/>
  <c r="P18" i="53"/>
  <c r="J34" i="10" l="1"/>
  <c r="M35" i="10"/>
  <c r="L35" i="10"/>
  <c r="M38" i="10"/>
  <c r="L38" i="10"/>
  <c r="L36" i="10"/>
  <c r="M36" i="10"/>
  <c r="L34" i="10"/>
  <c r="M34" i="10"/>
  <c r="L37" i="10"/>
  <c r="M37" i="10"/>
  <c r="M33" i="10"/>
  <c r="L33" i="10"/>
  <c r="M32" i="10"/>
  <c r="L32" i="10"/>
  <c r="M30" i="10"/>
  <c r="L30" i="10"/>
  <c r="L31" i="10"/>
  <c r="M31" i="10"/>
  <c r="J32" i="10"/>
  <c r="J36" i="10"/>
  <c r="J30" i="10"/>
  <c r="J35" i="10"/>
  <c r="J33" i="10"/>
  <c r="J31" i="10"/>
  <c r="J38" i="10"/>
  <c r="J37" i="10"/>
  <c r="O33" i="10" l="1"/>
  <c r="N37" i="10"/>
  <c r="O38" i="10"/>
  <c r="O31" i="10"/>
  <c r="O36" i="10"/>
  <c r="N32" i="10"/>
  <c r="O35" i="10"/>
  <c r="N31" i="10"/>
  <c r="N36" i="10"/>
  <c r="O34" i="10"/>
  <c r="N30" i="10"/>
  <c r="N33" i="10"/>
  <c r="O30" i="10"/>
  <c r="O32" i="10"/>
  <c r="N38" i="10"/>
  <c r="O37" i="10"/>
  <c r="N35" i="10"/>
  <c r="N34" i="10"/>
  <c r="J29" i="10"/>
  <c r="N29" i="10" s="1"/>
  <c r="J22" i="10"/>
  <c r="J21" i="10"/>
  <c r="J25" i="10"/>
  <c r="M23" i="10"/>
  <c r="L23" i="10"/>
  <c r="J23" i="10"/>
  <c r="L26" i="10"/>
  <c r="M26" i="10"/>
  <c r="M25" i="10"/>
  <c r="M22" i="10"/>
  <c r="L22" i="10"/>
  <c r="M24" i="10"/>
  <c r="J24" i="10"/>
  <c r="J28" i="10"/>
  <c r="J26" i="10"/>
  <c r="J27" i="10"/>
  <c r="M28" i="10"/>
  <c r="L28" i="10"/>
  <c r="L21" i="10"/>
  <c r="M21" i="10"/>
  <c r="L27" i="10"/>
  <c r="M27" i="10"/>
  <c r="M29" i="10"/>
  <c r="N27" i="10" l="1"/>
  <c r="O26" i="10"/>
  <c r="O25" i="10"/>
  <c r="N25" i="10"/>
  <c r="O21" i="10"/>
  <c r="O24" i="10"/>
  <c r="O23" i="10"/>
  <c r="N28" i="10"/>
  <c r="N22" i="10"/>
  <c r="O22" i="10"/>
  <c r="N24" i="10"/>
  <c r="O27" i="10"/>
  <c r="N26" i="10"/>
  <c r="N23" i="10"/>
  <c r="N21" i="10"/>
  <c r="O28" i="10"/>
  <c r="O29" i="10"/>
  <c r="J20" i="10"/>
  <c r="M20" i="10"/>
  <c r="N20" i="10" l="1"/>
  <c r="O20" i="10"/>
  <c r="J21" i="36" l="1"/>
  <c r="J36" i="36"/>
  <c r="J28" i="36"/>
  <c r="J30" i="36"/>
  <c r="J34" i="36"/>
  <c r="J20" i="36"/>
  <c r="J23" i="36"/>
  <c r="J22" i="36"/>
  <c r="J29" i="36"/>
  <c r="J26" i="36"/>
  <c r="J24" i="36"/>
  <c r="J37" i="36"/>
  <c r="J31" i="36"/>
  <c r="J33" i="36"/>
  <c r="J39" i="36"/>
  <c r="J25" i="36"/>
  <c r="J32" i="36"/>
  <c r="M21" i="36"/>
  <c r="L21" i="36"/>
  <c r="L29" i="36"/>
  <c r="M29" i="36"/>
  <c r="L33" i="36"/>
  <c r="M33" i="36"/>
  <c r="M37" i="36"/>
  <c r="L37" i="36"/>
  <c r="L25" i="36"/>
  <c r="M25" i="36"/>
  <c r="M22" i="36"/>
  <c r="L22" i="36"/>
  <c r="M26" i="36"/>
  <c r="L26" i="36"/>
  <c r="M30" i="36"/>
  <c r="L30" i="36"/>
  <c r="M34" i="36"/>
  <c r="L34" i="36"/>
  <c r="J38" i="36"/>
  <c r="M38" i="36"/>
  <c r="L38" i="36"/>
  <c r="M39" i="36"/>
  <c r="L39" i="36"/>
  <c r="M24" i="36"/>
  <c r="L24" i="36"/>
  <c r="L32" i="36"/>
  <c r="M32" i="36"/>
  <c r="M28" i="36"/>
  <c r="L28" i="36"/>
  <c r="M36" i="36"/>
  <c r="L36" i="36"/>
  <c r="L23" i="36"/>
  <c r="M23" i="36"/>
  <c r="L27" i="36"/>
  <c r="J27" i="36"/>
  <c r="M27" i="36"/>
  <c r="M31" i="36"/>
  <c r="L31" i="36"/>
  <c r="J35" i="36"/>
  <c r="M35" i="36"/>
  <c r="L35" i="36"/>
  <c r="L20" i="36"/>
  <c r="M20" i="36"/>
  <c r="N21" i="36" l="1"/>
  <c r="O25" i="36"/>
  <c r="N25" i="36"/>
  <c r="O29" i="36"/>
  <c r="O35" i="36"/>
  <c r="O22" i="36"/>
  <c r="N23" i="36"/>
  <c r="N32" i="36"/>
  <c r="O32" i="36"/>
  <c r="N31" i="36"/>
  <c r="N39" i="36"/>
  <c r="N29" i="36"/>
  <c r="O39" i="36"/>
  <c r="N20" i="36"/>
  <c r="N27" i="36"/>
  <c r="O20" i="36"/>
  <c r="O34" i="36"/>
  <c r="N30" i="36"/>
  <c r="N33" i="36"/>
  <c r="N28" i="36"/>
  <c r="N38" i="36"/>
  <c r="O31" i="36"/>
  <c r="O28" i="36"/>
  <c r="N37" i="36"/>
  <c r="O36" i="36"/>
  <c r="N24" i="36"/>
  <c r="O21" i="36"/>
  <c r="N26" i="36"/>
  <c r="O27" i="36"/>
  <c r="O37" i="36"/>
  <c r="N36" i="36"/>
  <c r="N35" i="36"/>
  <c r="O38" i="36"/>
  <c r="O24" i="36"/>
  <c r="N22" i="36"/>
  <c r="N34" i="36"/>
  <c r="O33" i="36"/>
  <c r="O26" i="36"/>
  <c r="O23" i="36"/>
  <c r="O30" i="36"/>
  <c r="J40" i="36"/>
  <c r="K41" i="36" a="1"/>
  <c r="K41" i="36" s="1"/>
  <c r="L40" i="36"/>
  <c r="M40" i="36"/>
  <c r="O40" i="36" l="1"/>
  <c r="L41" i="36"/>
  <c r="J41" i="36"/>
  <c r="M41" i="36"/>
  <c r="K42" i="36" a="1"/>
  <c r="K42" i="36" s="1"/>
  <c r="N40" i="36"/>
  <c r="M42" i="36" l="1"/>
  <c r="J42" i="36"/>
  <c r="L42" i="36"/>
  <c r="N41" i="36"/>
  <c r="O41" i="36"/>
  <c r="K43" i="36" a="1"/>
  <c r="K43" i="36" s="1"/>
  <c r="J43" i="36" l="1"/>
  <c r="M43" i="36"/>
  <c r="L43" i="36"/>
  <c r="K44" i="36" a="1"/>
  <c r="K44" i="36" s="1"/>
  <c r="N42" i="36"/>
  <c r="O42" i="36"/>
  <c r="M44" i="36" l="1"/>
  <c r="L44" i="36"/>
  <c r="J44" i="36"/>
  <c r="O43" i="36"/>
  <c r="N43" i="36"/>
  <c r="N44" i="36" l="1"/>
  <c r="O44" i="36"/>
  <c r="J40" i="10" l="1"/>
  <c r="M40" i="10"/>
  <c r="L40" i="10"/>
  <c r="L43" i="10"/>
  <c r="J43" i="10"/>
  <c r="M43" i="10"/>
  <c r="J42" i="10"/>
  <c r="L42" i="10"/>
  <c r="M42" i="10"/>
  <c r="M41" i="10"/>
  <c r="J41" i="10"/>
  <c r="L41" i="10"/>
  <c r="AL48" i="45" l="1"/>
  <c r="W49" i="53" s="1"/>
  <c r="Q49" i="53" s="1"/>
  <c r="AL49" i="45" l="1"/>
  <c r="W50" i="53" s="1"/>
  <c r="Q50" i="53" s="1"/>
  <c r="AL50" i="45" l="1"/>
  <c r="W51" i="53" s="1"/>
  <c r="Q51" i="53" s="1"/>
  <c r="AL51" i="45" l="1"/>
  <c r="W52" i="53" s="1"/>
  <c r="Q52" i="53" s="1"/>
  <c r="AL52" i="45" l="1"/>
  <c r="W53" i="53" s="1"/>
  <c r="Q53" i="53" s="1"/>
  <c r="AL53" i="45" l="1"/>
  <c r="W54" i="53" s="1"/>
  <c r="Q54" i="53" s="1"/>
  <c r="AL54" i="45" l="1"/>
  <c r="W55" i="53" s="1"/>
  <c r="Q55" i="53" s="1"/>
  <c r="AL55" i="45" l="1"/>
  <c r="W56" i="53" s="1"/>
  <c r="Q56" i="53" s="1"/>
  <c r="AL56" i="45" l="1"/>
  <c r="W57" i="53" s="1"/>
  <c r="AL57" i="45" l="1"/>
  <c r="W58" i="53" s="1"/>
  <c r="AL58" i="45" l="1"/>
  <c r="W59" i="53" s="1"/>
  <c r="AL59" i="45" l="1"/>
  <c r="W60" i="53" s="1"/>
  <c r="AL60" i="45" l="1"/>
  <c r="W61" i="53" s="1"/>
  <c r="AL61" i="45" l="1"/>
  <c r="W62" i="53" s="1"/>
  <c r="AL62" i="45" l="1"/>
  <c r="W63" i="53" s="1"/>
  <c r="AL63" i="45" l="1"/>
  <c r="W64" i="53" s="1"/>
  <c r="AL64" i="45" l="1"/>
  <c r="W65" i="53" s="1"/>
  <c r="AL65" i="45" l="1"/>
  <c r="W66" i="53" s="1"/>
  <c r="AL66" i="45" l="1"/>
  <c r="W67" i="53" s="1"/>
  <c r="AL67" i="45" l="1"/>
  <c r="W68" i="53" s="1"/>
  <c r="AL68" i="45" l="1"/>
  <c r="W69" i="53" s="1"/>
  <c r="AL69" i="45" l="1"/>
  <c r="W70" i="53" s="1"/>
  <c r="AL70" i="45" l="1"/>
  <c r="W71" i="53" s="1"/>
  <c r="AL71" i="45" l="1"/>
  <c r="W72" i="53" s="1"/>
  <c r="AL72" i="45" l="1"/>
  <c r="W73" i="53" s="1"/>
  <c r="AL73" i="45" l="1"/>
  <c r="W74" i="53" s="1"/>
  <c r="AL74" i="45" l="1"/>
  <c r="W75" i="53" s="1"/>
  <c r="AL75" i="45" l="1"/>
  <c r="W76" i="53" s="1"/>
  <c r="AL76" i="45" l="1"/>
  <c r="W77" i="53" s="1"/>
  <c r="AL77" i="45" l="1"/>
  <c r="W78" i="53" s="1"/>
  <c r="AL78" i="45" l="1"/>
  <c r="W79" i="53" s="1"/>
  <c r="AL79" i="45" l="1"/>
  <c r="W80" i="53" s="1"/>
  <c r="AL80" i="45" l="1"/>
  <c r="W81" i="53" s="1"/>
  <c r="AL81" i="45" l="1"/>
  <c r="W82" i="53" s="1"/>
  <c r="AL82" i="45" l="1"/>
  <c r="W83" i="53" s="1"/>
  <c r="AL83" i="45" l="1"/>
  <c r="W84" i="53" s="1"/>
  <c r="AL84" i="45" l="1"/>
  <c r="W85" i="53" s="1"/>
  <c r="AL85" i="45" l="1"/>
  <c r="W86" i="53" s="1"/>
  <c r="AL86" i="45" l="1"/>
  <c r="W87" i="53" s="1"/>
  <c r="AL87" i="45" l="1"/>
  <c r="W88" i="53" s="1"/>
  <c r="AL88" i="45" l="1"/>
  <c r="W89" i="53" s="1"/>
  <c r="AL89" i="45" l="1"/>
  <c r="W90" i="53" s="1"/>
  <c r="AL90" i="45" l="1"/>
  <c r="W91" i="53" s="1"/>
  <c r="AL91" i="45" l="1"/>
  <c r="W92" i="53" s="1"/>
  <c r="AL92" i="45" l="1"/>
  <c r="W93" i="53" s="1"/>
  <c r="AL93" i="45" l="1"/>
  <c r="W94" i="53" s="1"/>
  <c r="AL94" i="45" l="1"/>
  <c r="W95" i="53" s="1"/>
  <c r="AL95" i="45" l="1"/>
  <c r="W96" i="53" s="1"/>
  <c r="AL96" i="45" l="1"/>
  <c r="W97" i="53" s="1"/>
  <c r="AL97" i="45" l="1"/>
  <c r="W98" i="53" s="1"/>
  <c r="AL98" i="45" l="1"/>
  <c r="W99" i="53" s="1"/>
  <c r="AL99" i="45" l="1"/>
  <c r="W100" i="53" s="1"/>
  <c r="AL100" i="45" l="1"/>
  <c r="W101" i="53" s="1"/>
  <c r="AL101" i="45" l="1"/>
  <c r="W102" i="53" s="1"/>
  <c r="AL102" i="45" l="1"/>
  <c r="W103" i="53" s="1"/>
  <c r="AL103" i="45" l="1"/>
  <c r="W104" i="53" s="1"/>
  <c r="AL104" i="45" l="1"/>
  <c r="W105" i="53" s="1"/>
  <c r="AL105" i="45" l="1"/>
  <c r="W106" i="53" s="1"/>
  <c r="AL106" i="45" l="1"/>
  <c r="W107" i="53" s="1"/>
  <c r="AL107" i="45" l="1"/>
  <c r="W108" i="53" s="1"/>
  <c r="AL108" i="45" l="1"/>
  <c r="W109" i="53" s="1"/>
  <c r="AL109" i="45" l="1"/>
  <c r="W110" i="53" s="1"/>
  <c r="AL110" i="45" l="1"/>
  <c r="W111" i="53" s="1"/>
  <c r="AL111" i="45" l="1"/>
  <c r="W112" i="53" s="1"/>
  <c r="AL112" i="45" l="1"/>
  <c r="W113" i="53" s="1"/>
  <c r="AL113" i="45" l="1"/>
  <c r="W114" i="53" s="1"/>
  <c r="AL114" i="45" l="1"/>
  <c r="W115" i="53" s="1"/>
  <c r="AL115" i="45" l="1"/>
  <c r="W116" i="53" s="1"/>
  <c r="AL116" i="45" l="1"/>
  <c r="W117" i="53" s="1"/>
  <c r="V19" i="45" l="1"/>
  <c r="AA19" i="45" s="1"/>
  <c r="V20" i="45"/>
  <c r="AA20" i="45" s="1"/>
  <c r="V21" i="45"/>
  <c r="AA21" i="45" s="1"/>
  <c r="V22" i="45"/>
  <c r="AA22" i="45" s="1"/>
  <c r="V23" i="45"/>
  <c r="AA23" i="45" s="1"/>
  <c r="V24" i="45"/>
  <c r="AA24" i="45" s="1"/>
  <c r="V25" i="45"/>
  <c r="AA25" i="45" s="1"/>
  <c r="V26" i="45"/>
  <c r="AA26" i="45" s="1"/>
  <c r="V27" i="45"/>
  <c r="AA27" i="45" s="1"/>
  <c r="V28" i="45"/>
  <c r="AA28" i="45" s="1"/>
  <c r="V29" i="45"/>
  <c r="AA29" i="45" s="1"/>
  <c r="V30" i="45"/>
  <c r="AA30" i="45" s="1"/>
  <c r="V31" i="45"/>
  <c r="AA31" i="45" s="1"/>
  <c r="V32" i="45"/>
  <c r="AA32" i="45" s="1"/>
  <c r="V33" i="45"/>
  <c r="AA33" i="45" s="1"/>
  <c r="V34" i="45"/>
  <c r="AA34" i="45" s="1"/>
  <c r="V35" i="45"/>
  <c r="AA35" i="45" s="1"/>
  <c r="V36" i="45"/>
  <c r="AA36" i="45" s="1"/>
  <c r="V37" i="45"/>
  <c r="AA37" i="45" s="1"/>
  <c r="V38" i="45"/>
  <c r="AA38" i="45" s="1"/>
  <c r="V39" i="45"/>
  <c r="AA39" i="45" s="1"/>
  <c r="V40" i="45"/>
  <c r="AA40" i="45" s="1"/>
  <c r="V41" i="45"/>
  <c r="AA41" i="45" s="1"/>
  <c r="V42" i="45"/>
  <c r="AA42" i="45" s="1"/>
  <c r="V44" i="45"/>
  <c r="AA44" i="45" s="1"/>
  <c r="AH17" i="45" l="1"/>
  <c r="N17" i="45" s="1"/>
  <c r="W18" i="45"/>
  <c r="W19" i="45"/>
  <c r="W20" i="45"/>
  <c r="W21" i="45"/>
  <c r="AL21" i="45" s="1"/>
  <c r="W22" i="53" s="1"/>
  <c r="Q22" i="53" s="1"/>
  <c r="W22" i="45"/>
  <c r="W23" i="45"/>
  <c r="AL23" i="45" s="1"/>
  <c r="W24" i="53" s="1"/>
  <c r="Q24" i="53" s="1"/>
  <c r="W24" i="45"/>
  <c r="AL24" i="45" s="1"/>
  <c r="W25" i="53" s="1"/>
  <c r="Q25" i="53" s="1"/>
  <c r="W25" i="45"/>
  <c r="W26" i="45"/>
  <c r="W27" i="45"/>
  <c r="AL27" i="45" s="1"/>
  <c r="W28" i="53" s="1"/>
  <c r="Q28" i="53" s="1"/>
  <c r="W28" i="45"/>
  <c r="AL28" i="45" s="1"/>
  <c r="W29" i="53" s="1"/>
  <c r="Q29" i="53" s="1"/>
  <c r="W29" i="45"/>
  <c r="AL29" i="45" s="1"/>
  <c r="W30" i="53" s="1"/>
  <c r="Q30" i="53" s="1"/>
  <c r="W30" i="45"/>
  <c r="W31" i="45"/>
  <c r="AL31" i="45" s="1"/>
  <c r="W32" i="53" s="1"/>
  <c r="Q32" i="53" s="1"/>
  <c r="W32" i="45"/>
  <c r="AL32" i="45" s="1"/>
  <c r="W33" i="53" s="1"/>
  <c r="Q33" i="53" s="1"/>
  <c r="W33" i="45"/>
  <c r="W34" i="45"/>
  <c r="AL34" i="45" s="1"/>
  <c r="W35" i="53" s="1"/>
  <c r="Q35" i="53" s="1"/>
  <c r="W35" i="45"/>
  <c r="W36" i="45"/>
  <c r="AL36" i="45" s="1"/>
  <c r="W37" i="53" s="1"/>
  <c r="Q37" i="53" s="1"/>
  <c r="W37" i="45"/>
  <c r="AL37" i="45" s="1"/>
  <c r="W38" i="53" s="1"/>
  <c r="Q38" i="53" s="1"/>
  <c r="W38" i="45"/>
  <c r="AL38" i="45" s="1"/>
  <c r="W39" i="53" s="1"/>
  <c r="Q39" i="53" s="1"/>
  <c r="W39" i="45"/>
  <c r="AL39" i="45" s="1"/>
  <c r="W40" i="53" s="1"/>
  <c r="Q40" i="53" s="1"/>
  <c r="W40" i="45"/>
  <c r="AL40" i="45" s="1"/>
  <c r="W41" i="53" s="1"/>
  <c r="Q41" i="53" s="1"/>
  <c r="W41" i="45"/>
  <c r="W42" i="45"/>
  <c r="AL42" i="45" s="1"/>
  <c r="W43" i="53" s="1"/>
  <c r="Q43" i="53" s="1"/>
  <c r="W43" i="45"/>
  <c r="W44" i="45"/>
  <c r="AL44" i="45" s="1"/>
  <c r="W45" i="53" s="1"/>
  <c r="Q45" i="53" s="1"/>
  <c r="AL20" i="45" l="1"/>
  <c r="W21" i="53" s="1"/>
  <c r="Q21" i="53" s="1"/>
  <c r="AL18" i="45"/>
  <c r="W19" i="53" s="1"/>
  <c r="Q19" i="53" s="1"/>
  <c r="AG18" i="45"/>
  <c r="AH18" i="45"/>
  <c r="U18" i="45"/>
  <c r="AK18" i="45" s="1"/>
  <c r="AJ17" i="45"/>
  <c r="AL30" i="45"/>
  <c r="W31" i="53" s="1"/>
  <c r="Q31" i="53" s="1"/>
  <c r="AL26" i="45"/>
  <c r="W27" i="53" s="1"/>
  <c r="Q27" i="53" s="1"/>
  <c r="AL25" i="45"/>
  <c r="W26" i="53" s="1"/>
  <c r="Q26" i="53" s="1"/>
  <c r="AL33" i="45"/>
  <c r="W34" i="53" s="1"/>
  <c r="Q34" i="53" s="1"/>
  <c r="AL41" i="45"/>
  <c r="W42" i="53" s="1"/>
  <c r="Q42" i="53" s="1"/>
  <c r="AL22" i="45"/>
  <c r="W23" i="53" s="1"/>
  <c r="Q23" i="53" s="1"/>
  <c r="AL43" i="45"/>
  <c r="W44" i="53" s="1"/>
  <c r="Q44" i="53" s="1"/>
  <c r="AL19" i="45"/>
  <c r="W20" i="53" s="1"/>
  <c r="Q20" i="53" s="1"/>
  <c r="AL35" i="45"/>
  <c r="W36" i="53" s="1"/>
  <c r="Q36" i="53" s="1"/>
  <c r="AG19" i="45" l="1"/>
  <c r="O17" i="45"/>
  <c r="N18" i="45"/>
  <c r="AH19" i="45"/>
  <c r="AI18" i="45"/>
  <c r="M18" i="45"/>
  <c r="U19" i="45"/>
  <c r="Q18" i="60" l="1"/>
  <c r="AJ18" i="45"/>
  <c r="Q18" i="45"/>
  <c r="AK19" i="45"/>
  <c r="M19" i="45"/>
  <c r="AI19" i="45"/>
  <c r="Q19" i="60" s="1"/>
  <c r="AM18" i="45"/>
  <c r="S18" i="45" s="1"/>
  <c r="AG20" i="45"/>
  <c r="AG21" i="45" s="1"/>
  <c r="N19" i="45"/>
  <c r="AH20" i="45"/>
  <c r="U20" i="45"/>
  <c r="AK20" i="45" s="1"/>
  <c r="O18" i="45"/>
  <c r="AN18" i="45" l="1"/>
  <c r="R18" i="45" s="1"/>
  <c r="X19" i="53"/>
  <c r="R19" i="53" s="1"/>
  <c r="Q19" i="45"/>
  <c r="AI20" i="45"/>
  <c r="Q20" i="60" s="1"/>
  <c r="AM19" i="45"/>
  <c r="S19" i="45" s="1"/>
  <c r="AJ19" i="45"/>
  <c r="AH21" i="45"/>
  <c r="N20" i="45"/>
  <c r="M20" i="45"/>
  <c r="U21" i="45"/>
  <c r="AK21" i="45" s="1"/>
  <c r="O19" i="45"/>
  <c r="AN19" i="45" l="1"/>
  <c r="R19" i="45" s="1"/>
  <c r="X20" i="53"/>
  <c r="R20" i="53" s="1"/>
  <c r="Q20" i="45"/>
  <c r="AI21" i="45"/>
  <c r="Q21" i="60" s="1"/>
  <c r="AG22" i="45"/>
  <c r="AJ20" i="45"/>
  <c r="AH22" i="45"/>
  <c r="N21" i="45"/>
  <c r="M21" i="45"/>
  <c r="U22" i="45"/>
  <c r="AK22" i="45" s="1"/>
  <c r="O20" i="45"/>
  <c r="Q21" i="45" l="1"/>
  <c r="AI22" i="45"/>
  <c r="Q22" i="60" s="1"/>
  <c r="AM21" i="45"/>
  <c r="AG23" i="45"/>
  <c r="AJ21" i="45"/>
  <c r="AH23" i="45"/>
  <c r="N22" i="45"/>
  <c r="M22" i="45"/>
  <c r="U23" i="45"/>
  <c r="AK23" i="45" s="1"/>
  <c r="AM20" i="45"/>
  <c r="S20" i="45" s="1"/>
  <c r="O21" i="45"/>
  <c r="X22" i="53" l="1"/>
  <c r="R22" i="53" s="1"/>
  <c r="S21" i="45"/>
  <c r="AN20" i="45"/>
  <c r="R20" i="45" s="1"/>
  <c r="X21" i="53"/>
  <c r="R21" i="53" s="1"/>
  <c r="Q22" i="45"/>
  <c r="AI23" i="45"/>
  <c r="Q23" i="60" s="1"/>
  <c r="AM22" i="45"/>
  <c r="S22" i="45" s="1"/>
  <c r="AG24" i="45"/>
  <c r="AJ22" i="45"/>
  <c r="N23" i="45"/>
  <c r="AH24" i="45"/>
  <c r="M23" i="45"/>
  <c r="U24" i="45"/>
  <c r="AK24" i="45" s="1"/>
  <c r="O22" i="45"/>
  <c r="AN21" i="45" l="1"/>
  <c r="R21" i="45" s="1"/>
  <c r="X23" i="53"/>
  <c r="R23" i="53" s="1"/>
  <c r="Q23" i="45"/>
  <c r="AI24" i="45"/>
  <c r="Q24" i="60" s="1"/>
  <c r="AG25" i="45"/>
  <c r="AJ23" i="45"/>
  <c r="N24" i="45"/>
  <c r="AH25" i="45"/>
  <c r="O23" i="45"/>
  <c r="M24" i="45"/>
  <c r="U25" i="45"/>
  <c r="AK25" i="45" s="1"/>
  <c r="AN22" i="45" l="1"/>
  <c r="R22" i="45" s="1"/>
  <c r="Q24" i="45"/>
  <c r="AI25" i="45"/>
  <c r="Q25" i="60" s="1"/>
  <c r="AM24" i="45"/>
  <c r="S24" i="45" s="1"/>
  <c r="AG26" i="45"/>
  <c r="AJ24" i="45"/>
  <c r="N25" i="45"/>
  <c r="AH26" i="45"/>
  <c r="O24" i="45"/>
  <c r="AM23" i="45"/>
  <c r="S23" i="45" s="1"/>
  <c r="M25" i="45"/>
  <c r="U26" i="45"/>
  <c r="AK26" i="45" s="1"/>
  <c r="Y22" i="53" l="1"/>
  <c r="X25" i="53"/>
  <c r="R25" i="53" s="1"/>
  <c r="Q25" i="45"/>
  <c r="AN23" i="45"/>
  <c r="R23" i="45" s="1"/>
  <c r="X24" i="53"/>
  <c r="R24" i="53" s="1"/>
  <c r="AI26" i="45"/>
  <c r="Q26" i="60" s="1"/>
  <c r="AM25" i="45"/>
  <c r="S25" i="45" s="1"/>
  <c r="AG27" i="45"/>
  <c r="AJ25" i="45"/>
  <c r="AH27" i="45"/>
  <c r="N26" i="45"/>
  <c r="O25" i="45"/>
  <c r="M26" i="45"/>
  <c r="U27" i="45"/>
  <c r="AK27" i="45" s="1"/>
  <c r="AG22" i="53" l="1"/>
  <c r="P22" i="53" s="1"/>
  <c r="T22" i="53"/>
  <c r="AF22" i="53"/>
  <c r="AN24" i="45"/>
  <c r="R24" i="45" s="1"/>
  <c r="X26" i="53"/>
  <c r="R26" i="53" s="1"/>
  <c r="Q26" i="45"/>
  <c r="AI27" i="45"/>
  <c r="Q27" i="60" s="1"/>
  <c r="AM26" i="45"/>
  <c r="S26" i="45" s="1"/>
  <c r="AG28" i="45"/>
  <c r="AJ26" i="45"/>
  <c r="N27" i="45"/>
  <c r="AH28" i="45"/>
  <c r="U28" i="45"/>
  <c r="AK28" i="45" s="1"/>
  <c r="M27" i="45"/>
  <c r="O26" i="45"/>
  <c r="V26" i="55" l="1"/>
  <c r="O22" i="53"/>
  <c r="AN25" i="45"/>
  <c r="R25" i="45" s="1"/>
  <c r="X27" i="53"/>
  <c r="R27" i="53" s="1"/>
  <c r="Q27" i="45"/>
  <c r="AI28" i="45"/>
  <c r="Q28" i="60" s="1"/>
  <c r="AG29" i="45"/>
  <c r="AJ27" i="45"/>
  <c r="AH29" i="45"/>
  <c r="N28" i="45"/>
  <c r="AM27" i="45"/>
  <c r="S27" i="45" s="1"/>
  <c r="O27" i="45"/>
  <c r="M28" i="45"/>
  <c r="U29" i="45"/>
  <c r="AK29" i="45" s="1"/>
  <c r="AN26" i="45" l="1"/>
  <c r="R26" i="45" s="1"/>
  <c r="X28" i="53"/>
  <c r="R28" i="53" s="1"/>
  <c r="Q28" i="45"/>
  <c r="AI29" i="45"/>
  <c r="Q29" i="60" s="1"/>
  <c r="AM28" i="45"/>
  <c r="S28" i="45" s="1"/>
  <c r="AG30" i="45"/>
  <c r="AJ28" i="45"/>
  <c r="N29" i="45"/>
  <c r="AH30" i="45"/>
  <c r="O28" i="45"/>
  <c r="M29" i="45"/>
  <c r="U30" i="45"/>
  <c r="AK30" i="45" s="1"/>
  <c r="AN27" i="45" l="1"/>
  <c r="R27" i="45" s="1"/>
  <c r="X29" i="53"/>
  <c r="R29" i="53" s="1"/>
  <c r="Q29" i="45"/>
  <c r="AI30" i="45"/>
  <c r="Q30" i="60" s="1"/>
  <c r="AM29" i="45"/>
  <c r="S29" i="45" s="1"/>
  <c r="AG31" i="45"/>
  <c r="AJ29" i="45"/>
  <c r="N30" i="45"/>
  <c r="AH31" i="45"/>
  <c r="M30" i="45"/>
  <c r="U31" i="45"/>
  <c r="AK31" i="45" s="1"/>
  <c r="O29" i="45"/>
  <c r="AN28" i="45" l="1"/>
  <c r="R28" i="45" s="1"/>
  <c r="X30" i="53"/>
  <c r="R30" i="53" s="1"/>
  <c r="Q30" i="45"/>
  <c r="AI31" i="45"/>
  <c r="Q31" i="60" s="1"/>
  <c r="AM30" i="45"/>
  <c r="S30" i="45" s="1"/>
  <c r="AG32" i="45"/>
  <c r="AJ30" i="45"/>
  <c r="N31" i="45"/>
  <c r="AH32" i="45"/>
  <c r="M31" i="45"/>
  <c r="U32" i="45"/>
  <c r="AK32" i="45" s="1"/>
  <c r="O30" i="45"/>
  <c r="AN29" i="45" l="1"/>
  <c r="R29" i="45" s="1"/>
  <c r="X31" i="53"/>
  <c r="R31" i="53" s="1"/>
  <c r="Q31" i="45"/>
  <c r="AI32" i="45"/>
  <c r="Q32" i="60" s="1"/>
  <c r="AM31" i="45"/>
  <c r="S31" i="45" s="1"/>
  <c r="AG33" i="45"/>
  <c r="AJ31" i="45"/>
  <c r="AH33" i="45"/>
  <c r="N32" i="45"/>
  <c r="M32" i="45"/>
  <c r="U33" i="45"/>
  <c r="AK33" i="45" s="1"/>
  <c r="O31" i="45"/>
  <c r="AN30" i="45" l="1"/>
  <c r="R30" i="45" s="1"/>
  <c r="X32" i="53"/>
  <c r="R32" i="53" s="1"/>
  <c r="Q32" i="45"/>
  <c r="AI33" i="45"/>
  <c r="Q33" i="60" s="1"/>
  <c r="AG34" i="45"/>
  <c r="AJ32" i="45"/>
  <c r="AH34" i="45"/>
  <c r="N33" i="45"/>
  <c r="AM32" i="45"/>
  <c r="S32" i="45" s="1"/>
  <c r="O32" i="45"/>
  <c r="M33" i="45"/>
  <c r="U34" i="45"/>
  <c r="AK34" i="45" s="1"/>
  <c r="AN31" i="45" l="1"/>
  <c r="R31" i="45" s="1"/>
  <c r="X33" i="53"/>
  <c r="R33" i="53" s="1"/>
  <c r="Q33" i="45"/>
  <c r="AI34" i="45"/>
  <c r="Q34" i="60" s="1"/>
  <c r="AM33" i="45"/>
  <c r="S33" i="45" s="1"/>
  <c r="AG35" i="45"/>
  <c r="AJ33" i="45"/>
  <c r="AH35" i="45"/>
  <c r="N34" i="45"/>
  <c r="M34" i="45"/>
  <c r="U35" i="45"/>
  <c r="AK35" i="45" s="1"/>
  <c r="O33" i="45"/>
  <c r="AN32" i="45" l="1"/>
  <c r="R32" i="45" s="1"/>
  <c r="X34" i="53"/>
  <c r="R34" i="53" s="1"/>
  <c r="Q34" i="45"/>
  <c r="AI35" i="45"/>
  <c r="Q35" i="60" s="1"/>
  <c r="AM34" i="45"/>
  <c r="S34" i="45" s="1"/>
  <c r="AG36" i="45"/>
  <c r="AJ34" i="45"/>
  <c r="AH36" i="45"/>
  <c r="N35" i="45"/>
  <c r="O34" i="45"/>
  <c r="M35" i="45"/>
  <c r="U36" i="45"/>
  <c r="AK36" i="45" s="1"/>
  <c r="AN33" i="45" l="1"/>
  <c r="R33" i="45" s="1"/>
  <c r="X35" i="53"/>
  <c r="R35" i="53" s="1"/>
  <c r="Q35" i="45"/>
  <c r="AI36" i="45"/>
  <c r="Q36" i="60" s="1"/>
  <c r="AG37" i="45"/>
  <c r="AJ35" i="45"/>
  <c r="N36" i="45"/>
  <c r="AH37" i="45"/>
  <c r="AM35" i="45"/>
  <c r="O35" i="45"/>
  <c r="M36" i="45"/>
  <c r="U37" i="45"/>
  <c r="AK37" i="45" s="1"/>
  <c r="AN34" i="45" l="1"/>
  <c r="R34" i="45" s="1"/>
  <c r="X36" i="53"/>
  <c r="R36" i="53" s="1"/>
  <c r="S35" i="45"/>
  <c r="Q36" i="45"/>
  <c r="Z18" i="53"/>
  <c r="U18" i="53" s="1"/>
  <c r="AF18" i="53"/>
  <c r="AH22" i="55"/>
  <c r="AK23" i="55" s="1"/>
  <c r="AI37" i="45"/>
  <c r="Q37" i="60" s="1"/>
  <c r="AG38" i="45"/>
  <c r="AJ36" i="45"/>
  <c r="N37" i="45"/>
  <c r="AH38" i="45"/>
  <c r="AM36" i="45"/>
  <c r="S36" i="45" s="1"/>
  <c r="O36" i="45"/>
  <c r="M37" i="45"/>
  <c r="U38" i="45"/>
  <c r="AK38" i="45" s="1"/>
  <c r="AN35" i="45" l="1"/>
  <c r="R35" i="45" s="1"/>
  <c r="V22" i="55"/>
  <c r="O18" i="53"/>
  <c r="Y19" i="53"/>
  <c r="X37" i="53"/>
  <c r="R37" i="53" s="1"/>
  <c r="Q37" i="45"/>
  <c r="AI22" i="55"/>
  <c r="AI38" i="45"/>
  <c r="Q38" i="60" s="1"/>
  <c r="AG39" i="45"/>
  <c r="AJ37" i="45"/>
  <c r="N38" i="45"/>
  <c r="AH39" i="45"/>
  <c r="U39" i="45"/>
  <c r="AK39" i="45" s="1"/>
  <c r="M38" i="45"/>
  <c r="AM37" i="45"/>
  <c r="S37" i="45" s="1"/>
  <c r="O37" i="45"/>
  <c r="AN36" i="45" l="1"/>
  <c r="R36" i="45" s="1"/>
  <c r="AB22" i="55"/>
  <c r="AC22" i="55" s="1"/>
  <c r="AD22" i="55" s="1"/>
  <c r="AA23" i="55" s="1"/>
  <c r="AJ22" i="55"/>
  <c r="U17" i="60" s="1"/>
  <c r="V17" i="60" s="1"/>
  <c r="P17" i="60" s="1"/>
  <c r="X22" i="55"/>
  <c r="AF19" i="53"/>
  <c r="V23" i="55" s="1"/>
  <c r="T19" i="53"/>
  <c r="AG19" i="53"/>
  <c r="Z19" i="53"/>
  <c r="U19" i="53" s="1"/>
  <c r="Y20" i="53"/>
  <c r="X38" i="53"/>
  <c r="R38" i="53" s="1"/>
  <c r="Q38" i="45"/>
  <c r="AI39" i="45"/>
  <c r="Q39" i="60" s="1"/>
  <c r="AM38" i="45"/>
  <c r="S38" i="45" s="1"/>
  <c r="AG40" i="45"/>
  <c r="AJ38" i="45"/>
  <c r="O38" i="45"/>
  <c r="N39" i="45"/>
  <c r="AH40" i="45"/>
  <c r="U40" i="45"/>
  <c r="AK40" i="45" s="1"/>
  <c r="M39" i="45"/>
  <c r="AN37" i="45" l="1"/>
  <c r="R37" i="45" s="1"/>
  <c r="P22" i="55"/>
  <c r="AB23" i="55"/>
  <c r="AC23" i="55" s="1"/>
  <c r="AD23" i="55" s="1"/>
  <c r="AA24" i="55" s="1"/>
  <c r="Q22" i="55"/>
  <c r="AG23" i="55"/>
  <c r="Y22" i="55"/>
  <c r="Z22" i="55" s="1"/>
  <c r="S17" i="60" s="1"/>
  <c r="T17" i="60" s="1"/>
  <c r="O17" i="60" s="1"/>
  <c r="O19" i="53"/>
  <c r="AG20" i="53"/>
  <c r="P20" i="53" s="1"/>
  <c r="T20" i="53"/>
  <c r="AF23" i="55"/>
  <c r="P19" i="53"/>
  <c r="AF20" i="53"/>
  <c r="Z20" i="53"/>
  <c r="U20" i="53" s="1"/>
  <c r="Y21" i="53"/>
  <c r="X39" i="53"/>
  <c r="R39" i="53" s="1"/>
  <c r="Q39" i="45"/>
  <c r="AN38" i="45"/>
  <c r="R38" i="45" s="1"/>
  <c r="AI40" i="45"/>
  <c r="Q40" i="60" s="1"/>
  <c r="AM39" i="45"/>
  <c r="AG41" i="45"/>
  <c r="AJ39" i="45"/>
  <c r="AH41" i="45"/>
  <c r="N40" i="45"/>
  <c r="O39" i="45"/>
  <c r="U41" i="45"/>
  <c r="AK41" i="45" s="1"/>
  <c r="M40" i="45"/>
  <c r="AF24" i="55" l="1"/>
  <c r="O22" i="55"/>
  <c r="Q23" i="55"/>
  <c r="AH23" i="55"/>
  <c r="AI23" i="55" s="1"/>
  <c r="AJ23" i="55" s="1"/>
  <c r="U18" i="60" s="1"/>
  <c r="V18" i="60" s="1"/>
  <c r="P18" i="60" s="1"/>
  <c r="AL23" i="55"/>
  <c r="AM23" i="55" s="1"/>
  <c r="AN23" i="55" s="1"/>
  <c r="R23" i="55" s="1"/>
  <c r="AF21" i="53"/>
  <c r="V25" i="55" s="1"/>
  <c r="T21" i="53"/>
  <c r="V24" i="55"/>
  <c r="O20" i="53"/>
  <c r="X40" i="53"/>
  <c r="R40" i="53" s="1"/>
  <c r="S39" i="45"/>
  <c r="AG21" i="53"/>
  <c r="Z21" i="53"/>
  <c r="U21" i="53" s="1"/>
  <c r="Q40" i="45"/>
  <c r="AF26" i="55"/>
  <c r="AN39" i="45"/>
  <c r="R39" i="45" s="1"/>
  <c r="Z22" i="53"/>
  <c r="U22" i="53" s="1"/>
  <c r="AI41" i="45"/>
  <c r="Q41" i="60" s="1"/>
  <c r="AM40" i="45"/>
  <c r="S40" i="45" s="1"/>
  <c r="AG42" i="45"/>
  <c r="AJ40" i="45"/>
  <c r="AH42" i="45"/>
  <c r="N41" i="45"/>
  <c r="O40" i="45"/>
  <c r="U42" i="45"/>
  <c r="AK42" i="45" s="1"/>
  <c r="M41" i="45"/>
  <c r="O21" i="53" l="1"/>
  <c r="P23" i="55"/>
  <c r="AB24" i="55"/>
  <c r="AC24" i="55" s="1"/>
  <c r="AD24" i="55" s="1"/>
  <c r="AG24" i="55"/>
  <c r="AH24" i="55" s="1"/>
  <c r="AF25" i="55"/>
  <c r="P21" i="53"/>
  <c r="Y23" i="53"/>
  <c r="X41" i="53"/>
  <c r="R41" i="53" s="1"/>
  <c r="Q41" i="45"/>
  <c r="AN40" i="45"/>
  <c r="R40" i="45" s="1"/>
  <c r="AI42" i="45"/>
  <c r="Q42" i="60" s="1"/>
  <c r="AG43" i="45"/>
  <c r="AJ41" i="45"/>
  <c r="N42" i="45"/>
  <c r="AH43" i="45"/>
  <c r="O41" i="45"/>
  <c r="AM41" i="45"/>
  <c r="S41" i="45" s="1"/>
  <c r="U43" i="45"/>
  <c r="AK43" i="45" s="1"/>
  <c r="M42" i="45"/>
  <c r="AK24" i="55" l="1"/>
  <c r="AI24" i="55"/>
  <c r="AJ24" i="55" s="1"/>
  <c r="U19" i="60" s="1"/>
  <c r="V19" i="60" s="1"/>
  <c r="P19" i="60" s="1"/>
  <c r="AF23" i="53"/>
  <c r="V27" i="55" s="1"/>
  <c r="T23" i="53"/>
  <c r="AG23" i="53"/>
  <c r="Z23" i="53"/>
  <c r="U23" i="53" s="1"/>
  <c r="Q42" i="45"/>
  <c r="Y24" i="53"/>
  <c r="X42" i="53"/>
  <c r="R42" i="53" s="1"/>
  <c r="AN41" i="45"/>
  <c r="R41" i="45" s="1"/>
  <c r="AI43" i="45"/>
  <c r="Q43" i="60" s="1"/>
  <c r="AG44" i="45"/>
  <c r="AJ42" i="45"/>
  <c r="N43" i="45"/>
  <c r="AH44" i="45"/>
  <c r="N44" i="45" s="1"/>
  <c r="O42" i="45"/>
  <c r="AM42" i="45"/>
  <c r="S42" i="45" s="1"/>
  <c r="U44" i="45"/>
  <c r="AK44" i="45" s="1"/>
  <c r="M43" i="45"/>
  <c r="Q24" i="55" l="1"/>
  <c r="AA25" i="55"/>
  <c r="O23" i="53"/>
  <c r="P24" i="55"/>
  <c r="AL24" i="55"/>
  <c r="AM24" i="55" s="1"/>
  <c r="AN24" i="55" s="1"/>
  <c r="R24" i="55" s="1"/>
  <c r="AG25" i="55"/>
  <c r="AH25" i="55" s="1"/>
  <c r="AG24" i="53"/>
  <c r="AF28" i="55" s="1"/>
  <c r="T24" i="53"/>
  <c r="AF27" i="55"/>
  <c r="P23" i="53"/>
  <c r="AF24" i="53"/>
  <c r="Z24" i="53"/>
  <c r="U24" i="53" s="1"/>
  <c r="Y25" i="53"/>
  <c r="X43" i="53"/>
  <c r="R43" i="53" s="1"/>
  <c r="Q43" i="45"/>
  <c r="AN42" i="45"/>
  <c r="R42" i="45" s="1"/>
  <c r="AI44" i="45"/>
  <c r="Q44" i="60" s="1"/>
  <c r="AJ43" i="45"/>
  <c r="AM43" i="45"/>
  <c r="S43" i="45" s="1"/>
  <c r="O43" i="45"/>
  <c r="U45" i="45"/>
  <c r="M44" i="45"/>
  <c r="P24" i="53" l="1"/>
  <c r="AB25" i="55"/>
  <c r="AC25" i="55" s="1"/>
  <c r="AD25" i="55" s="1"/>
  <c r="AK25" i="55"/>
  <c r="AI25" i="55"/>
  <c r="AJ25" i="55" s="1"/>
  <c r="U20" i="60" s="1"/>
  <c r="V20" i="60" s="1"/>
  <c r="P20" i="60" s="1"/>
  <c r="AF25" i="53"/>
  <c r="V29" i="55" s="1"/>
  <c r="T25" i="53"/>
  <c r="V28" i="55"/>
  <c r="O24" i="53"/>
  <c r="AG25" i="53"/>
  <c r="Z25" i="53"/>
  <c r="U25" i="53" s="1"/>
  <c r="Q44" i="45"/>
  <c r="Y26" i="53"/>
  <c r="X44" i="53"/>
  <c r="R44" i="53" s="1"/>
  <c r="AN43" i="45"/>
  <c r="R43" i="45" s="1"/>
  <c r="M45" i="45"/>
  <c r="AK45" i="45"/>
  <c r="AJ44" i="45"/>
  <c r="AM44" i="45"/>
  <c r="S44" i="45" s="1"/>
  <c r="O44" i="45"/>
  <c r="Q25" i="55" l="1"/>
  <c r="AA26" i="55"/>
  <c r="O25" i="53"/>
  <c r="P25" i="55"/>
  <c r="AL25" i="55"/>
  <c r="AM25" i="55" s="1"/>
  <c r="AN25" i="55" s="1"/>
  <c r="AG26" i="55"/>
  <c r="AH26" i="55" s="1"/>
  <c r="AF26" i="53"/>
  <c r="V30" i="55" s="1"/>
  <c r="T26" i="53"/>
  <c r="AF29" i="55"/>
  <c r="P25" i="53"/>
  <c r="AG26" i="53"/>
  <c r="Y27" i="53"/>
  <c r="X45" i="53"/>
  <c r="R45" i="53" s="1"/>
  <c r="Z26" i="53"/>
  <c r="U26" i="53" s="1"/>
  <c r="AN44" i="45"/>
  <c r="R44" i="45" s="1"/>
  <c r="O26" i="53" l="1"/>
  <c r="AB26" i="55"/>
  <c r="AC26" i="55" s="1"/>
  <c r="AD26" i="55" s="1"/>
  <c r="AK26" i="55"/>
  <c r="AL26" i="55" s="1"/>
  <c r="AM26" i="55" s="1"/>
  <c r="AN26" i="55" s="1"/>
  <c r="R25" i="55"/>
  <c r="AI26" i="55"/>
  <c r="AJ26" i="55" s="1"/>
  <c r="U21" i="60" s="1"/>
  <c r="V21" i="60" s="1"/>
  <c r="P21" i="60" s="1"/>
  <c r="AG27" i="53"/>
  <c r="AF31" i="55" s="1"/>
  <c r="T27" i="53"/>
  <c r="AF30" i="55"/>
  <c r="P26" i="53"/>
  <c r="AF27" i="53"/>
  <c r="Z27" i="53"/>
  <c r="U27" i="53" s="1"/>
  <c r="Q26" i="55" l="1"/>
  <c r="AA27" i="55"/>
  <c r="P27" i="53"/>
  <c r="AK27" i="55"/>
  <c r="AL27" i="55" s="1"/>
  <c r="AM27" i="55" s="1"/>
  <c r="AN27" i="55" s="1"/>
  <c r="R27" i="55" s="1"/>
  <c r="R26" i="55"/>
  <c r="P26" i="55"/>
  <c r="AG27" i="55"/>
  <c r="AH27" i="55" s="1"/>
  <c r="V31" i="55"/>
  <c r="O27" i="53"/>
  <c r="V47" i="45"/>
  <c r="AA47" i="45" s="1"/>
  <c r="V45" i="45"/>
  <c r="AA45" i="45" s="1"/>
  <c r="V46" i="45"/>
  <c r="AA46" i="45" s="1"/>
  <c r="W47" i="45"/>
  <c r="W45" i="45"/>
  <c r="W46" i="45"/>
  <c r="AB27" i="55" l="1"/>
  <c r="AC27" i="55" s="1"/>
  <c r="AD27" i="55" s="1"/>
  <c r="AI27" i="55"/>
  <c r="AJ27" i="55" s="1"/>
  <c r="U22" i="60" s="1"/>
  <c r="V22" i="60" s="1"/>
  <c r="P22" i="60" s="1"/>
  <c r="AK28" i="55"/>
  <c r="AI45" i="45"/>
  <c r="Q45" i="60" s="1"/>
  <c r="AG45" i="45"/>
  <c r="O45" i="45" s="1"/>
  <c r="AL47" i="45"/>
  <c r="W48" i="53" s="1"/>
  <c r="Q48" i="53" s="1"/>
  <c r="AL46" i="45"/>
  <c r="W47" i="53" s="1"/>
  <c r="Q47" i="53" s="1"/>
  <c r="AH45" i="45"/>
  <c r="AL45" i="45"/>
  <c r="W46" i="53" s="1"/>
  <c r="Q46" i="53" s="1"/>
  <c r="U46" i="45"/>
  <c r="AK46" i="45" s="1"/>
  <c r="Q27" i="55" l="1"/>
  <c r="AA28" i="55"/>
  <c r="P27" i="55"/>
  <c r="AL28" i="55"/>
  <c r="AM28" i="55" s="1"/>
  <c r="AN28" i="55" s="1"/>
  <c r="R28" i="55" s="1"/>
  <c r="AG28" i="55"/>
  <c r="AH28" i="55" s="1"/>
  <c r="Q45" i="45"/>
  <c r="AI46" i="45"/>
  <c r="Q46" i="60" s="1"/>
  <c r="AG46" i="45"/>
  <c r="AJ45" i="45"/>
  <c r="AH46" i="45"/>
  <c r="N45" i="45"/>
  <c r="AM45" i="45"/>
  <c r="U47" i="45"/>
  <c r="AK47" i="45" s="1"/>
  <c r="M46" i="45"/>
  <c r="AB28" i="55" l="1"/>
  <c r="AC28" i="55" s="1"/>
  <c r="AD28" i="55" s="1"/>
  <c r="AI28" i="55"/>
  <c r="AJ28" i="55" s="1"/>
  <c r="U23" i="60" s="1"/>
  <c r="V23" i="60" s="1"/>
  <c r="P23" i="60" s="1"/>
  <c r="AK29" i="55"/>
  <c r="X46" i="53"/>
  <c r="R46" i="53" s="1"/>
  <c r="S45" i="45"/>
  <c r="Q46" i="45"/>
  <c r="Y28" i="53"/>
  <c r="AN45" i="45"/>
  <c r="R45" i="45" s="1"/>
  <c r="AI47" i="45"/>
  <c r="Q47" i="60" s="1"/>
  <c r="AM46" i="45"/>
  <c r="AG47" i="45"/>
  <c r="O47" i="45" s="1"/>
  <c r="AJ46" i="45"/>
  <c r="O46" i="45"/>
  <c r="AH47" i="45"/>
  <c r="N46" i="45"/>
  <c r="U48" i="45"/>
  <c r="AK48" i="45" s="1"/>
  <c r="M47" i="45"/>
  <c r="Q28" i="55" l="1"/>
  <c r="AA29" i="55"/>
  <c r="P28" i="55"/>
  <c r="AL29" i="55"/>
  <c r="AM29" i="55" s="1"/>
  <c r="AN29" i="55" s="1"/>
  <c r="R29" i="55" s="1"/>
  <c r="AG29" i="55"/>
  <c r="AH29" i="55" s="1"/>
  <c r="Z28" i="53"/>
  <c r="U28" i="53" s="1"/>
  <c r="T28" i="53"/>
  <c r="Y29" i="53"/>
  <c r="X47" i="53"/>
  <c r="R47" i="53" s="1"/>
  <c r="Q47" i="45"/>
  <c r="AG28" i="53"/>
  <c r="AF28" i="53"/>
  <c r="AN46" i="45"/>
  <c r="R46" i="45" s="1"/>
  <c r="AI48" i="45"/>
  <c r="Q48" i="60" s="1"/>
  <c r="AG48" i="45"/>
  <c r="O48" i="45" s="1"/>
  <c r="AH48" i="45"/>
  <c r="N47" i="45"/>
  <c r="AJ47" i="45"/>
  <c r="U49" i="45"/>
  <c r="AK49" i="45" s="1"/>
  <c r="M48" i="45"/>
  <c r="AM47" i="45"/>
  <c r="AB29" i="55" l="1"/>
  <c r="AC29" i="55" s="1"/>
  <c r="AD29" i="55" s="1"/>
  <c r="AI29" i="55"/>
  <c r="AJ29" i="55" s="1"/>
  <c r="U24" i="60" s="1"/>
  <c r="V24" i="60" s="1"/>
  <c r="P24" i="60" s="1"/>
  <c r="AK30" i="55"/>
  <c r="AF29" i="53"/>
  <c r="V33" i="55" s="1"/>
  <c r="T29" i="53"/>
  <c r="AF32" i="55"/>
  <c r="P28" i="53"/>
  <c r="V32" i="55"/>
  <c r="O28" i="53"/>
  <c r="AG29" i="53"/>
  <c r="Z29" i="53"/>
  <c r="U29" i="53" s="1"/>
  <c r="Y30" i="53"/>
  <c r="X48" i="53"/>
  <c r="R48" i="53" s="1"/>
  <c r="Q48" i="45"/>
  <c r="AN47" i="45"/>
  <c r="R47" i="45" s="1"/>
  <c r="AH49" i="45"/>
  <c r="N48" i="45"/>
  <c r="AI49" i="45"/>
  <c r="Q49" i="60" s="1"/>
  <c r="AG49" i="45"/>
  <c r="O49" i="45" s="1"/>
  <c r="AJ48" i="45"/>
  <c r="U50" i="45"/>
  <c r="AK50" i="45" s="1"/>
  <c r="M49" i="45"/>
  <c r="AM48" i="45"/>
  <c r="O29" i="53" l="1"/>
  <c r="P29" i="55"/>
  <c r="AL30" i="55"/>
  <c r="AM30" i="55" s="1"/>
  <c r="AN30" i="55" s="1"/>
  <c r="R30" i="55" s="1"/>
  <c r="AG30" i="55"/>
  <c r="AH30" i="55" s="1"/>
  <c r="AG30" i="53"/>
  <c r="P30" i="53" s="1"/>
  <c r="T30" i="53"/>
  <c r="AF33" i="55"/>
  <c r="P29" i="53"/>
  <c r="AF34" i="55"/>
  <c r="AF30" i="53"/>
  <c r="Z30" i="53"/>
  <c r="U30" i="53" s="1"/>
  <c r="Y31" i="53"/>
  <c r="X49" i="53"/>
  <c r="R49" i="53" s="1"/>
  <c r="Q49" i="45"/>
  <c r="AN48" i="45"/>
  <c r="R48" i="45" s="1"/>
  <c r="AH50" i="45"/>
  <c r="AH51" i="45" s="1"/>
  <c r="AH52" i="45" s="1"/>
  <c r="AH53" i="45" s="1"/>
  <c r="AH54" i="45" s="1"/>
  <c r="AH55" i="45" s="1"/>
  <c r="AH56" i="45" s="1"/>
  <c r="AH57" i="45" s="1"/>
  <c r="AH58" i="45" s="1"/>
  <c r="AH59" i="45" s="1"/>
  <c r="AH60" i="45" s="1"/>
  <c r="AH61" i="45" s="1"/>
  <c r="AH62" i="45" s="1"/>
  <c r="AH63" i="45" s="1"/>
  <c r="AH64" i="45" s="1"/>
  <c r="AH65" i="45" s="1"/>
  <c r="AH66" i="45" s="1"/>
  <c r="AH67" i="45" s="1"/>
  <c r="AH68" i="45" s="1"/>
  <c r="AH69" i="45" s="1"/>
  <c r="AH70" i="45" s="1"/>
  <c r="AH71" i="45" s="1"/>
  <c r="AH72" i="45" s="1"/>
  <c r="AH73" i="45" s="1"/>
  <c r="AH74" i="45" s="1"/>
  <c r="AH75" i="45" s="1"/>
  <c r="AH76" i="45" s="1"/>
  <c r="AH77" i="45" s="1"/>
  <c r="AH78" i="45" s="1"/>
  <c r="AH79" i="45" s="1"/>
  <c r="AH80" i="45" s="1"/>
  <c r="AH81" i="45" s="1"/>
  <c r="AH82" i="45" s="1"/>
  <c r="AH83" i="45" s="1"/>
  <c r="AH84" i="45" s="1"/>
  <c r="AH85" i="45" s="1"/>
  <c r="AH86" i="45" s="1"/>
  <c r="AH87" i="45" s="1"/>
  <c r="AH88" i="45" s="1"/>
  <c r="AH89" i="45" s="1"/>
  <c r="AH90" i="45" s="1"/>
  <c r="AH91" i="45" s="1"/>
  <c r="AH92" i="45" s="1"/>
  <c r="AH93" i="45" s="1"/>
  <c r="AH94" i="45" s="1"/>
  <c r="AH95" i="45" s="1"/>
  <c r="AH96" i="45" s="1"/>
  <c r="AH97" i="45" s="1"/>
  <c r="AH98" i="45" s="1"/>
  <c r="AH99" i="45" s="1"/>
  <c r="AH100" i="45" s="1"/>
  <c r="AH101" i="45" s="1"/>
  <c r="AH102" i="45" s="1"/>
  <c r="AH103" i="45" s="1"/>
  <c r="AH104" i="45" s="1"/>
  <c r="AH105" i="45" s="1"/>
  <c r="AH106" i="45" s="1"/>
  <c r="AH107" i="45" s="1"/>
  <c r="AH108" i="45" s="1"/>
  <c r="AH109" i="45" s="1"/>
  <c r="AH110" i="45" s="1"/>
  <c r="AH111" i="45" s="1"/>
  <c r="AH112" i="45" s="1"/>
  <c r="AH113" i="45" s="1"/>
  <c r="AH114" i="45" s="1"/>
  <c r="AH115" i="45" s="1"/>
  <c r="AH116" i="45" s="1"/>
  <c r="N49" i="45"/>
  <c r="AI50" i="45"/>
  <c r="Q50" i="60" s="1"/>
  <c r="AM49" i="45"/>
  <c r="AG50" i="45"/>
  <c r="AJ49" i="45"/>
  <c r="U51" i="45"/>
  <c r="M50" i="45"/>
  <c r="Q29" i="55" l="1"/>
  <c r="AA30" i="55"/>
  <c r="AI30" i="55"/>
  <c r="AJ30" i="55" s="1"/>
  <c r="U25" i="60" s="1"/>
  <c r="V25" i="60" s="1"/>
  <c r="P25" i="60" s="1"/>
  <c r="AK31" i="55"/>
  <c r="AF31" i="53"/>
  <c r="V35" i="55" s="1"/>
  <c r="T31" i="53"/>
  <c r="V34" i="55"/>
  <c r="O30" i="53"/>
  <c r="AG31" i="53"/>
  <c r="P31" i="53" s="1"/>
  <c r="Z31" i="53"/>
  <c r="U31" i="53" s="1"/>
  <c r="Y32" i="53"/>
  <c r="X50" i="53"/>
  <c r="R50" i="53" s="1"/>
  <c r="W23" i="55"/>
  <c r="AN49" i="45"/>
  <c r="R49" i="45" s="1"/>
  <c r="AI51" i="45"/>
  <c r="Q51" i="60" s="1"/>
  <c r="AG51" i="45"/>
  <c r="U52" i="45"/>
  <c r="AK51" i="45"/>
  <c r="AJ50" i="45"/>
  <c r="AM50" i="45"/>
  <c r="AB30" i="55" l="1"/>
  <c r="AC30" i="55" s="1"/>
  <c r="AD30" i="55" s="1"/>
  <c r="O31" i="53"/>
  <c r="P30" i="55"/>
  <c r="AL31" i="55"/>
  <c r="AM31" i="55" s="1"/>
  <c r="AN31" i="55" s="1"/>
  <c r="R31" i="55" s="1"/>
  <c r="AG31" i="55"/>
  <c r="AH31" i="55" s="1"/>
  <c r="AG32" i="53"/>
  <c r="P32" i="53" s="1"/>
  <c r="T32" i="53"/>
  <c r="Z32" i="53"/>
  <c r="U32" i="53" s="1"/>
  <c r="AF32" i="53"/>
  <c r="Y33" i="53"/>
  <c r="X51" i="53"/>
  <c r="R51" i="53" s="1"/>
  <c r="X23" i="55"/>
  <c r="AN50" i="45"/>
  <c r="AI52" i="45"/>
  <c r="Q52" i="60" s="1"/>
  <c r="AG52" i="45"/>
  <c r="U53" i="45"/>
  <c r="AK52" i="45"/>
  <c r="AJ51" i="45"/>
  <c r="AM51" i="45"/>
  <c r="AI31" i="55" l="1"/>
  <c r="AJ31" i="55" s="1"/>
  <c r="U26" i="60" s="1"/>
  <c r="V26" i="60" s="1"/>
  <c r="P26" i="60" s="1"/>
  <c r="AK32" i="55"/>
  <c r="Y23" i="55"/>
  <c r="AG33" i="53"/>
  <c r="P33" i="53" s="1"/>
  <c r="T33" i="53"/>
  <c r="V36" i="55"/>
  <c r="O32" i="53"/>
  <c r="Z33" i="53"/>
  <c r="U33" i="53" s="1"/>
  <c r="AF33" i="53"/>
  <c r="Y34" i="53"/>
  <c r="X52" i="53"/>
  <c r="R52" i="53" s="1"/>
  <c r="AN51" i="45"/>
  <c r="AI53" i="45"/>
  <c r="Q53" i="60" s="1"/>
  <c r="AG53" i="45"/>
  <c r="U54" i="45"/>
  <c r="AK53" i="45"/>
  <c r="AJ52" i="45"/>
  <c r="AM52" i="45"/>
  <c r="Q30" i="55" l="1"/>
  <c r="AA31" i="55"/>
  <c r="AG32" i="55"/>
  <c r="AH32" i="55" s="1"/>
  <c r="P31" i="55"/>
  <c r="AL32" i="55"/>
  <c r="AM32" i="55" s="1"/>
  <c r="AN32" i="55" s="1"/>
  <c r="R32" i="55" s="1"/>
  <c r="Z23" i="55"/>
  <c r="S18" i="60" s="1"/>
  <c r="T18" i="60" s="1"/>
  <c r="O18" i="60" s="1"/>
  <c r="AG34" i="53"/>
  <c r="P34" i="53" s="1"/>
  <c r="T34" i="53"/>
  <c r="V37" i="55"/>
  <c r="O33" i="53"/>
  <c r="Z34" i="53"/>
  <c r="U34" i="53" s="1"/>
  <c r="AF34" i="53"/>
  <c r="Y35" i="53"/>
  <c r="X53" i="53"/>
  <c r="R53" i="53" s="1"/>
  <c r="AN52" i="45"/>
  <c r="AI54" i="45"/>
  <c r="Q54" i="60" s="1"/>
  <c r="AG54" i="45"/>
  <c r="U55" i="45"/>
  <c r="AK54" i="45"/>
  <c r="AJ53" i="45"/>
  <c r="AM53" i="45"/>
  <c r="AB31" i="55" l="1"/>
  <c r="AC31" i="55" s="1"/>
  <c r="AD31" i="55" s="1"/>
  <c r="W24" i="55"/>
  <c r="X24" i="55" s="1"/>
  <c r="Y24" i="55" s="1"/>
  <c r="O23" i="55"/>
  <c r="AI32" i="55"/>
  <c r="AJ32" i="55" s="1"/>
  <c r="AK33" i="55"/>
  <c r="AF35" i="53"/>
  <c r="O35" i="53" s="1"/>
  <c r="T35" i="53"/>
  <c r="V38" i="55"/>
  <c r="O34" i="53"/>
  <c r="Z35" i="53"/>
  <c r="U35" i="53" s="1"/>
  <c r="AG35" i="53"/>
  <c r="P35" i="53" s="1"/>
  <c r="Y36" i="53"/>
  <c r="X54" i="53"/>
  <c r="R54" i="53" s="1"/>
  <c r="AN53" i="45"/>
  <c r="AI55" i="45"/>
  <c r="Q55" i="60" s="1"/>
  <c r="AM54" i="45"/>
  <c r="AG55" i="45"/>
  <c r="U56" i="45"/>
  <c r="AK55" i="45"/>
  <c r="AJ54" i="45"/>
  <c r="Q31" i="55" l="1"/>
  <c r="AA32" i="55"/>
  <c r="V39" i="55"/>
  <c r="P32" i="55"/>
  <c r="U27" i="60"/>
  <c r="V27" i="60" s="1"/>
  <c r="P27" i="60" s="1"/>
  <c r="AL33" i="55"/>
  <c r="AM33" i="55" s="1"/>
  <c r="AN33" i="55" s="1"/>
  <c r="R33" i="55" s="1"/>
  <c r="Z24" i="55"/>
  <c r="S19" i="60" s="1"/>
  <c r="T19" i="60" s="1"/>
  <c r="O19" i="60" s="1"/>
  <c r="AF36" i="53"/>
  <c r="O36" i="53" s="1"/>
  <c r="T36" i="53"/>
  <c r="Z36" i="53"/>
  <c r="U36" i="53" s="1"/>
  <c r="AG36" i="53"/>
  <c r="P36" i="53" s="1"/>
  <c r="Y37" i="53"/>
  <c r="X55" i="53"/>
  <c r="R55" i="53" s="1"/>
  <c r="AG33" i="55"/>
  <c r="AN54" i="45"/>
  <c r="AI56" i="45"/>
  <c r="Q56" i="60" s="1"/>
  <c r="AM55" i="45"/>
  <c r="AG56" i="45"/>
  <c r="U57" i="45"/>
  <c r="AK56" i="45"/>
  <c r="AJ55" i="45"/>
  <c r="AB32" i="55" l="1"/>
  <c r="AC32" i="55" s="1"/>
  <c r="AD32" i="55" s="1"/>
  <c r="V40" i="55"/>
  <c r="O24" i="55"/>
  <c r="W25" i="55"/>
  <c r="AF37" i="53"/>
  <c r="O37" i="53" s="1"/>
  <c r="T37" i="53"/>
  <c r="Z37" i="53"/>
  <c r="U37" i="53" s="1"/>
  <c r="AG37" i="53"/>
  <c r="P37" i="53" s="1"/>
  <c r="Y38" i="53"/>
  <c r="X56" i="53"/>
  <c r="R56" i="53" s="1"/>
  <c r="AH33" i="55"/>
  <c r="AN55" i="45"/>
  <c r="AI57" i="45"/>
  <c r="Q57" i="60" s="1"/>
  <c r="AM56" i="45"/>
  <c r="AG57" i="45"/>
  <c r="U58" i="45"/>
  <c r="AK57" i="45"/>
  <c r="AJ56" i="45"/>
  <c r="Q32" i="55" l="1"/>
  <c r="AA33" i="55"/>
  <c r="V41" i="55"/>
  <c r="AI33" i="55"/>
  <c r="AJ33" i="55" s="1"/>
  <c r="U28" i="60" s="1"/>
  <c r="V28" i="60" s="1"/>
  <c r="P28" i="60" s="1"/>
  <c r="AK34" i="55"/>
  <c r="X25" i="55"/>
  <c r="Y25" i="55" s="1"/>
  <c r="Z25" i="55" s="1"/>
  <c r="S20" i="60" s="1"/>
  <c r="T20" i="60" s="1"/>
  <c r="O20" i="60" s="1"/>
  <c r="AG38" i="53"/>
  <c r="P38" i="53" s="1"/>
  <c r="T38" i="53"/>
  <c r="AF38" i="53"/>
  <c r="Z38" i="53"/>
  <c r="U38" i="53" s="1"/>
  <c r="Y39" i="53"/>
  <c r="X57" i="53"/>
  <c r="AN56" i="45"/>
  <c r="AI58" i="45"/>
  <c r="Q58" i="60" s="1"/>
  <c r="AG58" i="45"/>
  <c r="U59" i="45"/>
  <c r="AK58" i="45"/>
  <c r="AJ57" i="45"/>
  <c r="AM57" i="45"/>
  <c r="AB33" i="55" l="1"/>
  <c r="AC33" i="55" s="1"/>
  <c r="AD33" i="55" s="1"/>
  <c r="AG34" i="55"/>
  <c r="AH34" i="55" s="1"/>
  <c r="P33" i="55"/>
  <c r="O25" i="55"/>
  <c r="AL34" i="55"/>
  <c r="AM34" i="55" s="1"/>
  <c r="AN34" i="55" s="1"/>
  <c r="R34" i="55" s="1"/>
  <c r="W26" i="55"/>
  <c r="AG39" i="53"/>
  <c r="P39" i="53" s="1"/>
  <c r="T39" i="53"/>
  <c r="V42" i="55"/>
  <c r="O38" i="53"/>
  <c r="Z39" i="53"/>
  <c r="U39" i="53" s="1"/>
  <c r="AF39" i="53"/>
  <c r="Y40" i="53"/>
  <c r="X58" i="53"/>
  <c r="AN57" i="45"/>
  <c r="AI59" i="45"/>
  <c r="Q59" i="60" s="1"/>
  <c r="AG59" i="45"/>
  <c r="U60" i="45"/>
  <c r="AK59" i="45"/>
  <c r="AJ58" i="45"/>
  <c r="AM58" i="45"/>
  <c r="Q33" i="55" l="1"/>
  <c r="AA34" i="55"/>
  <c r="AI34" i="55"/>
  <c r="AJ34" i="55" s="1"/>
  <c r="U29" i="60" s="1"/>
  <c r="V29" i="60" s="1"/>
  <c r="P29" i="60" s="1"/>
  <c r="AK35" i="55"/>
  <c r="X26" i="55"/>
  <c r="Y26" i="55" s="1"/>
  <c r="Z26" i="55" s="1"/>
  <c r="S21" i="60" s="1"/>
  <c r="T21" i="60" s="1"/>
  <c r="O21" i="60" s="1"/>
  <c r="AF40" i="53"/>
  <c r="O40" i="53" s="1"/>
  <c r="T40" i="53"/>
  <c r="V43" i="55"/>
  <c r="O39" i="53"/>
  <c r="V44" i="55"/>
  <c r="Z40" i="53"/>
  <c r="U40" i="53" s="1"/>
  <c r="AG40" i="53"/>
  <c r="P40" i="53" s="1"/>
  <c r="Y41" i="53"/>
  <c r="X59" i="53"/>
  <c r="AN58" i="45"/>
  <c r="AI60" i="45"/>
  <c r="Q60" i="60" s="1"/>
  <c r="AG60" i="45"/>
  <c r="U61" i="45"/>
  <c r="AK60" i="45"/>
  <c r="AJ59" i="45"/>
  <c r="AM59" i="45"/>
  <c r="AB34" i="55" l="1"/>
  <c r="AC34" i="55" s="1"/>
  <c r="AD34" i="55" s="1"/>
  <c r="AG35" i="55"/>
  <c r="AH35" i="55" s="1"/>
  <c r="P34" i="55"/>
  <c r="O26" i="55"/>
  <c r="AL35" i="55"/>
  <c r="AM35" i="55" s="1"/>
  <c r="AN35" i="55" s="1"/>
  <c r="R35" i="55" s="1"/>
  <c r="W27" i="55"/>
  <c r="AF41" i="53"/>
  <c r="V45" i="55" s="1"/>
  <c r="T41" i="53"/>
  <c r="AG41" i="53"/>
  <c r="P41" i="53" s="1"/>
  <c r="Z41" i="53"/>
  <c r="U41" i="53" s="1"/>
  <c r="Y42" i="53"/>
  <c r="X60" i="53"/>
  <c r="AN59" i="45"/>
  <c r="AI61" i="45"/>
  <c r="Q61" i="60" s="1"/>
  <c r="AM60" i="45"/>
  <c r="AG61" i="45"/>
  <c r="U62" i="45"/>
  <c r="AK61" i="45"/>
  <c r="AJ60" i="45"/>
  <c r="O41" i="53" l="1"/>
  <c r="AI35" i="55"/>
  <c r="AJ35" i="55" s="1"/>
  <c r="U30" i="60" s="1"/>
  <c r="V30" i="60" s="1"/>
  <c r="P30" i="60" s="1"/>
  <c r="AK36" i="55"/>
  <c r="X27" i="55"/>
  <c r="AG42" i="53"/>
  <c r="P42" i="53" s="1"/>
  <c r="T42" i="53"/>
  <c r="AF42" i="53"/>
  <c r="Z42" i="53"/>
  <c r="U42" i="53" s="1"/>
  <c r="Y43" i="53"/>
  <c r="X61" i="53"/>
  <c r="AN60" i="45"/>
  <c r="AI62" i="45"/>
  <c r="Q62" i="60" s="1"/>
  <c r="AG62" i="45"/>
  <c r="U63" i="45"/>
  <c r="AK62" i="45"/>
  <c r="AJ61" i="45"/>
  <c r="AM61" i="45"/>
  <c r="Q34" i="55" l="1"/>
  <c r="AA35" i="55"/>
  <c r="AG36" i="55"/>
  <c r="AH36" i="55" s="1"/>
  <c r="P35" i="55"/>
  <c r="AL36" i="55"/>
  <c r="AM36" i="55" s="1"/>
  <c r="AN36" i="55" s="1"/>
  <c r="R36" i="55" s="1"/>
  <c r="Y27" i="55"/>
  <c r="Z27" i="55" s="1"/>
  <c r="S22" i="60" s="1"/>
  <c r="T22" i="60" s="1"/>
  <c r="O22" i="60" s="1"/>
  <c r="AG43" i="53"/>
  <c r="P43" i="53" s="1"/>
  <c r="T43" i="53"/>
  <c r="V46" i="55"/>
  <c r="O42" i="53"/>
  <c r="Z43" i="53"/>
  <c r="U43" i="53" s="1"/>
  <c r="AF43" i="53"/>
  <c r="Y44" i="53"/>
  <c r="X62" i="53"/>
  <c r="AN61" i="45"/>
  <c r="AI63" i="45"/>
  <c r="Q63" i="60" s="1"/>
  <c r="AM62" i="45"/>
  <c r="AG63" i="45"/>
  <c r="U64" i="45"/>
  <c r="AK63" i="45"/>
  <c r="AJ62" i="45"/>
  <c r="AB35" i="55" l="1"/>
  <c r="AC35" i="55" s="1"/>
  <c r="AD35" i="55" s="1"/>
  <c r="O27" i="55"/>
  <c r="AI36" i="55"/>
  <c r="AJ36" i="55" s="1"/>
  <c r="U31" i="60" s="1"/>
  <c r="V31" i="60" s="1"/>
  <c r="P31" i="60" s="1"/>
  <c r="AK37" i="55"/>
  <c r="W28" i="55"/>
  <c r="AF44" i="53"/>
  <c r="V48" i="55" s="1"/>
  <c r="T44" i="53"/>
  <c r="V47" i="55"/>
  <c r="O43" i="53"/>
  <c r="Z44" i="53"/>
  <c r="U44" i="53" s="1"/>
  <c r="AG44" i="53"/>
  <c r="P44" i="53" s="1"/>
  <c r="Y45" i="53"/>
  <c r="X63" i="53"/>
  <c r="AN62" i="45"/>
  <c r="AI64" i="45"/>
  <c r="Q64" i="60" s="1"/>
  <c r="AM63" i="45"/>
  <c r="AG64" i="45"/>
  <c r="U65" i="45"/>
  <c r="AK64" i="45"/>
  <c r="AJ63" i="45"/>
  <c r="O44" i="53" l="1"/>
  <c r="Q35" i="55"/>
  <c r="AA36" i="55"/>
  <c r="AG37" i="55"/>
  <c r="AH37" i="55" s="1"/>
  <c r="P36" i="55"/>
  <c r="AL37" i="55"/>
  <c r="AM37" i="55" s="1"/>
  <c r="AN37" i="55" s="1"/>
  <c r="R37" i="55" s="1"/>
  <c r="X28" i="55"/>
  <c r="AF45" i="53"/>
  <c r="V49" i="55" s="1"/>
  <c r="T45" i="53"/>
  <c r="AG45" i="53"/>
  <c r="P45" i="53" s="1"/>
  <c r="Z45" i="53"/>
  <c r="U45" i="53" s="1"/>
  <c r="Y46" i="53"/>
  <c r="X64" i="53"/>
  <c r="AN63" i="45"/>
  <c r="AI65" i="45"/>
  <c r="Q65" i="60" s="1"/>
  <c r="AG65" i="45"/>
  <c r="U66" i="45"/>
  <c r="AK65" i="45"/>
  <c r="AJ64" i="45"/>
  <c r="AM64" i="45"/>
  <c r="AB36" i="55" l="1"/>
  <c r="AC36" i="55" s="1"/>
  <c r="AD36" i="55" s="1"/>
  <c r="AA37" i="55" s="1"/>
  <c r="O45" i="53"/>
  <c r="AI37" i="55"/>
  <c r="AJ37" i="55" s="1"/>
  <c r="U32" i="60" s="1"/>
  <c r="V32" i="60" s="1"/>
  <c r="P32" i="60" s="1"/>
  <c r="AK38" i="55"/>
  <c r="Y28" i="55"/>
  <c r="Z28" i="55" s="1"/>
  <c r="S23" i="60" s="1"/>
  <c r="T23" i="60" s="1"/>
  <c r="O23" i="60" s="1"/>
  <c r="AF46" i="53"/>
  <c r="V50" i="55" s="1"/>
  <c r="T46" i="53"/>
  <c r="Z46" i="53"/>
  <c r="U46" i="53" s="1"/>
  <c r="AG46" i="53"/>
  <c r="P46" i="53" s="1"/>
  <c r="Y47" i="53"/>
  <c r="X65" i="53"/>
  <c r="AN64" i="45"/>
  <c r="AI66" i="45"/>
  <c r="Q66" i="60" s="1"/>
  <c r="AM65" i="45"/>
  <c r="AG66" i="45"/>
  <c r="U67" i="45"/>
  <c r="AK66" i="45"/>
  <c r="AJ65" i="45"/>
  <c r="O46" i="53" l="1"/>
  <c r="P37" i="55"/>
  <c r="O28" i="55"/>
  <c r="AL38" i="55"/>
  <c r="AM38" i="55" s="1"/>
  <c r="AN38" i="55" s="1"/>
  <c r="R38" i="55" s="1"/>
  <c r="AG38" i="55"/>
  <c r="AH38" i="55" s="1"/>
  <c r="W29" i="55"/>
  <c r="AF47" i="53"/>
  <c r="V51" i="55" s="1"/>
  <c r="T47" i="53"/>
  <c r="Z47" i="53"/>
  <c r="U47" i="53" s="1"/>
  <c r="AG47" i="53"/>
  <c r="P47" i="53" s="1"/>
  <c r="Y48" i="53"/>
  <c r="X66" i="53"/>
  <c r="AN65" i="45"/>
  <c r="AI67" i="45"/>
  <c r="Q67" i="60" s="1"/>
  <c r="AG67" i="45"/>
  <c r="U68" i="45"/>
  <c r="AK67" i="45"/>
  <c r="AJ66" i="45"/>
  <c r="AM66" i="45"/>
  <c r="Q36" i="55" l="1"/>
  <c r="O47" i="53"/>
  <c r="AI38" i="55"/>
  <c r="AJ38" i="55" s="1"/>
  <c r="U33" i="60" s="1"/>
  <c r="V33" i="60" s="1"/>
  <c r="P33" i="60" s="1"/>
  <c r="AK39" i="55"/>
  <c r="X29" i="55"/>
  <c r="AF48" i="53"/>
  <c r="V52" i="55" s="1"/>
  <c r="T48" i="53"/>
  <c r="Z48" i="53"/>
  <c r="U48" i="53" s="1"/>
  <c r="AG48" i="53"/>
  <c r="P48" i="53" s="1"/>
  <c r="Y49" i="53"/>
  <c r="X67" i="53"/>
  <c r="AN66" i="45"/>
  <c r="AI68" i="45"/>
  <c r="Q68" i="60" s="1"/>
  <c r="AG68" i="45"/>
  <c r="U69" i="45"/>
  <c r="AK68" i="45"/>
  <c r="AJ67" i="45"/>
  <c r="AM67" i="45"/>
  <c r="AB37" i="55" l="1"/>
  <c r="AC37" i="55" s="1"/>
  <c r="AD37" i="55" s="1"/>
  <c r="O48" i="53"/>
  <c r="AG39" i="55"/>
  <c r="AH39" i="55" s="1"/>
  <c r="P38" i="55"/>
  <c r="AL39" i="55"/>
  <c r="AM39" i="55" s="1"/>
  <c r="AN39" i="55" s="1"/>
  <c r="R39" i="55" s="1"/>
  <c r="Y29" i="55"/>
  <c r="Z29" i="55" s="1"/>
  <c r="S24" i="60" s="1"/>
  <c r="T24" i="60" s="1"/>
  <c r="O24" i="60" s="1"/>
  <c r="AG49" i="53"/>
  <c r="P49" i="53" s="1"/>
  <c r="T49" i="53"/>
  <c r="Z49" i="53"/>
  <c r="U49" i="53" s="1"/>
  <c r="AF49" i="53"/>
  <c r="Y50" i="53"/>
  <c r="X68" i="53"/>
  <c r="AN67" i="45"/>
  <c r="AI69" i="45"/>
  <c r="Q69" i="60" s="1"/>
  <c r="AG69" i="45"/>
  <c r="U70" i="45"/>
  <c r="AK69" i="45"/>
  <c r="AJ68" i="45"/>
  <c r="AM68" i="45"/>
  <c r="Q37" i="55" l="1"/>
  <c r="AA38" i="55"/>
  <c r="O29" i="55"/>
  <c r="AI39" i="55"/>
  <c r="AJ39" i="55" s="1"/>
  <c r="U34" i="60" s="1"/>
  <c r="V34" i="60" s="1"/>
  <c r="P34" i="60" s="1"/>
  <c r="AK40" i="55"/>
  <c r="W30" i="55"/>
  <c r="AF50" i="53"/>
  <c r="V54" i="55" s="1"/>
  <c r="T50" i="53"/>
  <c r="V53" i="55"/>
  <c r="O49" i="53"/>
  <c r="Z50" i="53"/>
  <c r="U50" i="53" s="1"/>
  <c r="AG50" i="53"/>
  <c r="P50" i="53" s="1"/>
  <c r="Y51" i="53"/>
  <c r="X69" i="53"/>
  <c r="AN68" i="45"/>
  <c r="AI70" i="45"/>
  <c r="Q70" i="60" s="1"/>
  <c r="AG70" i="45"/>
  <c r="U71" i="45"/>
  <c r="AK70" i="45"/>
  <c r="AJ69" i="45"/>
  <c r="AM69" i="45"/>
  <c r="AB38" i="55" l="1"/>
  <c r="AC38" i="55" s="1"/>
  <c r="AD38" i="55" s="1"/>
  <c r="O50" i="53"/>
  <c r="P39" i="55"/>
  <c r="AG40" i="55"/>
  <c r="AH40" i="55" s="1"/>
  <c r="AL40" i="55"/>
  <c r="AM40" i="55" s="1"/>
  <c r="AN40" i="55" s="1"/>
  <c r="R40" i="55" s="1"/>
  <c r="X30" i="55"/>
  <c r="AG51" i="53"/>
  <c r="P51" i="53" s="1"/>
  <c r="T51" i="53"/>
  <c r="AF51" i="53"/>
  <c r="Z51" i="53"/>
  <c r="U51" i="53" s="1"/>
  <c r="Y52" i="53"/>
  <c r="X70" i="53"/>
  <c r="AN69" i="45"/>
  <c r="AI71" i="45"/>
  <c r="Q71" i="60" s="1"/>
  <c r="AG71" i="45"/>
  <c r="U72" i="45"/>
  <c r="AK71" i="45"/>
  <c r="AJ70" i="45"/>
  <c r="AM70" i="45"/>
  <c r="AI40" i="55" l="1"/>
  <c r="AJ40" i="55" s="1"/>
  <c r="U35" i="60" s="1"/>
  <c r="V35" i="60" s="1"/>
  <c r="P35" i="60" s="1"/>
  <c r="AK41" i="55"/>
  <c r="Y30" i="55"/>
  <c r="Z30" i="55" s="1"/>
  <c r="S25" i="60" s="1"/>
  <c r="T25" i="60" s="1"/>
  <c r="O25" i="60" s="1"/>
  <c r="AG52" i="53"/>
  <c r="P52" i="53" s="1"/>
  <c r="T52" i="53"/>
  <c r="V55" i="55"/>
  <c r="O51" i="53"/>
  <c r="Z52" i="53"/>
  <c r="U52" i="53" s="1"/>
  <c r="AF52" i="53"/>
  <c r="Y53" i="53"/>
  <c r="X71" i="53"/>
  <c r="AN70" i="45"/>
  <c r="AI72" i="45"/>
  <c r="Q72" i="60" s="1"/>
  <c r="AG72" i="45"/>
  <c r="U73" i="45"/>
  <c r="AK72" i="45"/>
  <c r="AJ71" i="45"/>
  <c r="AM71" i="45"/>
  <c r="Q38" i="55" l="1"/>
  <c r="AA39" i="55"/>
  <c r="P40" i="55"/>
  <c r="O30" i="55"/>
  <c r="AL41" i="55"/>
  <c r="AM41" i="55" s="1"/>
  <c r="AN41" i="55" s="1"/>
  <c r="R41" i="55" s="1"/>
  <c r="AG41" i="55"/>
  <c r="AH41" i="55" s="1"/>
  <c r="W31" i="55"/>
  <c r="AF53" i="53"/>
  <c r="V57" i="55" s="1"/>
  <c r="T53" i="53"/>
  <c r="V56" i="55"/>
  <c r="O52" i="53"/>
  <c r="AG53" i="53"/>
  <c r="P53" i="53" s="1"/>
  <c r="Z53" i="53"/>
  <c r="U53" i="53" s="1"/>
  <c r="Y54" i="53"/>
  <c r="X72" i="53"/>
  <c r="AN71" i="45"/>
  <c r="AI73" i="45"/>
  <c r="Q73" i="60" s="1"/>
  <c r="AG73" i="45"/>
  <c r="U74" i="45"/>
  <c r="AK73" i="45"/>
  <c r="AJ72" i="45"/>
  <c r="AM72" i="45"/>
  <c r="AB39" i="55" l="1"/>
  <c r="AC39" i="55" s="1"/>
  <c r="AD39" i="55" s="1"/>
  <c r="O53" i="53"/>
  <c r="AI41" i="55"/>
  <c r="AJ41" i="55" s="1"/>
  <c r="U36" i="60" s="1"/>
  <c r="V36" i="60" s="1"/>
  <c r="AK42" i="55"/>
  <c r="X31" i="55"/>
  <c r="AF54" i="53"/>
  <c r="V58" i="55" s="1"/>
  <c r="T54" i="53"/>
  <c r="Z54" i="53"/>
  <c r="U54" i="53" s="1"/>
  <c r="AG54" i="53"/>
  <c r="P54" i="53" s="1"/>
  <c r="Y55" i="53"/>
  <c r="X73" i="53"/>
  <c r="AN72" i="45"/>
  <c r="AI74" i="45"/>
  <c r="Q74" i="60" s="1"/>
  <c r="AG74" i="45"/>
  <c r="U75" i="45"/>
  <c r="AK74" i="45"/>
  <c r="AJ73" i="45"/>
  <c r="AM73" i="45"/>
  <c r="Q39" i="55" l="1"/>
  <c r="AA40" i="55"/>
  <c r="P36" i="60"/>
  <c r="O54" i="53"/>
  <c r="AG42" i="55"/>
  <c r="AH42" i="55" s="1"/>
  <c r="P41" i="55"/>
  <c r="AL42" i="55"/>
  <c r="AM42" i="55" s="1"/>
  <c r="AN42" i="55" s="1"/>
  <c r="R42" i="55" s="1"/>
  <c r="Y31" i="55"/>
  <c r="Z31" i="55" s="1"/>
  <c r="S26" i="60" s="1"/>
  <c r="T26" i="60" s="1"/>
  <c r="AF55" i="53"/>
  <c r="O55" i="53" s="1"/>
  <c r="T55" i="53"/>
  <c r="Z55" i="53"/>
  <c r="U55" i="53" s="1"/>
  <c r="AG55" i="53"/>
  <c r="P55" i="53" s="1"/>
  <c r="Y56" i="53"/>
  <c r="X74" i="53"/>
  <c r="AN73" i="45"/>
  <c r="AI75" i="45"/>
  <c r="Q75" i="60" s="1"/>
  <c r="AM74" i="45"/>
  <c r="AG75" i="45"/>
  <c r="U76" i="45"/>
  <c r="AK75" i="45"/>
  <c r="AJ74" i="45"/>
  <c r="AB40" i="55" l="1"/>
  <c r="AC40" i="55" s="1"/>
  <c r="AD40" i="55" s="1"/>
  <c r="V59" i="55"/>
  <c r="O26" i="60"/>
  <c r="O31" i="55"/>
  <c r="AI42" i="55"/>
  <c r="AJ42" i="55" s="1"/>
  <c r="U37" i="60" s="1"/>
  <c r="V37" i="60" s="1"/>
  <c r="P37" i="60" s="1"/>
  <c r="AK43" i="55"/>
  <c r="W32" i="55"/>
  <c r="AF56" i="53"/>
  <c r="T56" i="53"/>
  <c r="Z56" i="53"/>
  <c r="U56" i="53" s="1"/>
  <c r="AG56" i="53"/>
  <c r="P56" i="53" s="1"/>
  <c r="Y57" i="53"/>
  <c r="AF57" i="53" s="1"/>
  <c r="V61" i="55" s="1"/>
  <c r="X75" i="53"/>
  <c r="AN74" i="45"/>
  <c r="AI76" i="45"/>
  <c r="Q76" i="60" s="1"/>
  <c r="AG76" i="45"/>
  <c r="U77" i="45"/>
  <c r="AK76" i="45"/>
  <c r="AJ75" i="45"/>
  <c r="AM75" i="45"/>
  <c r="AA41" i="55" l="1"/>
  <c r="P42" i="55"/>
  <c r="AL43" i="55"/>
  <c r="AM43" i="55" s="1"/>
  <c r="AN43" i="55" s="1"/>
  <c r="R43" i="55" s="1"/>
  <c r="AG43" i="55"/>
  <c r="AH43" i="55" s="1"/>
  <c r="X32" i="55"/>
  <c r="V60" i="55"/>
  <c r="O56" i="53"/>
  <c r="AG57" i="53"/>
  <c r="Z57" i="53"/>
  <c r="Y58" i="53"/>
  <c r="AG58" i="53" s="1"/>
  <c r="X76" i="53"/>
  <c r="AN75" i="45"/>
  <c r="AI77" i="45"/>
  <c r="Q77" i="60" s="1"/>
  <c r="AM76" i="45"/>
  <c r="AG77" i="45"/>
  <c r="U78" i="45"/>
  <c r="AK77" i="45"/>
  <c r="AJ76" i="45"/>
  <c r="Q40" i="55" l="1"/>
  <c r="AI43" i="55"/>
  <c r="AJ43" i="55" s="1"/>
  <c r="U38" i="60" s="1"/>
  <c r="V38" i="60" s="1"/>
  <c r="P38" i="60" s="1"/>
  <c r="AK44" i="55"/>
  <c r="Y32" i="55"/>
  <c r="Z32" i="55" s="1"/>
  <c r="S27" i="60" s="1"/>
  <c r="T27" i="60" s="1"/>
  <c r="O27" i="60" s="1"/>
  <c r="Z58" i="53"/>
  <c r="AF58" i="53"/>
  <c r="V62" i="55" s="1"/>
  <c r="Y59" i="53"/>
  <c r="AG59" i="53" s="1"/>
  <c r="X77" i="53"/>
  <c r="AN76" i="45"/>
  <c r="AI78" i="45"/>
  <c r="Q78" i="60" s="1"/>
  <c r="AG78" i="45"/>
  <c r="U79" i="45"/>
  <c r="AK78" i="45"/>
  <c r="AJ77" i="45"/>
  <c r="AM77" i="45"/>
  <c r="AB41" i="55" l="1"/>
  <c r="AC41" i="55" s="1"/>
  <c r="AD41" i="55" s="1"/>
  <c r="P43" i="55"/>
  <c r="O32" i="55"/>
  <c r="AL44" i="55"/>
  <c r="AM44" i="55" s="1"/>
  <c r="AN44" i="55" s="1"/>
  <c r="R44" i="55" s="1"/>
  <c r="AG44" i="55"/>
  <c r="AH44" i="55" s="1"/>
  <c r="W33" i="55"/>
  <c r="Z59" i="53"/>
  <c r="AF59" i="53"/>
  <c r="V63" i="55" s="1"/>
  <c r="Y60" i="53"/>
  <c r="AG60" i="53" s="1"/>
  <c r="X78" i="53"/>
  <c r="AN77" i="45"/>
  <c r="AI79" i="45"/>
  <c r="Q79" i="60" s="1"/>
  <c r="AM78" i="45"/>
  <c r="AG79" i="45"/>
  <c r="U80" i="45"/>
  <c r="AK79" i="45"/>
  <c r="AJ78" i="45"/>
  <c r="AI44" i="55" l="1"/>
  <c r="AJ44" i="55" s="1"/>
  <c r="U39" i="60" s="1"/>
  <c r="V39" i="60" s="1"/>
  <c r="P39" i="60" s="1"/>
  <c r="AK45" i="55"/>
  <c r="X33" i="55"/>
  <c r="AF60" i="53"/>
  <c r="V64" i="55" s="1"/>
  <c r="Y61" i="53"/>
  <c r="AG61" i="53" s="1"/>
  <c r="X79" i="53"/>
  <c r="Z60" i="53"/>
  <c r="AN78" i="45"/>
  <c r="AI80" i="45"/>
  <c r="Q80" i="60" s="1"/>
  <c r="AG80" i="45"/>
  <c r="U81" i="45"/>
  <c r="AK80" i="45"/>
  <c r="AJ79" i="45"/>
  <c r="AM79" i="45"/>
  <c r="Q41" i="55" l="1"/>
  <c r="AA42" i="55"/>
  <c r="AG45" i="55"/>
  <c r="AH45" i="55" s="1"/>
  <c r="P44" i="55"/>
  <c r="AL45" i="55"/>
  <c r="AM45" i="55" s="1"/>
  <c r="AN45" i="55" s="1"/>
  <c r="R45" i="55" s="1"/>
  <c r="Y33" i="55"/>
  <c r="Z33" i="55" s="1"/>
  <c r="S28" i="60" s="1"/>
  <c r="T28" i="60" s="1"/>
  <c r="Z61" i="53"/>
  <c r="AF61" i="53"/>
  <c r="V65" i="55" s="1"/>
  <c r="Y62" i="53"/>
  <c r="AG62" i="53" s="1"/>
  <c r="X80" i="53"/>
  <c r="AN79" i="45"/>
  <c r="AI81" i="45"/>
  <c r="Q81" i="60" s="1"/>
  <c r="AG81" i="45"/>
  <c r="AM80" i="45"/>
  <c r="U82" i="45"/>
  <c r="AK81" i="45"/>
  <c r="AJ80" i="45"/>
  <c r="AB42" i="55" l="1"/>
  <c r="AC42" i="55" s="1"/>
  <c r="AD42" i="55" s="1"/>
  <c r="O28" i="60"/>
  <c r="O33" i="55"/>
  <c r="AI45" i="55"/>
  <c r="AJ45" i="55" s="1"/>
  <c r="U40" i="60" s="1"/>
  <c r="V40" i="60" s="1"/>
  <c r="P40" i="60" s="1"/>
  <c r="AK46" i="55"/>
  <c r="W34" i="55"/>
  <c r="Z62" i="53"/>
  <c r="AF62" i="53"/>
  <c r="V66" i="55" s="1"/>
  <c r="Y63" i="53"/>
  <c r="AG63" i="53" s="1"/>
  <c r="X81" i="53"/>
  <c r="AN80" i="45"/>
  <c r="AI82" i="45"/>
  <c r="Q82" i="60" s="1"/>
  <c r="AG82" i="45"/>
  <c r="U83" i="45"/>
  <c r="AK82" i="45"/>
  <c r="AJ81" i="45"/>
  <c r="AM81" i="45"/>
  <c r="Q42" i="55" l="1"/>
  <c r="AA43" i="55"/>
  <c r="P45" i="55"/>
  <c r="AL46" i="55"/>
  <c r="AM46" i="55" s="1"/>
  <c r="AN46" i="55" s="1"/>
  <c r="R46" i="55" s="1"/>
  <c r="AG46" i="55"/>
  <c r="AH46" i="55" s="1"/>
  <c r="X34" i="55"/>
  <c r="AF63" i="53"/>
  <c r="V67" i="55" s="1"/>
  <c r="Z63" i="53"/>
  <c r="Y64" i="53"/>
  <c r="AG64" i="53" s="1"/>
  <c r="X82" i="53"/>
  <c r="AN81" i="45"/>
  <c r="AI83" i="45"/>
  <c r="Q83" i="60" s="1"/>
  <c r="AG83" i="45"/>
  <c r="U84" i="45"/>
  <c r="AK83" i="45"/>
  <c r="AJ82" i="45"/>
  <c r="AM82" i="45"/>
  <c r="AB43" i="55" l="1"/>
  <c r="AC43" i="55" s="1"/>
  <c r="AD43" i="55" s="1"/>
  <c r="AI46" i="55"/>
  <c r="AJ46" i="55" s="1"/>
  <c r="U41" i="60" s="1"/>
  <c r="V41" i="60" s="1"/>
  <c r="P41" i="60" s="1"/>
  <c r="AK47" i="55"/>
  <c r="Y34" i="55"/>
  <c r="Z34" i="55" s="1"/>
  <c r="S29" i="60" s="1"/>
  <c r="T29" i="60" s="1"/>
  <c r="O29" i="60" s="1"/>
  <c r="Z64" i="53"/>
  <c r="AF64" i="53"/>
  <c r="V68" i="55" s="1"/>
  <c r="Y65" i="53"/>
  <c r="AF65" i="53" s="1"/>
  <c r="V69" i="55" s="1"/>
  <c r="X83" i="53"/>
  <c r="AN82" i="45"/>
  <c r="AI84" i="45"/>
  <c r="Q84" i="60" s="1"/>
  <c r="AG84" i="45"/>
  <c r="U85" i="45"/>
  <c r="AK84" i="45"/>
  <c r="AJ83" i="45"/>
  <c r="AM83" i="45"/>
  <c r="Q43" i="55" l="1"/>
  <c r="AA44" i="55"/>
  <c r="P46" i="55"/>
  <c r="O34" i="55"/>
  <c r="AL47" i="55"/>
  <c r="AM47" i="55" s="1"/>
  <c r="AN47" i="55" s="1"/>
  <c r="R47" i="55" s="1"/>
  <c r="AG47" i="55"/>
  <c r="AH47" i="55" s="1"/>
  <c r="W35" i="55"/>
  <c r="AG65" i="53"/>
  <c r="Y66" i="53"/>
  <c r="AF66" i="53" s="1"/>
  <c r="V70" i="55" s="1"/>
  <c r="X84" i="53"/>
  <c r="Z65" i="53"/>
  <c r="AN83" i="45"/>
  <c r="AI85" i="45"/>
  <c r="Q85" i="60" s="1"/>
  <c r="AM84" i="45"/>
  <c r="AG85" i="45"/>
  <c r="U86" i="45"/>
  <c r="AK85" i="45"/>
  <c r="AJ84" i="45"/>
  <c r="AB44" i="55" l="1"/>
  <c r="AC44" i="55" s="1"/>
  <c r="AD44" i="55" s="1"/>
  <c r="AI47" i="55"/>
  <c r="AJ47" i="55" s="1"/>
  <c r="U42" i="60" s="1"/>
  <c r="V42" i="60" s="1"/>
  <c r="P42" i="60" s="1"/>
  <c r="AK48" i="55"/>
  <c r="X35" i="55"/>
  <c r="Z66" i="53"/>
  <c r="AG66" i="53"/>
  <c r="Y67" i="53"/>
  <c r="AF67" i="53" s="1"/>
  <c r="V71" i="55" s="1"/>
  <c r="X85" i="53"/>
  <c r="AN84" i="45"/>
  <c r="AI86" i="45"/>
  <c r="Q86" i="60" s="1"/>
  <c r="AG86" i="45"/>
  <c r="U87" i="45"/>
  <c r="AK86" i="45"/>
  <c r="AJ85" i="45"/>
  <c r="AM85" i="45"/>
  <c r="Q44" i="55" l="1"/>
  <c r="AA45" i="55"/>
  <c r="AG48" i="55"/>
  <c r="AH48" i="55" s="1"/>
  <c r="P47" i="55"/>
  <c r="AL48" i="55"/>
  <c r="AM48" i="55" s="1"/>
  <c r="AN48" i="55" s="1"/>
  <c r="R48" i="55" s="1"/>
  <c r="Y35" i="55"/>
  <c r="Z35" i="55" s="1"/>
  <c r="S30" i="60" s="1"/>
  <c r="T30" i="60" s="1"/>
  <c r="O30" i="60" s="1"/>
  <c r="Z67" i="53"/>
  <c r="AG67" i="53"/>
  <c r="Y68" i="53"/>
  <c r="AF68" i="53" s="1"/>
  <c r="V72" i="55" s="1"/>
  <c r="X86" i="53"/>
  <c r="AN85" i="45"/>
  <c r="AI87" i="45"/>
  <c r="Q87" i="60" s="1"/>
  <c r="AG87" i="45"/>
  <c r="U88" i="45"/>
  <c r="AK87" i="45"/>
  <c r="AJ86" i="45"/>
  <c r="AM86" i="45"/>
  <c r="AB45" i="55" l="1"/>
  <c r="AC45" i="55" s="1"/>
  <c r="AD45" i="55" s="1"/>
  <c r="O35" i="55"/>
  <c r="AI48" i="55"/>
  <c r="AJ48" i="55" s="1"/>
  <c r="U43" i="60" s="1"/>
  <c r="V43" i="60" s="1"/>
  <c r="P43" i="60" s="1"/>
  <c r="AK49" i="55"/>
  <c r="W36" i="55"/>
  <c r="Z68" i="53"/>
  <c r="AG68" i="53"/>
  <c r="Y69" i="53"/>
  <c r="AF69" i="53" s="1"/>
  <c r="V73" i="55" s="1"/>
  <c r="X87" i="53"/>
  <c r="AN86" i="45"/>
  <c r="AI88" i="45"/>
  <c r="Q88" i="60" s="1"/>
  <c r="AG88" i="45"/>
  <c r="U89" i="45"/>
  <c r="AK88" i="45"/>
  <c r="AJ87" i="45"/>
  <c r="AM87" i="45"/>
  <c r="Q45" i="55" l="1"/>
  <c r="AA46" i="55"/>
  <c r="AG49" i="55"/>
  <c r="AH49" i="55" s="1"/>
  <c r="P48" i="55"/>
  <c r="AL49" i="55"/>
  <c r="AM49" i="55" s="1"/>
  <c r="AN49" i="55" s="1"/>
  <c r="R49" i="55" s="1"/>
  <c r="X36" i="55"/>
  <c r="Z69" i="53"/>
  <c r="AG69" i="53"/>
  <c r="Y70" i="53"/>
  <c r="AG70" i="53" s="1"/>
  <c r="X88" i="53"/>
  <c r="AN87" i="45"/>
  <c r="AI89" i="45"/>
  <c r="Q89" i="60" s="1"/>
  <c r="AM88" i="45"/>
  <c r="AG89" i="45"/>
  <c r="U90" i="45"/>
  <c r="AK89" i="45"/>
  <c r="AJ88" i="45"/>
  <c r="AB46" i="55" l="1"/>
  <c r="AC46" i="55" s="1"/>
  <c r="AD46" i="55" s="1"/>
  <c r="AI49" i="55"/>
  <c r="AJ49" i="55" s="1"/>
  <c r="U44" i="60" s="1"/>
  <c r="V44" i="60" s="1"/>
  <c r="P44" i="60" s="1"/>
  <c r="AK50" i="55"/>
  <c r="Y36" i="55"/>
  <c r="Z36" i="55" s="1"/>
  <c r="S31" i="60" s="1"/>
  <c r="T31" i="60" s="1"/>
  <c r="O31" i="60" s="1"/>
  <c r="Z70" i="53"/>
  <c r="AF70" i="53"/>
  <c r="V74" i="55" s="1"/>
  <c r="Y71" i="53"/>
  <c r="AG71" i="53" s="1"/>
  <c r="X89" i="53"/>
  <c r="AN88" i="45"/>
  <c r="AI90" i="45"/>
  <c r="Q90" i="60" s="1"/>
  <c r="AG90" i="45"/>
  <c r="U91" i="45"/>
  <c r="AK90" i="45"/>
  <c r="AJ89" i="45"/>
  <c r="AM89" i="45"/>
  <c r="Q46" i="55" l="1"/>
  <c r="AA47" i="55"/>
  <c r="P49" i="55"/>
  <c r="O36" i="55"/>
  <c r="AL50" i="55"/>
  <c r="AM50" i="55" s="1"/>
  <c r="AN50" i="55" s="1"/>
  <c r="R50" i="55" s="1"/>
  <c r="AG50" i="55"/>
  <c r="AH50" i="55" s="1"/>
  <c r="W37" i="55"/>
  <c r="Z71" i="53"/>
  <c r="AF71" i="53"/>
  <c r="V75" i="55" s="1"/>
  <c r="Y72" i="53"/>
  <c r="AF72" i="53" s="1"/>
  <c r="V76" i="55" s="1"/>
  <c r="X90" i="53"/>
  <c r="AN89" i="45"/>
  <c r="AI91" i="45"/>
  <c r="Q91" i="60" s="1"/>
  <c r="AG91" i="45"/>
  <c r="U92" i="45"/>
  <c r="AK91" i="45"/>
  <c r="AJ90" i="45"/>
  <c r="AM90" i="45"/>
  <c r="AB47" i="55" l="1"/>
  <c r="AC47" i="55" s="1"/>
  <c r="AD47" i="55" s="1"/>
  <c r="AI50" i="55"/>
  <c r="AJ50" i="55" s="1"/>
  <c r="U45" i="60" s="1"/>
  <c r="V45" i="60" s="1"/>
  <c r="P45" i="60" s="1"/>
  <c r="AK51" i="55"/>
  <c r="X37" i="55"/>
  <c r="Z72" i="53"/>
  <c r="AG72" i="53"/>
  <c r="Y73" i="53"/>
  <c r="AF73" i="53" s="1"/>
  <c r="V77" i="55" s="1"/>
  <c r="X91" i="53"/>
  <c r="AN90" i="45"/>
  <c r="AI92" i="45"/>
  <c r="Q92" i="60" s="1"/>
  <c r="AG92" i="45"/>
  <c r="U93" i="45"/>
  <c r="AK92" i="45"/>
  <c r="AJ91" i="45"/>
  <c r="AM91" i="45"/>
  <c r="AA48" i="55" l="1"/>
  <c r="Q47" i="55"/>
  <c r="AG51" i="55"/>
  <c r="AH51" i="55" s="1"/>
  <c r="P50" i="55"/>
  <c r="AL51" i="55"/>
  <c r="AM51" i="55" s="1"/>
  <c r="AN51" i="55" s="1"/>
  <c r="R51" i="55" s="1"/>
  <c r="Y37" i="55"/>
  <c r="Z37" i="55" s="1"/>
  <c r="S32" i="60" s="1"/>
  <c r="T32" i="60" s="1"/>
  <c r="O32" i="60" s="1"/>
  <c r="Z73" i="53"/>
  <c r="AG73" i="53"/>
  <c r="Y74" i="53"/>
  <c r="AF74" i="53" s="1"/>
  <c r="V78" i="55" s="1"/>
  <c r="X92" i="53"/>
  <c r="AN91" i="45"/>
  <c r="AI93" i="45"/>
  <c r="Q93" i="60" s="1"/>
  <c r="AG93" i="45"/>
  <c r="U94" i="45"/>
  <c r="AK93" i="45"/>
  <c r="AJ92" i="45"/>
  <c r="AM92" i="45"/>
  <c r="AB48" i="55" l="1"/>
  <c r="AC48" i="55" s="1"/>
  <c r="AD48" i="55" s="1"/>
  <c r="O37" i="55"/>
  <c r="AI51" i="55"/>
  <c r="AJ51" i="55" s="1"/>
  <c r="U46" i="60" s="1"/>
  <c r="V46" i="60" s="1"/>
  <c r="AK52" i="55"/>
  <c r="W38" i="55"/>
  <c r="Z74" i="53"/>
  <c r="AG74" i="53"/>
  <c r="Y75" i="53"/>
  <c r="AG75" i="53" s="1"/>
  <c r="X93" i="53"/>
  <c r="AN92" i="45"/>
  <c r="AI94" i="45"/>
  <c r="Q94" i="60" s="1"/>
  <c r="AG94" i="45"/>
  <c r="U95" i="45"/>
  <c r="AK94" i="45"/>
  <c r="AJ93" i="45"/>
  <c r="AM93" i="45"/>
  <c r="Q48" i="55" l="1"/>
  <c r="AA49" i="55"/>
  <c r="P46" i="60"/>
  <c r="P51" i="55"/>
  <c r="AG52" i="55"/>
  <c r="AH52" i="55" s="1"/>
  <c r="AL52" i="55"/>
  <c r="AM52" i="55" s="1"/>
  <c r="AN52" i="55" s="1"/>
  <c r="R52" i="55" s="1"/>
  <c r="X38" i="55"/>
  <c r="Z75" i="53"/>
  <c r="AF75" i="53"/>
  <c r="V79" i="55" s="1"/>
  <c r="Y76" i="53"/>
  <c r="AG76" i="53" s="1"/>
  <c r="X94" i="53"/>
  <c r="AN93" i="45"/>
  <c r="AI95" i="45"/>
  <c r="Q95" i="60" s="1"/>
  <c r="AM94" i="45"/>
  <c r="AG95" i="45"/>
  <c r="U96" i="45"/>
  <c r="AK95" i="45"/>
  <c r="AJ94" i="45"/>
  <c r="AB49" i="55" l="1"/>
  <c r="AC49" i="55" s="1"/>
  <c r="AD49" i="55" s="1"/>
  <c r="AI52" i="55"/>
  <c r="AJ52" i="55" s="1"/>
  <c r="U47" i="60" s="1"/>
  <c r="V47" i="60" s="1"/>
  <c r="P47" i="60" s="1"/>
  <c r="AK53" i="55"/>
  <c r="Y38" i="55"/>
  <c r="Z38" i="55" s="1"/>
  <c r="S33" i="60" s="1"/>
  <c r="T33" i="60" s="1"/>
  <c r="O33" i="60" s="1"/>
  <c r="Z76" i="53"/>
  <c r="AF76" i="53"/>
  <c r="V80" i="55" s="1"/>
  <c r="Y77" i="53"/>
  <c r="AF77" i="53" s="1"/>
  <c r="V81" i="55" s="1"/>
  <c r="X95" i="53"/>
  <c r="AN94" i="45"/>
  <c r="AI96" i="45"/>
  <c r="Q96" i="60" s="1"/>
  <c r="AG96" i="45"/>
  <c r="U97" i="45"/>
  <c r="AK96" i="45"/>
  <c r="AJ95" i="45"/>
  <c r="AM95" i="45"/>
  <c r="Q49" i="55" l="1"/>
  <c r="AA50" i="55"/>
  <c r="P52" i="55"/>
  <c r="O38" i="55"/>
  <c r="AL53" i="55"/>
  <c r="AM53" i="55" s="1"/>
  <c r="AN53" i="55" s="1"/>
  <c r="R53" i="55" s="1"/>
  <c r="AG53" i="55"/>
  <c r="AH53" i="55" s="1"/>
  <c r="W39" i="55"/>
  <c r="Z77" i="53"/>
  <c r="AG77" i="53"/>
  <c r="Y78" i="53"/>
  <c r="AG78" i="53" s="1"/>
  <c r="X96" i="53"/>
  <c r="AN95" i="45"/>
  <c r="AI97" i="45"/>
  <c r="Q97" i="60" s="1"/>
  <c r="AM96" i="45"/>
  <c r="AG97" i="45"/>
  <c r="U98" i="45"/>
  <c r="AK97" i="45"/>
  <c r="AJ96" i="45"/>
  <c r="AB50" i="55" l="1"/>
  <c r="AC50" i="55" s="1"/>
  <c r="AD50" i="55" s="1"/>
  <c r="AI53" i="55"/>
  <c r="AJ53" i="55" s="1"/>
  <c r="U48" i="60" s="1"/>
  <c r="V48" i="60" s="1"/>
  <c r="P48" i="60" s="1"/>
  <c r="AK54" i="55"/>
  <c r="X39" i="55"/>
  <c r="AF78" i="53"/>
  <c r="V82" i="55" s="1"/>
  <c r="Z78" i="53"/>
  <c r="Y79" i="53"/>
  <c r="AF79" i="53" s="1"/>
  <c r="V83" i="55" s="1"/>
  <c r="X97" i="53"/>
  <c r="AN96" i="45"/>
  <c r="AI98" i="45"/>
  <c r="Q98" i="60" s="1"/>
  <c r="AM97" i="45"/>
  <c r="AG98" i="45"/>
  <c r="U99" i="45"/>
  <c r="AK98" i="45"/>
  <c r="AJ97" i="45"/>
  <c r="AG54" i="55" l="1"/>
  <c r="AH54" i="55" s="1"/>
  <c r="P53" i="55"/>
  <c r="AL54" i="55"/>
  <c r="AM54" i="55" s="1"/>
  <c r="AN54" i="55" s="1"/>
  <c r="R54" i="55" s="1"/>
  <c r="Y39" i="55"/>
  <c r="Z39" i="55" s="1"/>
  <c r="S34" i="60" s="1"/>
  <c r="T34" i="60" s="1"/>
  <c r="O34" i="60" s="1"/>
  <c r="Z79" i="53"/>
  <c r="AG79" i="53"/>
  <c r="Y80" i="53"/>
  <c r="AF80" i="53" s="1"/>
  <c r="V84" i="55" s="1"/>
  <c r="X98" i="53"/>
  <c r="AN97" i="45"/>
  <c r="AI99" i="45"/>
  <c r="Q99" i="60" s="1"/>
  <c r="AG99" i="45"/>
  <c r="U100" i="45"/>
  <c r="AK99" i="45"/>
  <c r="AJ98" i="45"/>
  <c r="AM98" i="45"/>
  <c r="Q50" i="55" l="1"/>
  <c r="AA51" i="55"/>
  <c r="O39" i="55"/>
  <c r="AI54" i="55"/>
  <c r="AJ54" i="55" s="1"/>
  <c r="U49" i="60" s="1"/>
  <c r="V49" i="60" s="1"/>
  <c r="P49" i="60" s="1"/>
  <c r="AK55" i="55"/>
  <c r="W40" i="55"/>
  <c r="AG80" i="53"/>
  <c r="Z80" i="53"/>
  <c r="Y81" i="53"/>
  <c r="AF81" i="53" s="1"/>
  <c r="V85" i="55" s="1"/>
  <c r="X99" i="53"/>
  <c r="AN98" i="45"/>
  <c r="AI100" i="45"/>
  <c r="Q100" i="60" s="1"/>
  <c r="AG100" i="45"/>
  <c r="U101" i="45"/>
  <c r="AK100" i="45"/>
  <c r="AJ99" i="45"/>
  <c r="AM99" i="45"/>
  <c r="AB51" i="55" l="1"/>
  <c r="AC51" i="55" s="1"/>
  <c r="AD51" i="55" s="1"/>
  <c r="P54" i="55"/>
  <c r="AG55" i="55"/>
  <c r="AH55" i="55" s="1"/>
  <c r="AL55" i="55"/>
  <c r="AM55" i="55" s="1"/>
  <c r="AN55" i="55" s="1"/>
  <c r="R55" i="55" s="1"/>
  <c r="X40" i="55"/>
  <c r="Z81" i="53"/>
  <c r="AG81" i="53"/>
  <c r="Y82" i="53"/>
  <c r="AG82" i="53" s="1"/>
  <c r="X100" i="53"/>
  <c r="AN99" i="45"/>
  <c r="AI101" i="45"/>
  <c r="Q101" i="60" s="1"/>
  <c r="AM100" i="45"/>
  <c r="AG101" i="45"/>
  <c r="U102" i="45"/>
  <c r="AK101" i="45"/>
  <c r="AJ100" i="45"/>
  <c r="Q51" i="55" l="1"/>
  <c r="AA52" i="55"/>
  <c r="AI55" i="55"/>
  <c r="AJ55" i="55" s="1"/>
  <c r="U50" i="60" s="1"/>
  <c r="V50" i="60" s="1"/>
  <c r="P50" i="60" s="1"/>
  <c r="AK56" i="55"/>
  <c r="Y40" i="55"/>
  <c r="Z40" i="55" s="1"/>
  <c r="S35" i="60" s="1"/>
  <c r="T35" i="60" s="1"/>
  <c r="O35" i="60" s="1"/>
  <c r="Z82" i="53"/>
  <c r="AF82" i="53"/>
  <c r="V86" i="55" s="1"/>
  <c r="Y83" i="53"/>
  <c r="AG83" i="53" s="1"/>
  <c r="X101" i="53"/>
  <c r="AN100" i="45"/>
  <c r="AI102" i="45"/>
  <c r="Q102" i="60" s="1"/>
  <c r="AG102" i="45"/>
  <c r="U103" i="45"/>
  <c r="AK102" i="45"/>
  <c r="AJ101" i="45"/>
  <c r="AM101" i="45"/>
  <c r="AB52" i="55" l="1"/>
  <c r="AC52" i="55" s="1"/>
  <c r="AD52" i="55" s="1"/>
  <c r="P55" i="55"/>
  <c r="O40" i="55"/>
  <c r="AG56" i="55"/>
  <c r="AH56" i="55" s="1"/>
  <c r="AL56" i="55"/>
  <c r="AM56" i="55" s="1"/>
  <c r="AN56" i="55" s="1"/>
  <c r="R56" i="55" s="1"/>
  <c r="W41" i="55"/>
  <c r="Z83" i="53"/>
  <c r="AF83" i="53"/>
  <c r="V87" i="55" s="1"/>
  <c r="Y84" i="53"/>
  <c r="AG84" i="53" s="1"/>
  <c r="X102" i="53"/>
  <c r="AN101" i="45"/>
  <c r="AI103" i="45"/>
  <c r="Q103" i="60" s="1"/>
  <c r="AM102" i="45"/>
  <c r="AG103" i="45"/>
  <c r="U104" i="45"/>
  <c r="AK103" i="45"/>
  <c r="AJ102" i="45"/>
  <c r="AI56" i="55" l="1"/>
  <c r="AJ56" i="55" s="1"/>
  <c r="U51" i="60" s="1"/>
  <c r="V51" i="60" s="1"/>
  <c r="P51" i="60" s="1"/>
  <c r="AK57" i="55"/>
  <c r="X41" i="55"/>
  <c r="AF84" i="53"/>
  <c r="V88" i="55" s="1"/>
  <c r="Z84" i="53"/>
  <c r="Y85" i="53"/>
  <c r="AF85" i="53" s="1"/>
  <c r="V89" i="55" s="1"/>
  <c r="X103" i="53"/>
  <c r="Y100" i="53"/>
  <c r="AN102" i="45"/>
  <c r="AI104" i="45"/>
  <c r="Q104" i="60" s="1"/>
  <c r="AM103" i="45"/>
  <c r="AG104" i="45"/>
  <c r="U105" i="45"/>
  <c r="AK104" i="45"/>
  <c r="AJ103" i="45"/>
  <c r="Q52" i="55" l="1"/>
  <c r="AA53" i="55"/>
  <c r="AG57" i="55"/>
  <c r="AH57" i="55" s="1"/>
  <c r="P56" i="55"/>
  <c r="AL57" i="55"/>
  <c r="AM57" i="55" s="1"/>
  <c r="AN57" i="55" s="1"/>
  <c r="R57" i="55" s="1"/>
  <c r="Y41" i="55"/>
  <c r="Z41" i="55" s="1"/>
  <c r="S36" i="60" s="1"/>
  <c r="T36" i="60" s="1"/>
  <c r="AG85" i="53"/>
  <c r="Z85" i="53"/>
  <c r="Y86" i="53"/>
  <c r="AF86" i="53" s="1"/>
  <c r="V90" i="55" s="1"/>
  <c r="X104" i="53"/>
  <c r="AF100" i="53"/>
  <c r="V104" i="55" s="1"/>
  <c r="AG100" i="53"/>
  <c r="Z100" i="53"/>
  <c r="Y101" i="53"/>
  <c r="AN103" i="45"/>
  <c r="AI105" i="45"/>
  <c r="Q105" i="60" s="1"/>
  <c r="AG105" i="45"/>
  <c r="U106" i="45"/>
  <c r="AK105" i="45"/>
  <c r="AJ104" i="45"/>
  <c r="AM104" i="45"/>
  <c r="AB53" i="55" l="1"/>
  <c r="AC53" i="55" s="1"/>
  <c r="AD53" i="55" s="1"/>
  <c r="O36" i="60"/>
  <c r="O41" i="55"/>
  <c r="AI57" i="55"/>
  <c r="AJ57" i="55" s="1"/>
  <c r="U52" i="60" s="1"/>
  <c r="V52" i="60" s="1"/>
  <c r="P52" i="60" s="1"/>
  <c r="AK58" i="55"/>
  <c r="W42" i="55"/>
  <c r="Z86" i="53"/>
  <c r="AG86" i="53"/>
  <c r="Y87" i="53"/>
  <c r="AF87" i="53" s="1"/>
  <c r="V91" i="55" s="1"/>
  <c r="X105" i="53"/>
  <c r="AG101" i="53"/>
  <c r="AF101" i="53"/>
  <c r="V105" i="55" s="1"/>
  <c r="Z101" i="53"/>
  <c r="Y102" i="53"/>
  <c r="AN104" i="45"/>
  <c r="AI106" i="45"/>
  <c r="Q106" i="60" s="1"/>
  <c r="AM105" i="45"/>
  <c r="AG106" i="45"/>
  <c r="U107" i="45"/>
  <c r="AK106" i="45"/>
  <c r="AJ105" i="45"/>
  <c r="P57" i="55" l="1"/>
  <c r="AL58" i="55"/>
  <c r="AM58" i="55" s="1"/>
  <c r="AN58" i="55" s="1"/>
  <c r="R58" i="55" s="1"/>
  <c r="AG58" i="55"/>
  <c r="AH58" i="55" s="1"/>
  <c r="X42" i="55"/>
  <c r="Z87" i="53"/>
  <c r="AG87" i="53"/>
  <c r="Y88" i="53"/>
  <c r="AG88" i="53" s="1"/>
  <c r="X106" i="53"/>
  <c r="AF102" i="53"/>
  <c r="V106" i="55" s="1"/>
  <c r="AG102" i="53"/>
  <c r="Z102" i="53"/>
  <c r="Y103" i="53"/>
  <c r="AN105" i="45"/>
  <c r="AI107" i="45"/>
  <c r="Q107" i="60" s="1"/>
  <c r="AG107" i="45"/>
  <c r="U108" i="45"/>
  <c r="AK107" i="45"/>
  <c r="AJ106" i="45"/>
  <c r="AM106" i="45"/>
  <c r="Q53" i="55" l="1"/>
  <c r="AA54" i="55"/>
  <c r="AI58" i="55"/>
  <c r="AJ58" i="55" s="1"/>
  <c r="U53" i="60" s="1"/>
  <c r="V53" i="60" s="1"/>
  <c r="P53" i="60" s="1"/>
  <c r="AK59" i="55"/>
  <c r="Y42" i="55"/>
  <c r="Z42" i="55" s="1"/>
  <c r="S37" i="60" s="1"/>
  <c r="T37" i="60" s="1"/>
  <c r="O37" i="60" s="1"/>
  <c r="AF88" i="53"/>
  <c r="V92" i="55" s="1"/>
  <c r="Z88" i="53"/>
  <c r="Y89" i="53"/>
  <c r="AF89" i="53" s="1"/>
  <c r="V93" i="55" s="1"/>
  <c r="X107" i="53"/>
  <c r="AF103" i="53"/>
  <c r="V107" i="55" s="1"/>
  <c r="AG103" i="53"/>
  <c r="Z103" i="53"/>
  <c r="Y104" i="53"/>
  <c r="AN106" i="45"/>
  <c r="AI108" i="45"/>
  <c r="Q108" i="60" s="1"/>
  <c r="AM107" i="45"/>
  <c r="AG108" i="45"/>
  <c r="U109" i="45"/>
  <c r="AK108" i="45"/>
  <c r="AJ107" i="45"/>
  <c r="AB54" i="55" l="1"/>
  <c r="AC54" i="55" s="1"/>
  <c r="AD54" i="55" s="1"/>
  <c r="P58" i="55"/>
  <c r="O42" i="55"/>
  <c r="AG59" i="55"/>
  <c r="AH59" i="55" s="1"/>
  <c r="AL59" i="55"/>
  <c r="AM59" i="55" s="1"/>
  <c r="AN59" i="55" s="1"/>
  <c r="R59" i="55" s="1"/>
  <c r="W43" i="55"/>
  <c r="Z89" i="53"/>
  <c r="AG89" i="53"/>
  <c r="Y90" i="53"/>
  <c r="AG90" i="53" s="1"/>
  <c r="X108" i="53"/>
  <c r="AF104" i="53"/>
  <c r="V108" i="55" s="1"/>
  <c r="AG104" i="53"/>
  <c r="Z104" i="53"/>
  <c r="Y105" i="53"/>
  <c r="AN107" i="45"/>
  <c r="AI109" i="45"/>
  <c r="Q109" i="60" s="1"/>
  <c r="AG109" i="45"/>
  <c r="U110" i="45"/>
  <c r="AK109" i="45"/>
  <c r="AJ108" i="45"/>
  <c r="AI59" i="55" l="1"/>
  <c r="AJ59" i="55" s="1"/>
  <c r="U54" i="60" s="1"/>
  <c r="V54" i="60" s="1"/>
  <c r="P54" i="60" s="1"/>
  <c r="AK60" i="55"/>
  <c r="X43" i="55"/>
  <c r="Z90" i="53"/>
  <c r="AF90" i="53"/>
  <c r="V94" i="55" s="1"/>
  <c r="AG105" i="53"/>
  <c r="AF105" i="53"/>
  <c r="V109" i="55" s="1"/>
  <c r="Z105" i="53"/>
  <c r="AI110" i="45"/>
  <c r="Q110" i="60" s="1"/>
  <c r="AG110" i="45"/>
  <c r="U111" i="45"/>
  <c r="AK110" i="45"/>
  <c r="AJ109" i="45"/>
  <c r="AM108" i="45"/>
  <c r="X109" i="53" s="1"/>
  <c r="AM109" i="45"/>
  <c r="Q54" i="55" l="1"/>
  <c r="AA55" i="55"/>
  <c r="P59" i="55"/>
  <c r="AL60" i="55"/>
  <c r="AM60" i="55" s="1"/>
  <c r="AN60" i="55" s="1"/>
  <c r="R60" i="55" s="1"/>
  <c r="AG60" i="55"/>
  <c r="AH60" i="55" s="1"/>
  <c r="Y43" i="55"/>
  <c r="Z43" i="55" s="1"/>
  <c r="S38" i="60" s="1"/>
  <c r="T38" i="60" s="1"/>
  <c r="O38" i="60" s="1"/>
  <c r="Y92" i="53"/>
  <c r="AG92" i="53" s="1"/>
  <c r="X110" i="53"/>
  <c r="Y91" i="53"/>
  <c r="Y106" i="53"/>
  <c r="AN108" i="45"/>
  <c r="AN109" i="45" s="1"/>
  <c r="Y107" i="53"/>
  <c r="AI111" i="45"/>
  <c r="Q111" i="60" s="1"/>
  <c r="AG111" i="45"/>
  <c r="U112" i="45"/>
  <c r="AK111" i="45"/>
  <c r="AJ110" i="45"/>
  <c r="AM110" i="45"/>
  <c r="AB55" i="55" l="1"/>
  <c r="AC55" i="55" s="1"/>
  <c r="AD55" i="55" s="1"/>
  <c r="AF92" i="53"/>
  <c r="V96" i="55" s="1"/>
  <c r="O43" i="55"/>
  <c r="AI60" i="55"/>
  <c r="AJ60" i="55" s="1"/>
  <c r="U55" i="60" s="1"/>
  <c r="V55" i="60" s="1"/>
  <c r="P55" i="60" s="1"/>
  <c r="AK61" i="55"/>
  <c r="W44" i="55"/>
  <c r="Z92" i="53"/>
  <c r="Y93" i="53"/>
  <c r="AF93" i="53" s="1"/>
  <c r="V97" i="55" s="1"/>
  <c r="X111" i="53"/>
  <c r="AF107" i="53"/>
  <c r="V111" i="55" s="1"/>
  <c r="AG107" i="53"/>
  <c r="AF106" i="53"/>
  <c r="V110" i="55" s="1"/>
  <c r="AG106" i="53"/>
  <c r="AF91" i="53"/>
  <c r="V95" i="55" s="1"/>
  <c r="AG91" i="53"/>
  <c r="Z91" i="53"/>
  <c r="Z106" i="53"/>
  <c r="Y108" i="53"/>
  <c r="AN110" i="45"/>
  <c r="Z107" i="53"/>
  <c r="AI112" i="45"/>
  <c r="Q112" i="60" s="1"/>
  <c r="AG112" i="45"/>
  <c r="U113" i="45"/>
  <c r="AK112" i="45"/>
  <c r="AJ111" i="45"/>
  <c r="AG93" i="53" l="1"/>
  <c r="P60" i="55"/>
  <c r="AG61" i="55"/>
  <c r="AH61" i="55" s="1"/>
  <c r="AL61" i="55"/>
  <c r="AM61" i="55" s="1"/>
  <c r="AN61" i="55" s="1"/>
  <c r="X44" i="55"/>
  <c r="Z93" i="53"/>
  <c r="AF108" i="53"/>
  <c r="V112" i="55" s="1"/>
  <c r="AG108" i="53"/>
  <c r="Z108" i="53"/>
  <c r="AI113" i="45"/>
  <c r="Q113" i="60" s="1"/>
  <c r="AG113" i="45"/>
  <c r="U114" i="45"/>
  <c r="AK113" i="45"/>
  <c r="AJ112" i="45"/>
  <c r="AM111" i="45"/>
  <c r="X112" i="53" s="1"/>
  <c r="AM112" i="45"/>
  <c r="Q55" i="55" l="1"/>
  <c r="AA56" i="55"/>
  <c r="AI61" i="55"/>
  <c r="AJ61" i="55" s="1"/>
  <c r="U56" i="60" s="1"/>
  <c r="V56" i="60" s="1"/>
  <c r="P56" i="60" s="1"/>
  <c r="AK62" i="55"/>
  <c r="Y44" i="55"/>
  <c r="Z44" i="55" s="1"/>
  <c r="S39" i="60" s="1"/>
  <c r="T39" i="60" s="1"/>
  <c r="O39" i="60" s="1"/>
  <c r="Y95" i="53"/>
  <c r="Z95" i="53" s="1"/>
  <c r="X113" i="53"/>
  <c r="Y94" i="53"/>
  <c r="Z94" i="53" s="1"/>
  <c r="Y109" i="53"/>
  <c r="AN111" i="45"/>
  <c r="AN112" i="45" s="1"/>
  <c r="Y110" i="53"/>
  <c r="AI114" i="45"/>
  <c r="Q114" i="60" s="1"/>
  <c r="AM113" i="45"/>
  <c r="AG114" i="45"/>
  <c r="U115" i="45"/>
  <c r="AK114" i="45"/>
  <c r="AJ113" i="45"/>
  <c r="AB56" i="55" l="1"/>
  <c r="AC56" i="55" s="1"/>
  <c r="AD56" i="55" s="1"/>
  <c r="P61" i="55"/>
  <c r="O44" i="55"/>
  <c r="AG62" i="55"/>
  <c r="AH62" i="55" s="1"/>
  <c r="AL62" i="55"/>
  <c r="AM62" i="55" s="1"/>
  <c r="AN62" i="55" s="1"/>
  <c r="W45" i="55"/>
  <c r="AG95" i="53"/>
  <c r="AF95" i="53"/>
  <c r="V99" i="55" s="1"/>
  <c r="Y96" i="53"/>
  <c r="AF96" i="53" s="1"/>
  <c r="V100" i="55" s="1"/>
  <c r="X114" i="53"/>
  <c r="AF110" i="53"/>
  <c r="V114" i="55" s="1"/>
  <c r="AG110" i="53"/>
  <c r="AG109" i="53"/>
  <c r="AF109" i="53"/>
  <c r="V113" i="55" s="1"/>
  <c r="AF94" i="53"/>
  <c r="V98" i="55" s="1"/>
  <c r="AG94" i="53"/>
  <c r="Z109" i="53"/>
  <c r="Y111" i="53"/>
  <c r="AN113" i="45"/>
  <c r="Z110" i="53"/>
  <c r="AI115" i="45"/>
  <c r="Q115" i="60" s="1"/>
  <c r="AG115" i="45"/>
  <c r="U116" i="45"/>
  <c r="AK116" i="45" s="1"/>
  <c r="AK115" i="45"/>
  <c r="AJ114" i="45"/>
  <c r="AI62" i="55" l="1"/>
  <c r="AJ62" i="55" s="1"/>
  <c r="U57" i="60" s="1"/>
  <c r="V57" i="60" s="1"/>
  <c r="AK63" i="55"/>
  <c r="X45" i="55"/>
  <c r="Z96" i="53"/>
  <c r="AG96" i="53"/>
  <c r="AF111" i="53"/>
  <c r="V115" i="55" s="1"/>
  <c r="AG111" i="53"/>
  <c r="Z111" i="53"/>
  <c r="AI116" i="45"/>
  <c r="Q116" i="60" s="1"/>
  <c r="AG116" i="45"/>
  <c r="AJ115" i="45"/>
  <c r="AM115" i="45"/>
  <c r="AM114" i="45"/>
  <c r="X115" i="53" s="1"/>
  <c r="Q56" i="55" l="1"/>
  <c r="AA57" i="55"/>
  <c r="P62" i="55"/>
  <c r="AL63" i="55"/>
  <c r="AM63" i="55" s="1"/>
  <c r="AN63" i="55" s="1"/>
  <c r="AG63" i="55"/>
  <c r="AH63" i="55" s="1"/>
  <c r="Y45" i="55"/>
  <c r="Z45" i="55" s="1"/>
  <c r="S40" i="60" s="1"/>
  <c r="T40" i="60" s="1"/>
  <c r="O40" i="60" s="1"/>
  <c r="Y98" i="53"/>
  <c r="AG98" i="53" s="1"/>
  <c r="X116" i="53"/>
  <c r="Y116" i="53" s="1"/>
  <c r="Y97" i="53"/>
  <c r="Z97" i="53" s="1"/>
  <c r="Y112" i="53"/>
  <c r="AN114" i="45"/>
  <c r="AN115" i="45" s="1"/>
  <c r="Y113" i="53"/>
  <c r="AJ116" i="45"/>
  <c r="AM116" i="45"/>
  <c r="AB57" i="55" l="1"/>
  <c r="AC57" i="55" s="1"/>
  <c r="AD57" i="55" s="1"/>
  <c r="Z98" i="53"/>
  <c r="AF98" i="53"/>
  <c r="V102" i="55" s="1"/>
  <c r="O45" i="55"/>
  <c r="AI63" i="55"/>
  <c r="AJ63" i="55" s="1"/>
  <c r="U58" i="60" s="1"/>
  <c r="V58" i="60" s="1"/>
  <c r="AK64" i="55"/>
  <c r="W46" i="55"/>
  <c r="Y114" i="53"/>
  <c r="AF114" i="53" s="1"/>
  <c r="V118" i="55" s="1"/>
  <c r="X117" i="53"/>
  <c r="Y117" i="53" s="1"/>
  <c r="AF116" i="53"/>
  <c r="V120" i="55" s="1"/>
  <c r="AG116" i="53"/>
  <c r="AG113" i="53"/>
  <c r="AF113" i="53"/>
  <c r="V117" i="55" s="1"/>
  <c r="AF112" i="53"/>
  <c r="V116" i="55" s="1"/>
  <c r="AG112" i="53"/>
  <c r="AG97" i="53"/>
  <c r="AF97" i="53"/>
  <c r="V101" i="55" s="1"/>
  <c r="Z112" i="53"/>
  <c r="AN116" i="45"/>
  <c r="Y99" i="53"/>
  <c r="Z113" i="53"/>
  <c r="Y115" i="53"/>
  <c r="Z116" i="53"/>
  <c r="Q57" i="55" l="1"/>
  <c r="AA58" i="55"/>
  <c r="P63" i="55"/>
  <c r="AG64" i="55"/>
  <c r="AH64" i="55" s="1"/>
  <c r="AL64" i="55"/>
  <c r="AM64" i="55" s="1"/>
  <c r="AN64" i="55" s="1"/>
  <c r="X46" i="55"/>
  <c r="Z114" i="53"/>
  <c r="AG114" i="53"/>
  <c r="AG117" i="53"/>
  <c r="AF117" i="53"/>
  <c r="V121" i="55" s="1"/>
  <c r="AF99" i="53"/>
  <c r="V103" i="55" s="1"/>
  <c r="AG99" i="53"/>
  <c r="AF115" i="53"/>
  <c r="V119" i="55" s="1"/>
  <c r="AG115" i="53"/>
  <c r="Z99" i="53"/>
  <c r="Z115" i="53"/>
  <c r="Z117" i="53"/>
  <c r="AB58" i="55" l="1"/>
  <c r="AC58" i="55" s="1"/>
  <c r="AD58" i="55" s="1"/>
  <c r="AI64" i="55"/>
  <c r="AJ64" i="55" s="1"/>
  <c r="U59" i="60" s="1"/>
  <c r="V59" i="60" s="1"/>
  <c r="AK65" i="55"/>
  <c r="Y46" i="55"/>
  <c r="Z46" i="55" s="1"/>
  <c r="S41" i="60" s="1"/>
  <c r="T41" i="60" s="1"/>
  <c r="O41" i="60" s="1"/>
  <c r="Q58" i="55" l="1"/>
  <c r="AA59" i="55"/>
  <c r="P64" i="55"/>
  <c r="O46" i="55"/>
  <c r="AL65" i="55"/>
  <c r="AM65" i="55" s="1"/>
  <c r="AN65" i="55" s="1"/>
  <c r="AG65" i="55"/>
  <c r="AH65" i="55" s="1"/>
  <c r="W47" i="55"/>
  <c r="AB59" i="55" l="1"/>
  <c r="AC59" i="55" s="1"/>
  <c r="AD59" i="55" s="1"/>
  <c r="AI65" i="55"/>
  <c r="AJ65" i="55" s="1"/>
  <c r="U60" i="60" s="1"/>
  <c r="V60" i="60" s="1"/>
  <c r="AK66" i="55"/>
  <c r="X47" i="55"/>
  <c r="Q59" i="55" l="1"/>
  <c r="AA60" i="55"/>
  <c r="AG66" i="55"/>
  <c r="AH66" i="55" s="1"/>
  <c r="P65" i="55"/>
  <c r="AL66" i="55"/>
  <c r="AM66" i="55" s="1"/>
  <c r="AN66" i="55" s="1"/>
  <c r="Y47" i="55"/>
  <c r="Z47" i="55" s="1"/>
  <c r="S42" i="60" s="1"/>
  <c r="T42" i="60" s="1"/>
  <c r="O42" i="60" s="1"/>
  <c r="AB60" i="55" l="1"/>
  <c r="AC60" i="55" s="1"/>
  <c r="AD60" i="55" s="1"/>
  <c r="O47" i="55"/>
  <c r="AI66" i="55"/>
  <c r="AJ66" i="55" s="1"/>
  <c r="U61" i="60" s="1"/>
  <c r="V61" i="60" s="1"/>
  <c r="AK67" i="55"/>
  <c r="W48" i="55"/>
  <c r="Q60" i="55" l="1"/>
  <c r="AA61" i="55"/>
  <c r="P66" i="55"/>
  <c r="AG67" i="55"/>
  <c r="AH67" i="55" s="1"/>
  <c r="AL67" i="55"/>
  <c r="AM67" i="55" s="1"/>
  <c r="AN67" i="55" s="1"/>
  <c r="X48" i="55"/>
  <c r="AB61" i="55" l="1"/>
  <c r="AC61" i="55" s="1"/>
  <c r="AD61" i="55" s="1"/>
  <c r="AA62" i="55" s="1"/>
  <c r="AI67" i="55"/>
  <c r="AJ67" i="55" s="1"/>
  <c r="U62" i="60" s="1"/>
  <c r="V62" i="60" s="1"/>
  <c r="AK68" i="55"/>
  <c r="Y48" i="55"/>
  <c r="Z48" i="55" s="1"/>
  <c r="S43" i="60" s="1"/>
  <c r="T43" i="60" s="1"/>
  <c r="O43" i="60" s="1"/>
  <c r="AB62" i="55" l="1"/>
  <c r="AC62" i="55" s="1"/>
  <c r="AD62" i="55" s="1"/>
  <c r="AG68" i="55"/>
  <c r="AH68" i="55" s="1"/>
  <c r="P67" i="55"/>
  <c r="O48" i="55"/>
  <c r="AL68" i="55"/>
  <c r="AM68" i="55" s="1"/>
  <c r="AN68" i="55" s="1"/>
  <c r="W49" i="55"/>
  <c r="AA63" i="55" l="1"/>
  <c r="AI68" i="55"/>
  <c r="AJ68" i="55" s="1"/>
  <c r="U63" i="60" s="1"/>
  <c r="V63" i="60" s="1"/>
  <c r="AK69" i="55"/>
  <c r="X49" i="55"/>
  <c r="AB63" i="55" l="1"/>
  <c r="AC63" i="55" s="1"/>
  <c r="AD63" i="55" s="1"/>
  <c r="AA64" i="55" s="1"/>
  <c r="P68" i="55"/>
  <c r="AL69" i="55"/>
  <c r="AM69" i="55" s="1"/>
  <c r="AN69" i="55" s="1"/>
  <c r="AG69" i="55"/>
  <c r="AH69" i="55" s="1"/>
  <c r="Y49" i="55"/>
  <c r="Z49" i="55" s="1"/>
  <c r="S44" i="60" s="1"/>
  <c r="T44" i="60" s="1"/>
  <c r="O44" i="60" s="1"/>
  <c r="AB64" i="55" l="1"/>
  <c r="AC64" i="55" s="1"/>
  <c r="AD64" i="55" s="1"/>
  <c r="AA65" i="55" s="1"/>
  <c r="O49" i="55"/>
  <c r="AI69" i="55"/>
  <c r="AJ69" i="55" s="1"/>
  <c r="U64" i="60" s="1"/>
  <c r="V64" i="60" s="1"/>
  <c r="AK70" i="55"/>
  <c r="W50" i="55"/>
  <c r="AB65" i="55" l="1"/>
  <c r="AC65" i="55" s="1"/>
  <c r="AD65" i="55" s="1"/>
  <c r="AA66" i="55" s="1"/>
  <c r="P69" i="55"/>
  <c r="AG70" i="55"/>
  <c r="AH70" i="55" s="1"/>
  <c r="AL70" i="55"/>
  <c r="AM70" i="55" s="1"/>
  <c r="AN70" i="55" s="1"/>
  <c r="X50" i="55"/>
  <c r="AB66" i="55" l="1"/>
  <c r="AC66" i="55" s="1"/>
  <c r="AD66" i="55" s="1"/>
  <c r="AA67" i="55" s="1"/>
  <c r="AI70" i="55"/>
  <c r="AJ70" i="55" s="1"/>
  <c r="U65" i="60" s="1"/>
  <c r="V65" i="60" s="1"/>
  <c r="AK71" i="55"/>
  <c r="Y50" i="55"/>
  <c r="Z50" i="55" s="1"/>
  <c r="S45" i="60" s="1"/>
  <c r="T45" i="60" s="1"/>
  <c r="O45" i="60" s="1"/>
  <c r="AB67" i="55" l="1"/>
  <c r="AC67" i="55" s="1"/>
  <c r="AD67" i="55" s="1"/>
  <c r="AA68" i="55" s="1"/>
  <c r="P70" i="55"/>
  <c r="O50" i="55"/>
  <c r="AL71" i="55"/>
  <c r="AM71" i="55" s="1"/>
  <c r="AN71" i="55" s="1"/>
  <c r="AG71" i="55"/>
  <c r="AH71" i="55" s="1"/>
  <c r="W51" i="55"/>
  <c r="AB68" i="55" l="1"/>
  <c r="AC68" i="55" s="1"/>
  <c r="AD68" i="55" s="1"/>
  <c r="AA69" i="55" s="1"/>
  <c r="AI71" i="55"/>
  <c r="AJ71" i="55" s="1"/>
  <c r="U66" i="60" s="1"/>
  <c r="V66" i="60" s="1"/>
  <c r="AK72" i="55"/>
  <c r="X51" i="55"/>
  <c r="AB69" i="55" l="1"/>
  <c r="AC69" i="55" s="1"/>
  <c r="AD69" i="55" s="1"/>
  <c r="AA70" i="55" s="1"/>
  <c r="AL72" i="55"/>
  <c r="AM72" i="55" s="1"/>
  <c r="AN72" i="55" s="1"/>
  <c r="AG72" i="55"/>
  <c r="AH72" i="55" s="1"/>
  <c r="Y51" i="55"/>
  <c r="Z51" i="55" s="1"/>
  <c r="S46" i="60" s="1"/>
  <c r="T46" i="60" s="1"/>
  <c r="AB70" i="55" l="1"/>
  <c r="AC70" i="55" s="1"/>
  <c r="AD70" i="55" s="1"/>
  <c r="AA71" i="55" s="1"/>
  <c r="O46" i="60"/>
  <c r="O51" i="55"/>
  <c r="AI72" i="55"/>
  <c r="AJ72" i="55" s="1"/>
  <c r="U67" i="60" s="1"/>
  <c r="V67" i="60" s="1"/>
  <c r="AK73" i="55"/>
  <c r="W52" i="55"/>
  <c r="AB71" i="55" l="1"/>
  <c r="AC71" i="55" s="1"/>
  <c r="AD71" i="55" s="1"/>
  <c r="AG73" i="55"/>
  <c r="AH73" i="55" s="1"/>
  <c r="AL73" i="55"/>
  <c r="AM73" i="55" s="1"/>
  <c r="AN73" i="55" s="1"/>
  <c r="X52" i="55"/>
  <c r="AA72" i="55" l="1"/>
  <c r="AI73" i="55"/>
  <c r="AJ73" i="55" s="1"/>
  <c r="AK74" i="55"/>
  <c r="Y52" i="55"/>
  <c r="Z52" i="55" s="1"/>
  <c r="S47" i="60" s="1"/>
  <c r="T47" i="60" s="1"/>
  <c r="O47" i="60" s="1"/>
  <c r="AB72" i="55" l="1"/>
  <c r="AC72" i="55" s="1"/>
  <c r="AD72" i="55" s="1"/>
  <c r="AA73" i="55" s="1"/>
  <c r="AG74" i="55"/>
  <c r="AH74" i="55" s="1"/>
  <c r="U68" i="60"/>
  <c r="V68" i="60" s="1"/>
  <c r="O52" i="55"/>
  <c r="AL74" i="55"/>
  <c r="AM74" i="55" s="1"/>
  <c r="AN74" i="55" s="1"/>
  <c r="W53" i="55"/>
  <c r="AB73" i="55" l="1"/>
  <c r="AC73" i="55" s="1"/>
  <c r="AD73" i="55" s="1"/>
  <c r="AI74" i="55"/>
  <c r="AJ74" i="55" s="1"/>
  <c r="AK75" i="55"/>
  <c r="X53" i="55"/>
  <c r="AA74" i="55" l="1"/>
  <c r="AG75" i="55"/>
  <c r="AH75" i="55" s="1"/>
  <c r="U69" i="60"/>
  <c r="V69" i="60" s="1"/>
  <c r="AL75" i="55"/>
  <c r="AM75" i="55" s="1"/>
  <c r="AN75" i="55" s="1"/>
  <c r="Y53" i="55"/>
  <c r="Z53" i="55" s="1"/>
  <c r="S48" i="60" s="1"/>
  <c r="T48" i="60" s="1"/>
  <c r="O48" i="60" s="1"/>
  <c r="AB74" i="55" l="1"/>
  <c r="AC74" i="55" s="1"/>
  <c r="AD74" i="55" s="1"/>
  <c r="AA75" i="55" s="1"/>
  <c r="O53" i="55"/>
  <c r="AI75" i="55"/>
  <c r="AJ75" i="55" s="1"/>
  <c r="AK76" i="55"/>
  <c r="W54" i="55"/>
  <c r="AB75" i="55" l="1"/>
  <c r="AC75" i="55" s="1"/>
  <c r="AD75" i="55" s="1"/>
  <c r="AA76" i="55" s="1"/>
  <c r="AG76" i="55"/>
  <c r="AH76" i="55" s="1"/>
  <c r="U70" i="60"/>
  <c r="V70" i="60" s="1"/>
  <c r="AL76" i="55"/>
  <c r="AM76" i="55" s="1"/>
  <c r="AN76" i="55" s="1"/>
  <c r="X54" i="55"/>
  <c r="AB76" i="55" l="1"/>
  <c r="AC76" i="55" s="1"/>
  <c r="AD76" i="55" s="1"/>
  <c r="AA77" i="55" s="1"/>
  <c r="AI76" i="55"/>
  <c r="AJ76" i="55" s="1"/>
  <c r="U71" i="60" s="1"/>
  <c r="V71" i="60" s="1"/>
  <c r="AK77" i="55"/>
  <c r="Y54" i="55"/>
  <c r="Z54" i="55" s="1"/>
  <c r="S49" i="60" s="1"/>
  <c r="T49" i="60" s="1"/>
  <c r="O49" i="60" s="1"/>
  <c r="AB77" i="55" l="1"/>
  <c r="AC77" i="55" s="1"/>
  <c r="AD77" i="55" s="1"/>
  <c r="AA78" i="55" s="1"/>
  <c r="O54" i="55"/>
  <c r="AL77" i="55"/>
  <c r="AM77" i="55" s="1"/>
  <c r="AN77" i="55" s="1"/>
  <c r="AG77" i="55"/>
  <c r="AH77" i="55" s="1"/>
  <c r="W55" i="55"/>
  <c r="AB78" i="55" l="1"/>
  <c r="AC78" i="55" s="1"/>
  <c r="AD78" i="55" s="1"/>
  <c r="AA79" i="55" s="1"/>
  <c r="AI77" i="55"/>
  <c r="AJ77" i="55" s="1"/>
  <c r="AK78" i="55"/>
  <c r="X55" i="55"/>
  <c r="AB79" i="55" l="1"/>
  <c r="AC79" i="55" s="1"/>
  <c r="AD79" i="55" s="1"/>
  <c r="AA80" i="55" s="1"/>
  <c r="AG78" i="55"/>
  <c r="AH78" i="55" s="1"/>
  <c r="U72" i="60"/>
  <c r="V72" i="60" s="1"/>
  <c r="AL78" i="55"/>
  <c r="AM78" i="55" s="1"/>
  <c r="AN78" i="55" s="1"/>
  <c r="Y55" i="55"/>
  <c r="Z55" i="55" s="1"/>
  <c r="S50" i="60" s="1"/>
  <c r="T50" i="60" s="1"/>
  <c r="O50" i="60" s="1"/>
  <c r="AB80" i="55" l="1"/>
  <c r="AC80" i="55" s="1"/>
  <c r="AD80" i="55" s="1"/>
  <c r="AA81" i="55" s="1"/>
  <c r="O55" i="55"/>
  <c r="AI78" i="55"/>
  <c r="AJ78" i="55" s="1"/>
  <c r="AK79" i="55"/>
  <c r="W56" i="55"/>
  <c r="AB81" i="55" l="1"/>
  <c r="AC81" i="55" s="1"/>
  <c r="AD81" i="55" s="1"/>
  <c r="AA82" i="55" s="1"/>
  <c r="AG79" i="55"/>
  <c r="AH79" i="55" s="1"/>
  <c r="U73" i="60"/>
  <c r="V73" i="60" s="1"/>
  <c r="AL79" i="55"/>
  <c r="AM79" i="55" s="1"/>
  <c r="AN79" i="55" s="1"/>
  <c r="X56" i="55"/>
  <c r="AB82" i="55" l="1"/>
  <c r="AC82" i="55" s="1"/>
  <c r="AD82" i="55" s="1"/>
  <c r="AA83" i="55" s="1"/>
  <c r="AI79" i="55"/>
  <c r="AJ79" i="55" s="1"/>
  <c r="AK80" i="55"/>
  <c r="Y56" i="55"/>
  <c r="Z56" i="55" s="1"/>
  <c r="S51" i="60" s="1"/>
  <c r="T51" i="60" s="1"/>
  <c r="O51" i="60" s="1"/>
  <c r="AB83" i="55" l="1"/>
  <c r="AC83" i="55" s="1"/>
  <c r="AD83" i="55" s="1"/>
  <c r="AA84" i="55" s="1"/>
  <c r="AG80" i="55"/>
  <c r="AH80" i="55" s="1"/>
  <c r="U74" i="60"/>
  <c r="V74" i="60" s="1"/>
  <c r="O56" i="55"/>
  <c r="AL80" i="55"/>
  <c r="AM80" i="55" s="1"/>
  <c r="AN80" i="55" s="1"/>
  <c r="W57" i="55"/>
  <c r="AB84" i="55" l="1"/>
  <c r="AC84" i="55" s="1"/>
  <c r="AD84" i="55" s="1"/>
  <c r="AA85" i="55" s="1"/>
  <c r="AI80" i="55"/>
  <c r="AJ80" i="55" s="1"/>
  <c r="AK81" i="55"/>
  <c r="X57" i="55"/>
  <c r="AB85" i="55" l="1"/>
  <c r="AC85" i="55" s="1"/>
  <c r="AD85" i="55" s="1"/>
  <c r="AA86" i="55" s="1"/>
  <c r="AG81" i="55"/>
  <c r="AH81" i="55" s="1"/>
  <c r="U75" i="60"/>
  <c r="V75" i="60" s="1"/>
  <c r="AL81" i="55"/>
  <c r="AM81" i="55" s="1"/>
  <c r="AN81" i="55" s="1"/>
  <c r="Y57" i="55"/>
  <c r="Z57" i="55" s="1"/>
  <c r="S52" i="60" s="1"/>
  <c r="T52" i="60" s="1"/>
  <c r="O52" i="60" s="1"/>
  <c r="AB86" i="55" l="1"/>
  <c r="AC86" i="55" s="1"/>
  <c r="AD86" i="55" s="1"/>
  <c r="AA87" i="55" s="1"/>
  <c r="O57" i="55"/>
  <c r="AI81" i="55"/>
  <c r="AJ81" i="55" s="1"/>
  <c r="U76" i="60" s="1"/>
  <c r="V76" i="60" s="1"/>
  <c r="AK82" i="55"/>
  <c r="W58" i="55"/>
  <c r="AB87" i="55" l="1"/>
  <c r="AC87" i="55" s="1"/>
  <c r="AD87" i="55" s="1"/>
  <c r="AA88" i="55" s="1"/>
  <c r="AB88" i="55" s="1"/>
  <c r="AC88" i="55" s="1"/>
  <c r="AL82" i="55"/>
  <c r="AM82" i="55" s="1"/>
  <c r="AN82" i="55" s="1"/>
  <c r="AG82" i="55"/>
  <c r="AH82" i="55" s="1"/>
  <c r="X58" i="55"/>
  <c r="AD88" i="55" l="1"/>
  <c r="AA89" i="55" s="1"/>
  <c r="AI82" i="55"/>
  <c r="AJ82" i="55" s="1"/>
  <c r="U77" i="60" s="1"/>
  <c r="V77" i="60" s="1"/>
  <c r="AK83" i="55"/>
  <c r="Y58" i="55"/>
  <c r="Z58" i="55" s="1"/>
  <c r="S53" i="60" s="1"/>
  <c r="T53" i="60" s="1"/>
  <c r="O53" i="60" s="1"/>
  <c r="AB89" i="55" l="1"/>
  <c r="AC89" i="55" s="1"/>
  <c r="AD89" i="55" s="1"/>
  <c r="AA90" i="55" s="1"/>
  <c r="O58" i="55"/>
  <c r="AG83" i="55"/>
  <c r="AH83" i="55" s="1"/>
  <c r="AL83" i="55"/>
  <c r="AM83" i="55" s="1"/>
  <c r="AN83" i="55" s="1"/>
  <c r="W59" i="55"/>
  <c r="AB90" i="55" l="1"/>
  <c r="AC90" i="55" s="1"/>
  <c r="AD90" i="55" s="1"/>
  <c r="AA91" i="55" s="1"/>
  <c r="AI83" i="55"/>
  <c r="AJ83" i="55" s="1"/>
  <c r="AK84" i="55"/>
  <c r="X59" i="55"/>
  <c r="AB91" i="55" l="1"/>
  <c r="AC91" i="55" s="1"/>
  <c r="AD91" i="55" s="1"/>
  <c r="AA92" i="55" s="1"/>
  <c r="AG84" i="55"/>
  <c r="AH84" i="55" s="1"/>
  <c r="U78" i="60"/>
  <c r="V78" i="60" s="1"/>
  <c r="AL84" i="55"/>
  <c r="AM84" i="55" s="1"/>
  <c r="AN84" i="55" s="1"/>
  <c r="Y59" i="55"/>
  <c r="Z59" i="55" s="1"/>
  <c r="S54" i="60" s="1"/>
  <c r="T54" i="60" s="1"/>
  <c r="O54" i="60" s="1"/>
  <c r="AB92" i="55" l="1"/>
  <c r="AC92" i="55" s="1"/>
  <c r="AD92" i="55" s="1"/>
  <c r="AA93" i="55" s="1"/>
  <c r="O59" i="55"/>
  <c r="AI84" i="55"/>
  <c r="AJ84" i="55" s="1"/>
  <c r="U79" i="60" s="1"/>
  <c r="V79" i="60" s="1"/>
  <c r="AK85" i="55"/>
  <c r="W60" i="55"/>
  <c r="AB93" i="55" l="1"/>
  <c r="AC93" i="55" s="1"/>
  <c r="AD93" i="55" s="1"/>
  <c r="AA94" i="55" s="1"/>
  <c r="AL85" i="55"/>
  <c r="AM85" i="55" s="1"/>
  <c r="AN85" i="55" s="1"/>
  <c r="AG85" i="55"/>
  <c r="AH85" i="55" s="1"/>
  <c r="X60" i="55"/>
  <c r="AB94" i="55" l="1"/>
  <c r="AC94" i="55" s="1"/>
  <c r="AD94" i="55" s="1"/>
  <c r="AA95" i="55" s="1"/>
  <c r="AI85" i="55"/>
  <c r="AJ85" i="55" s="1"/>
  <c r="AK86" i="55"/>
  <c r="Y60" i="55"/>
  <c r="Z60" i="55" s="1"/>
  <c r="S55" i="60" s="1"/>
  <c r="T55" i="60" s="1"/>
  <c r="O55" i="60" s="1"/>
  <c r="AB95" i="55" l="1"/>
  <c r="AC95" i="55" s="1"/>
  <c r="AD95" i="55" s="1"/>
  <c r="AA96" i="55" s="1"/>
  <c r="AG86" i="55"/>
  <c r="AH86" i="55" s="1"/>
  <c r="U80" i="60"/>
  <c r="V80" i="60" s="1"/>
  <c r="O60" i="55"/>
  <c r="AL86" i="55"/>
  <c r="AM86" i="55" s="1"/>
  <c r="AN86" i="55" s="1"/>
  <c r="W61" i="55"/>
  <c r="AB96" i="55" l="1"/>
  <c r="AC96" i="55" s="1"/>
  <c r="AD96" i="55" s="1"/>
  <c r="AA97" i="55" s="1"/>
  <c r="AI86" i="55"/>
  <c r="AJ86" i="55" s="1"/>
  <c r="AK87" i="55"/>
  <c r="X61" i="55"/>
  <c r="AB97" i="55" l="1"/>
  <c r="AC97" i="55" s="1"/>
  <c r="AD97" i="55" s="1"/>
  <c r="AA98" i="55" s="1"/>
  <c r="AG87" i="55"/>
  <c r="AH87" i="55" s="1"/>
  <c r="U81" i="60"/>
  <c r="V81" i="60" s="1"/>
  <c r="AL87" i="55"/>
  <c r="AM87" i="55" s="1"/>
  <c r="AN87" i="55" s="1"/>
  <c r="Y61" i="55"/>
  <c r="Z61" i="55" s="1"/>
  <c r="AB98" i="55" l="1"/>
  <c r="AC98" i="55" s="1"/>
  <c r="AD98" i="55" s="1"/>
  <c r="AA99" i="55" s="1"/>
  <c r="O61" i="55"/>
  <c r="S56" i="60"/>
  <c r="T56" i="60" s="1"/>
  <c r="O56" i="60" s="1"/>
  <c r="AI87" i="55"/>
  <c r="AJ87" i="55" s="1"/>
  <c r="AK88" i="55"/>
  <c r="W62" i="55"/>
  <c r="AB99" i="55" l="1"/>
  <c r="AC99" i="55" s="1"/>
  <c r="AD99" i="55" s="1"/>
  <c r="AA100" i="55" s="1"/>
  <c r="AG88" i="55"/>
  <c r="AH88" i="55" s="1"/>
  <c r="U82" i="60"/>
  <c r="V82" i="60" s="1"/>
  <c r="AL88" i="55"/>
  <c r="AM88" i="55" s="1"/>
  <c r="AN88" i="55" s="1"/>
  <c r="X62" i="55"/>
  <c r="AB100" i="55" l="1"/>
  <c r="AC100" i="55" s="1"/>
  <c r="AD100" i="55" s="1"/>
  <c r="AA101" i="55" s="1"/>
  <c r="AI88" i="55"/>
  <c r="AJ88" i="55" s="1"/>
  <c r="U83" i="60" s="1"/>
  <c r="V83" i="60" s="1"/>
  <c r="AK89" i="55"/>
  <c r="Y62" i="55"/>
  <c r="Z62" i="55" s="1"/>
  <c r="AB101" i="55" l="1"/>
  <c r="AC101" i="55" s="1"/>
  <c r="AD101" i="55" s="1"/>
  <c r="AA102" i="55" s="1"/>
  <c r="AB102" i="55" s="1"/>
  <c r="AC102" i="55" s="1"/>
  <c r="O62" i="55"/>
  <c r="S57" i="60"/>
  <c r="T57" i="60" s="1"/>
  <c r="AL89" i="55"/>
  <c r="AM89" i="55" s="1"/>
  <c r="AN89" i="55" s="1"/>
  <c r="AG89" i="55"/>
  <c r="AH89" i="55" s="1"/>
  <c r="W63" i="55"/>
  <c r="AD102" i="55" l="1"/>
  <c r="AA103" i="55" s="1"/>
  <c r="AI89" i="55"/>
  <c r="AJ89" i="55" s="1"/>
  <c r="AK90" i="55"/>
  <c r="X63" i="55"/>
  <c r="AB103" i="55" l="1"/>
  <c r="AC103" i="55" s="1"/>
  <c r="AD103" i="55" s="1"/>
  <c r="AA104" i="55" s="1"/>
  <c r="AG90" i="55"/>
  <c r="AH90" i="55" s="1"/>
  <c r="U84" i="60"/>
  <c r="V84" i="60" s="1"/>
  <c r="AL90" i="55"/>
  <c r="AM90" i="55" s="1"/>
  <c r="AN90" i="55" s="1"/>
  <c r="Y63" i="55"/>
  <c r="Z63" i="55" s="1"/>
  <c r="AB104" i="55" l="1"/>
  <c r="AC104" i="55" s="1"/>
  <c r="AD104" i="55" s="1"/>
  <c r="AA105" i="55" s="1"/>
  <c r="O63" i="55"/>
  <c r="S58" i="60"/>
  <c r="T58" i="60" s="1"/>
  <c r="AI90" i="55"/>
  <c r="AJ90" i="55" s="1"/>
  <c r="U85" i="60" s="1"/>
  <c r="V85" i="60" s="1"/>
  <c r="AK91" i="55"/>
  <c r="W64" i="55"/>
  <c r="AB105" i="55" l="1"/>
  <c r="AC105" i="55" s="1"/>
  <c r="AD105" i="55" s="1"/>
  <c r="AA106" i="55" s="1"/>
  <c r="AL91" i="55"/>
  <c r="AM91" i="55" s="1"/>
  <c r="AN91" i="55" s="1"/>
  <c r="AG91" i="55"/>
  <c r="AH91" i="55" s="1"/>
  <c r="X64" i="55"/>
  <c r="AB106" i="55" l="1"/>
  <c r="AC106" i="55" s="1"/>
  <c r="AD106" i="55" s="1"/>
  <c r="AA107" i="55" s="1"/>
  <c r="AI91" i="55"/>
  <c r="AJ91" i="55" s="1"/>
  <c r="U86" i="60" s="1"/>
  <c r="V86" i="60" s="1"/>
  <c r="AK92" i="55"/>
  <c r="Y64" i="55"/>
  <c r="Z64" i="55" s="1"/>
  <c r="AB107" i="55" l="1"/>
  <c r="AC107" i="55" s="1"/>
  <c r="AD107" i="55" s="1"/>
  <c r="AA108" i="55" s="1"/>
  <c r="O64" i="55"/>
  <c r="S59" i="60"/>
  <c r="T59" i="60" s="1"/>
  <c r="AG92" i="55"/>
  <c r="AH92" i="55" s="1"/>
  <c r="AL92" i="55"/>
  <c r="AM92" i="55" s="1"/>
  <c r="AN92" i="55" s="1"/>
  <c r="W65" i="55"/>
  <c r="AB108" i="55" l="1"/>
  <c r="AC108" i="55" s="1"/>
  <c r="AD108" i="55" s="1"/>
  <c r="AA109" i="55" s="1"/>
  <c r="AI92" i="55"/>
  <c r="AJ92" i="55" s="1"/>
  <c r="U87" i="60" s="1"/>
  <c r="V87" i="60" s="1"/>
  <c r="AK93" i="55"/>
  <c r="X65" i="55"/>
  <c r="AB109" i="55" l="1"/>
  <c r="AC109" i="55" s="1"/>
  <c r="AD109" i="55" s="1"/>
  <c r="AA110" i="55" s="1"/>
  <c r="AL93" i="55"/>
  <c r="AM93" i="55" s="1"/>
  <c r="AN93" i="55" s="1"/>
  <c r="AG93" i="55"/>
  <c r="AH93" i="55" s="1"/>
  <c r="Y65" i="55"/>
  <c r="Z65" i="55" s="1"/>
  <c r="AB110" i="55" l="1"/>
  <c r="AC110" i="55" s="1"/>
  <c r="AD110" i="55" s="1"/>
  <c r="AA111" i="55" s="1"/>
  <c r="AB111" i="55" s="1"/>
  <c r="AC111" i="55" s="1"/>
  <c r="O65" i="55"/>
  <c r="S60" i="60"/>
  <c r="T60" i="60" s="1"/>
  <c r="AI93" i="55"/>
  <c r="AJ93" i="55" s="1"/>
  <c r="AK94" i="55"/>
  <c r="W66" i="55"/>
  <c r="AD111" i="55" l="1"/>
  <c r="AA112" i="55" s="1"/>
  <c r="AG94" i="55"/>
  <c r="AH94" i="55" s="1"/>
  <c r="U88" i="60"/>
  <c r="V88" i="60" s="1"/>
  <c r="AL94" i="55"/>
  <c r="AM94" i="55" s="1"/>
  <c r="AN94" i="55" s="1"/>
  <c r="X66" i="55"/>
  <c r="AB112" i="55" l="1"/>
  <c r="AC112" i="55" s="1"/>
  <c r="AD112" i="55" s="1"/>
  <c r="AA113" i="55" s="1"/>
  <c r="AI94" i="55"/>
  <c r="AJ94" i="55" s="1"/>
  <c r="U89" i="60" s="1"/>
  <c r="V89" i="60" s="1"/>
  <c r="AK95" i="55"/>
  <c r="Y66" i="55"/>
  <c r="Z66" i="55" s="1"/>
  <c r="AB113" i="55" l="1"/>
  <c r="AC113" i="55" s="1"/>
  <c r="AD113" i="55" s="1"/>
  <c r="AA114" i="55" s="1"/>
  <c r="O66" i="55"/>
  <c r="S61" i="60"/>
  <c r="T61" i="60" s="1"/>
  <c r="AL95" i="55"/>
  <c r="AM95" i="55" s="1"/>
  <c r="AN95" i="55" s="1"/>
  <c r="AG95" i="55"/>
  <c r="AH95" i="55" s="1"/>
  <c r="W67" i="55"/>
  <c r="AB114" i="55" l="1"/>
  <c r="AC114" i="55" s="1"/>
  <c r="AD114" i="55" s="1"/>
  <c r="AA115" i="55" s="1"/>
  <c r="AI95" i="55"/>
  <c r="AJ95" i="55" s="1"/>
  <c r="AK96" i="55"/>
  <c r="X67" i="55"/>
  <c r="AB115" i="55" l="1"/>
  <c r="AC115" i="55" s="1"/>
  <c r="AD115" i="55" s="1"/>
  <c r="AA116" i="55" s="1"/>
  <c r="AB116" i="55" s="1"/>
  <c r="AC116" i="55" s="1"/>
  <c r="AG96" i="55"/>
  <c r="AH96" i="55" s="1"/>
  <c r="U90" i="60"/>
  <c r="V90" i="60" s="1"/>
  <c r="AL96" i="55"/>
  <c r="AM96" i="55" s="1"/>
  <c r="AN96" i="55" s="1"/>
  <c r="Y67" i="55"/>
  <c r="Z67" i="55" s="1"/>
  <c r="AD116" i="55" l="1"/>
  <c r="AA117" i="55" s="1"/>
  <c r="O67" i="55"/>
  <c r="S62" i="60"/>
  <c r="T62" i="60" s="1"/>
  <c r="AI96" i="55"/>
  <c r="AJ96" i="55" s="1"/>
  <c r="AK97" i="55"/>
  <c r="W68" i="55"/>
  <c r="AB117" i="55" l="1"/>
  <c r="AC117" i="55" s="1"/>
  <c r="AD117" i="55" s="1"/>
  <c r="AA118" i="55" s="1"/>
  <c r="AG97" i="55"/>
  <c r="AH97" i="55" s="1"/>
  <c r="U91" i="60"/>
  <c r="V91" i="60" s="1"/>
  <c r="Q21" i="57" s="1"/>
  <c r="AL97" i="55"/>
  <c r="AM97" i="55" s="1"/>
  <c r="AN97" i="55" s="1"/>
  <c r="X68" i="55"/>
  <c r="AB118" i="55" l="1"/>
  <c r="AC118" i="55" s="1"/>
  <c r="AD118" i="55" s="1"/>
  <c r="AA119" i="55" s="1"/>
  <c r="AI97" i="55"/>
  <c r="AJ97" i="55" s="1"/>
  <c r="U92" i="60" s="1"/>
  <c r="V92" i="60" s="1"/>
  <c r="AK98" i="55"/>
  <c r="Y68" i="55"/>
  <c r="Z68" i="55" s="1"/>
  <c r="AB119" i="55" l="1"/>
  <c r="AC119" i="55" s="1"/>
  <c r="AD119" i="55" s="1"/>
  <c r="AA120" i="55" s="1"/>
  <c r="O68" i="55"/>
  <c r="S63" i="60"/>
  <c r="T63" i="60" s="1"/>
  <c r="AG98" i="55"/>
  <c r="AH98" i="55" s="1"/>
  <c r="AL98" i="55"/>
  <c r="AM98" i="55" s="1"/>
  <c r="AN98" i="55" s="1"/>
  <c r="W69" i="55"/>
  <c r="AB120" i="55" l="1"/>
  <c r="AC120" i="55" s="1"/>
  <c r="AD120" i="55" s="1"/>
  <c r="AA121" i="55" s="1"/>
  <c r="AI98" i="55"/>
  <c r="AJ98" i="55" s="1"/>
  <c r="AK99" i="55"/>
  <c r="X69" i="55"/>
  <c r="AB121" i="55" l="1"/>
  <c r="AC121" i="55" s="1"/>
  <c r="AD121" i="55" s="1"/>
  <c r="AG99" i="55"/>
  <c r="AH99" i="55" s="1"/>
  <c r="U93" i="60"/>
  <c r="V93" i="60" s="1"/>
  <c r="AL99" i="55"/>
  <c r="AM99" i="55" s="1"/>
  <c r="AN99" i="55" s="1"/>
  <c r="Y69" i="55"/>
  <c r="Z69" i="55" s="1"/>
  <c r="O69" i="55" l="1"/>
  <c r="S64" i="60"/>
  <c r="T64" i="60" s="1"/>
  <c r="AI99" i="55"/>
  <c r="AJ99" i="55" s="1"/>
  <c r="AK100" i="55"/>
  <c r="W70" i="55"/>
  <c r="AG100" i="55" l="1"/>
  <c r="AH100" i="55" s="1"/>
  <c r="U94" i="60"/>
  <c r="V94" i="60" s="1"/>
  <c r="AL100" i="55"/>
  <c r="AM100" i="55" s="1"/>
  <c r="AN100" i="55" s="1"/>
  <c r="X70" i="55"/>
  <c r="AI100" i="55" l="1"/>
  <c r="AJ100" i="55" s="1"/>
  <c r="U95" i="60" s="1"/>
  <c r="V95" i="60" s="1"/>
  <c r="AK101" i="55"/>
  <c r="Y70" i="55"/>
  <c r="Z70" i="55" s="1"/>
  <c r="O70" i="55" l="1"/>
  <c r="S65" i="60"/>
  <c r="T65" i="60" s="1"/>
  <c r="AG101" i="55"/>
  <c r="AH101" i="55" s="1"/>
  <c r="AL101" i="55"/>
  <c r="AM101" i="55" s="1"/>
  <c r="AN101" i="55" s="1"/>
  <c r="W71" i="55"/>
  <c r="AI101" i="55" l="1"/>
  <c r="AJ101" i="55" s="1"/>
  <c r="AK102" i="55"/>
  <c r="X71" i="55"/>
  <c r="AG102" i="55" l="1"/>
  <c r="AH102" i="55" s="1"/>
  <c r="U96" i="60"/>
  <c r="V96" i="60" s="1"/>
  <c r="AL102" i="55"/>
  <c r="AM102" i="55" s="1"/>
  <c r="AN102" i="55" s="1"/>
  <c r="Y71" i="55"/>
  <c r="Z71" i="55" s="1"/>
  <c r="S66" i="60" s="1"/>
  <c r="T66" i="60" s="1"/>
  <c r="AI102" i="55" l="1"/>
  <c r="AJ102" i="55" s="1"/>
  <c r="AK103" i="55"/>
  <c r="W72" i="55"/>
  <c r="AG103" i="55" l="1"/>
  <c r="AH103" i="55" s="1"/>
  <c r="U97" i="60"/>
  <c r="V97" i="60" s="1"/>
  <c r="AL103" i="55"/>
  <c r="AM103" i="55" s="1"/>
  <c r="AN103" i="55" s="1"/>
  <c r="X72" i="55"/>
  <c r="AI103" i="55" l="1"/>
  <c r="AJ103" i="55" s="1"/>
  <c r="AK104" i="55"/>
  <c r="Y72" i="55"/>
  <c r="Z72" i="55" s="1"/>
  <c r="S67" i="60" s="1"/>
  <c r="T67" i="60" s="1"/>
  <c r="AG104" i="55" l="1"/>
  <c r="AH104" i="55" s="1"/>
  <c r="U98" i="60"/>
  <c r="V98" i="60" s="1"/>
  <c r="AL104" i="55"/>
  <c r="AM104" i="55" s="1"/>
  <c r="AN104" i="55" s="1"/>
  <c r="W73" i="55"/>
  <c r="AI104" i="55" l="1"/>
  <c r="AJ104" i="55" s="1"/>
  <c r="AK105" i="55"/>
  <c r="X73" i="55"/>
  <c r="AG105" i="55" l="1"/>
  <c r="AH105" i="55" s="1"/>
  <c r="U99" i="60"/>
  <c r="V99" i="60" s="1"/>
  <c r="AL105" i="55"/>
  <c r="AM105" i="55" s="1"/>
  <c r="AN105" i="55" s="1"/>
  <c r="Y73" i="55"/>
  <c r="Z73" i="55" s="1"/>
  <c r="S68" i="60" s="1"/>
  <c r="T68" i="60" s="1"/>
  <c r="AI105" i="55" l="1"/>
  <c r="AJ105" i="55" s="1"/>
  <c r="AK106" i="55"/>
  <c r="W74" i="55"/>
  <c r="AG106" i="55" l="1"/>
  <c r="AH106" i="55" s="1"/>
  <c r="U100" i="60"/>
  <c r="V100" i="60" s="1"/>
  <c r="AL106" i="55"/>
  <c r="AM106" i="55" s="1"/>
  <c r="AN106" i="55" s="1"/>
  <c r="X74" i="55"/>
  <c r="AI106" i="55" l="1"/>
  <c r="AJ106" i="55" s="1"/>
  <c r="AK107" i="55"/>
  <c r="Y74" i="55"/>
  <c r="Z74" i="55" s="1"/>
  <c r="S69" i="60" s="1"/>
  <c r="T69" i="60" s="1"/>
  <c r="AG107" i="55" l="1"/>
  <c r="AH107" i="55" s="1"/>
  <c r="U101" i="60"/>
  <c r="V101" i="60" s="1"/>
  <c r="AL107" i="55"/>
  <c r="AM107" i="55" s="1"/>
  <c r="AN107" i="55" s="1"/>
  <c r="W75" i="55"/>
  <c r="AI107" i="55" l="1"/>
  <c r="AJ107" i="55" s="1"/>
  <c r="AK108" i="55"/>
  <c r="X75" i="55"/>
  <c r="AG108" i="55" l="1"/>
  <c r="AH108" i="55" s="1"/>
  <c r="U102" i="60"/>
  <c r="V102" i="60" s="1"/>
  <c r="AL108" i="55"/>
  <c r="AM108" i="55" s="1"/>
  <c r="AN108" i="55" s="1"/>
  <c r="Y75" i="55"/>
  <c r="Z75" i="55" s="1"/>
  <c r="S70" i="60" s="1"/>
  <c r="T70" i="60" s="1"/>
  <c r="AI108" i="55" l="1"/>
  <c r="AJ108" i="55" s="1"/>
  <c r="AK109" i="55"/>
  <c r="W76" i="55"/>
  <c r="AG109" i="55" l="1"/>
  <c r="AH109" i="55" s="1"/>
  <c r="U103" i="60"/>
  <c r="V103" i="60" s="1"/>
  <c r="AL109" i="55"/>
  <c r="AM109" i="55" s="1"/>
  <c r="AN109" i="55" s="1"/>
  <c r="X76" i="55"/>
  <c r="AI109" i="55" l="1"/>
  <c r="AJ109" i="55" s="1"/>
  <c r="AK110" i="55"/>
  <c r="Y76" i="55"/>
  <c r="Z76" i="55" s="1"/>
  <c r="S71" i="60" s="1"/>
  <c r="T71" i="60" s="1"/>
  <c r="AG110" i="55" l="1"/>
  <c r="AH110" i="55" s="1"/>
  <c r="U104" i="60"/>
  <c r="V104" i="60" s="1"/>
  <c r="AL110" i="55"/>
  <c r="AM110" i="55" s="1"/>
  <c r="AN110" i="55" s="1"/>
  <c r="W77" i="55"/>
  <c r="AI110" i="55" l="1"/>
  <c r="AJ110" i="55" s="1"/>
  <c r="AK111" i="55"/>
  <c r="X77" i="55"/>
  <c r="AG111" i="55" l="1"/>
  <c r="AH111" i="55" s="1"/>
  <c r="U105" i="60"/>
  <c r="V105" i="60" s="1"/>
  <c r="AL111" i="55"/>
  <c r="AM111" i="55" s="1"/>
  <c r="AN111" i="55" s="1"/>
  <c r="Y77" i="55"/>
  <c r="Z77" i="55" s="1"/>
  <c r="S72" i="60" s="1"/>
  <c r="T72" i="60" s="1"/>
  <c r="AI111" i="55" l="1"/>
  <c r="AJ111" i="55" s="1"/>
  <c r="U106" i="60" s="1"/>
  <c r="V106" i="60" s="1"/>
  <c r="AK112" i="55"/>
  <c r="W78" i="55"/>
  <c r="AL112" i="55" l="1"/>
  <c r="AM112" i="55" s="1"/>
  <c r="AN112" i="55" s="1"/>
  <c r="AG112" i="55"/>
  <c r="AH112" i="55" s="1"/>
  <c r="X78" i="55"/>
  <c r="AI112" i="55" l="1"/>
  <c r="AJ112" i="55" s="1"/>
  <c r="U107" i="60" s="1"/>
  <c r="V107" i="60" s="1"/>
  <c r="AK113" i="55"/>
  <c r="Y78" i="55"/>
  <c r="Z78" i="55" s="1"/>
  <c r="S73" i="60" s="1"/>
  <c r="T73" i="60" s="1"/>
  <c r="AL113" i="55" l="1"/>
  <c r="AM113" i="55" s="1"/>
  <c r="AN113" i="55" s="1"/>
  <c r="AG113" i="55"/>
  <c r="AH113" i="55" s="1"/>
  <c r="W79" i="55"/>
  <c r="AI113" i="55" l="1"/>
  <c r="AJ113" i="55" s="1"/>
  <c r="AK114" i="55"/>
  <c r="X79" i="55"/>
  <c r="AG114" i="55" l="1"/>
  <c r="AH114" i="55" s="1"/>
  <c r="U108" i="60"/>
  <c r="V108" i="60" s="1"/>
  <c r="AL114" i="55"/>
  <c r="AM114" i="55" s="1"/>
  <c r="AN114" i="55" s="1"/>
  <c r="Y79" i="55"/>
  <c r="Z79" i="55" s="1"/>
  <c r="S74" i="60" s="1"/>
  <c r="T74" i="60" s="1"/>
  <c r="AI114" i="55" l="1"/>
  <c r="AJ114" i="55" s="1"/>
  <c r="AK115" i="55"/>
  <c r="W80" i="55"/>
  <c r="AG115" i="55" l="1"/>
  <c r="AH115" i="55" s="1"/>
  <c r="U109" i="60"/>
  <c r="V109" i="60" s="1"/>
  <c r="AL115" i="55"/>
  <c r="AM115" i="55" s="1"/>
  <c r="AN115" i="55" s="1"/>
  <c r="X80" i="55"/>
  <c r="AI115" i="55" l="1"/>
  <c r="AJ115" i="55" s="1"/>
  <c r="AK116" i="55"/>
  <c r="Y80" i="55"/>
  <c r="Z80" i="55" s="1"/>
  <c r="S75" i="60" s="1"/>
  <c r="T75" i="60" s="1"/>
  <c r="AG116" i="55" l="1"/>
  <c r="AH116" i="55" s="1"/>
  <c r="U110" i="60"/>
  <c r="V110" i="60" s="1"/>
  <c r="AL116" i="55"/>
  <c r="AM116" i="55" s="1"/>
  <c r="AN116" i="55" s="1"/>
  <c r="W81" i="55"/>
  <c r="AI116" i="55" l="1"/>
  <c r="AJ116" i="55" s="1"/>
  <c r="AK117" i="55"/>
  <c r="X81" i="55"/>
  <c r="AG117" i="55" l="1"/>
  <c r="AH117" i="55" s="1"/>
  <c r="U111" i="60"/>
  <c r="V111" i="60" s="1"/>
  <c r="AL117" i="55"/>
  <c r="AM117" i="55" s="1"/>
  <c r="AN117" i="55" s="1"/>
  <c r="Y81" i="55"/>
  <c r="Z81" i="55" s="1"/>
  <c r="S76" i="60" s="1"/>
  <c r="T76" i="60" s="1"/>
  <c r="AI117" i="55" l="1"/>
  <c r="AJ117" i="55" s="1"/>
  <c r="AK118" i="55"/>
  <c r="W82" i="55"/>
  <c r="AG118" i="55" l="1"/>
  <c r="AH118" i="55" s="1"/>
  <c r="U112" i="60"/>
  <c r="V112" i="60" s="1"/>
  <c r="AL118" i="55"/>
  <c r="AM118" i="55" s="1"/>
  <c r="AN118" i="55" s="1"/>
  <c r="X82" i="55"/>
  <c r="AI118" i="55" l="1"/>
  <c r="AJ118" i="55" s="1"/>
  <c r="AK119" i="55"/>
  <c r="Y82" i="55"/>
  <c r="Z82" i="55" s="1"/>
  <c r="S77" i="60" s="1"/>
  <c r="T77" i="60" s="1"/>
  <c r="AG119" i="55" l="1"/>
  <c r="AH119" i="55" s="1"/>
  <c r="U113" i="60"/>
  <c r="V113" i="60" s="1"/>
  <c r="AL119" i="55"/>
  <c r="AM119" i="55" s="1"/>
  <c r="AN119" i="55" s="1"/>
  <c r="W83" i="55"/>
  <c r="AI119" i="55" l="1"/>
  <c r="AJ119" i="55" s="1"/>
  <c r="U114" i="60" s="1"/>
  <c r="V114" i="60" s="1"/>
  <c r="AK120" i="55"/>
  <c r="X83" i="55"/>
  <c r="AL120" i="55" l="1"/>
  <c r="AM120" i="55" s="1"/>
  <c r="AN120" i="55" s="1"/>
  <c r="AG120" i="55"/>
  <c r="AH120" i="55" s="1"/>
  <c r="Y83" i="55"/>
  <c r="Z83" i="55" s="1"/>
  <c r="S78" i="60" s="1"/>
  <c r="T78" i="60" s="1"/>
  <c r="AI120" i="55" l="1"/>
  <c r="AJ120" i="55" s="1"/>
  <c r="AK121" i="55"/>
  <c r="W84" i="55"/>
  <c r="AG121" i="55" l="1"/>
  <c r="AH121" i="55" s="1"/>
  <c r="U115" i="60"/>
  <c r="V115" i="60" s="1"/>
  <c r="AL121" i="55"/>
  <c r="AM121" i="55" s="1"/>
  <c r="AN121" i="55" s="1"/>
  <c r="X84" i="55"/>
  <c r="AI121" i="55" l="1"/>
  <c r="AJ121" i="55" s="1"/>
  <c r="U116" i="60" s="1"/>
  <c r="V116" i="60" s="1"/>
  <c r="Y84" i="55"/>
  <c r="Z84" i="55" s="1"/>
  <c r="S79" i="60" s="1"/>
  <c r="T79" i="60" s="1"/>
  <c r="W85" i="55" l="1"/>
  <c r="X85" i="55" l="1"/>
  <c r="Y85" i="55" l="1"/>
  <c r="Z85" i="55" s="1"/>
  <c r="S80" i="60" s="1"/>
  <c r="T80" i="60" s="1"/>
  <c r="W86" i="55" l="1"/>
  <c r="X86" i="55" l="1"/>
  <c r="Y86" i="55" l="1"/>
  <c r="Z86" i="55" s="1"/>
  <c r="S81" i="60" s="1"/>
  <c r="T81" i="60" s="1"/>
  <c r="W87" i="55" l="1"/>
  <c r="X87" i="55" l="1"/>
  <c r="Y87" i="55" l="1"/>
  <c r="Z87" i="55" s="1"/>
  <c r="S82" i="60" s="1"/>
  <c r="T82" i="60" s="1"/>
  <c r="W88" i="55" l="1"/>
  <c r="X88" i="55" l="1"/>
  <c r="Y88" i="55" l="1"/>
  <c r="Z88" i="55" s="1"/>
  <c r="S83" i="60" s="1"/>
  <c r="T83" i="60" s="1"/>
  <c r="W89" i="55" l="1"/>
  <c r="X89" i="55" l="1"/>
  <c r="Y89" i="55" l="1"/>
  <c r="Z89" i="55" s="1"/>
  <c r="S84" i="60" s="1"/>
  <c r="T84" i="60" s="1"/>
  <c r="W90" i="55" l="1"/>
  <c r="X90" i="55" l="1"/>
  <c r="Y90" i="55" l="1"/>
  <c r="Z90" i="55" s="1"/>
  <c r="S85" i="60" s="1"/>
  <c r="T85" i="60" s="1"/>
  <c r="W91" i="55" l="1"/>
  <c r="X91" i="55" l="1"/>
  <c r="Y91" i="55" l="1"/>
  <c r="Z91" i="55" s="1"/>
  <c r="S86" i="60" s="1"/>
  <c r="T86" i="60" s="1"/>
  <c r="W92" i="55" l="1"/>
  <c r="X92" i="55" l="1"/>
  <c r="Y92" i="55" l="1"/>
  <c r="Z92" i="55" s="1"/>
  <c r="S87" i="60" s="1"/>
  <c r="T87" i="60" s="1"/>
  <c r="W93" i="55" l="1"/>
  <c r="X93" i="55" l="1"/>
  <c r="Y93" i="55" l="1"/>
  <c r="Z93" i="55" s="1"/>
  <c r="S88" i="60" s="1"/>
  <c r="T88" i="60" s="1"/>
  <c r="W94" i="55" l="1"/>
  <c r="X94" i="55" l="1"/>
  <c r="Y94" i="55" l="1"/>
  <c r="Z94" i="55" s="1"/>
  <c r="S89" i="60" s="1"/>
  <c r="T89" i="60" s="1"/>
  <c r="W95" i="55" l="1"/>
  <c r="X95" i="55" l="1"/>
  <c r="Y95" i="55" l="1"/>
  <c r="Z95" i="55" s="1"/>
  <c r="S90" i="60" s="1"/>
  <c r="T90" i="60" s="1"/>
  <c r="W96" i="55" l="1"/>
  <c r="X96" i="55" l="1"/>
  <c r="Y96" i="55" l="1"/>
  <c r="Z96" i="55" s="1"/>
  <c r="S91" i="60" s="1"/>
  <c r="T91" i="60" s="1"/>
  <c r="N21" i="57" s="1"/>
  <c r="W97" i="55" l="1"/>
  <c r="X97" i="55" l="1"/>
  <c r="Y97" i="55" l="1"/>
  <c r="Z97" i="55" s="1"/>
  <c r="S92" i="60" s="1"/>
  <c r="T92" i="60" s="1"/>
  <c r="W98" i="55" l="1"/>
  <c r="X98" i="55" l="1"/>
  <c r="Y98" i="55" l="1"/>
  <c r="Z98" i="55" s="1"/>
  <c r="S93" i="60" s="1"/>
  <c r="T93" i="60" s="1"/>
  <c r="W99" i="55" l="1"/>
  <c r="X99" i="55" l="1"/>
  <c r="Y99" i="55" l="1"/>
  <c r="Z99" i="55" s="1"/>
  <c r="S94" i="60" s="1"/>
  <c r="T94" i="60" s="1"/>
  <c r="W100" i="55" l="1"/>
  <c r="X100" i="55" l="1"/>
  <c r="Y100" i="55" l="1"/>
  <c r="Z100" i="55" s="1"/>
  <c r="S95" i="60" s="1"/>
  <c r="T95" i="60" s="1"/>
  <c r="W101" i="55" l="1"/>
  <c r="X101" i="55" l="1"/>
  <c r="Y101" i="55" l="1"/>
  <c r="Z101" i="55" s="1"/>
  <c r="S96" i="60" s="1"/>
  <c r="T96" i="60" s="1"/>
  <c r="W102" i="55" l="1"/>
  <c r="X102" i="55" l="1"/>
  <c r="Y102" i="55" l="1"/>
  <c r="Z102" i="55" s="1"/>
  <c r="S97" i="60" s="1"/>
  <c r="T97" i="60" s="1"/>
  <c r="W103" i="55" l="1"/>
  <c r="X103" i="55" l="1"/>
  <c r="Y103" i="55" l="1"/>
  <c r="Z103" i="55" s="1"/>
  <c r="S98" i="60" s="1"/>
  <c r="T98" i="60" s="1"/>
  <c r="W104" i="55" l="1"/>
  <c r="X104" i="55" l="1"/>
  <c r="Y104" i="55" l="1"/>
  <c r="Z104" i="55" s="1"/>
  <c r="S99" i="60" s="1"/>
  <c r="T99" i="60" s="1"/>
  <c r="W105" i="55" l="1"/>
  <c r="X105" i="55" l="1"/>
  <c r="Y105" i="55" l="1"/>
  <c r="Z105" i="55" s="1"/>
  <c r="S100" i="60" s="1"/>
  <c r="T100" i="60" s="1"/>
  <c r="W106" i="55" l="1"/>
  <c r="X106" i="55" l="1"/>
  <c r="Y106" i="55" l="1"/>
  <c r="Z106" i="55" s="1"/>
  <c r="S101" i="60" s="1"/>
  <c r="T101" i="60" s="1"/>
  <c r="W107" i="55" l="1"/>
  <c r="X107" i="55" l="1"/>
  <c r="Y107" i="55" l="1"/>
  <c r="Z107" i="55" s="1"/>
  <c r="S102" i="60" s="1"/>
  <c r="T102" i="60" s="1"/>
  <c r="W108" i="55" l="1"/>
  <c r="X108" i="55" l="1"/>
  <c r="Y108" i="55" l="1"/>
  <c r="Z108" i="55" s="1"/>
  <c r="S103" i="60" s="1"/>
  <c r="T103" i="60" s="1"/>
  <c r="W109" i="55" l="1"/>
  <c r="X109" i="55" l="1"/>
  <c r="Y109" i="55" l="1"/>
  <c r="Z109" i="55" s="1"/>
  <c r="S104" i="60" s="1"/>
  <c r="T104" i="60" s="1"/>
  <c r="W110" i="55" l="1"/>
  <c r="X110" i="55" l="1"/>
  <c r="Y110" i="55" l="1"/>
  <c r="Z110" i="55" s="1"/>
  <c r="S105" i="60" s="1"/>
  <c r="T105" i="60" s="1"/>
  <c r="W111" i="55" l="1"/>
  <c r="X111" i="55" l="1"/>
  <c r="Y111" i="55" l="1"/>
  <c r="Z111" i="55" s="1"/>
  <c r="S106" i="60" s="1"/>
  <c r="T106" i="60" s="1"/>
  <c r="W112" i="55" l="1"/>
  <c r="X112" i="55" l="1"/>
  <c r="Y112" i="55" l="1"/>
  <c r="Z112" i="55" s="1"/>
  <c r="S107" i="60" s="1"/>
  <c r="T107" i="60" s="1"/>
  <c r="W113" i="55" l="1"/>
  <c r="X113" i="55" l="1"/>
  <c r="Y113" i="55" l="1"/>
  <c r="Z113" i="55" s="1"/>
  <c r="S108" i="60" s="1"/>
  <c r="T108" i="60" s="1"/>
  <c r="W114" i="55" l="1"/>
  <c r="X114" i="55" l="1"/>
  <c r="Y114" i="55" l="1"/>
  <c r="Z114" i="55" s="1"/>
  <c r="S109" i="60" s="1"/>
  <c r="T109" i="60" s="1"/>
  <c r="W115" i="55" l="1"/>
  <c r="X115" i="55" l="1"/>
  <c r="Y115" i="55" l="1"/>
  <c r="Z115" i="55" s="1"/>
  <c r="S110" i="60" s="1"/>
  <c r="T110" i="60" s="1"/>
  <c r="W116" i="55" l="1"/>
  <c r="X116" i="55" l="1"/>
  <c r="Y116" i="55" l="1"/>
  <c r="Z116" i="55" s="1"/>
  <c r="S111" i="60" s="1"/>
  <c r="T111" i="60" s="1"/>
  <c r="W117" i="55" l="1"/>
  <c r="X117" i="55" l="1"/>
  <c r="Y117" i="55" l="1"/>
  <c r="Z117" i="55" s="1"/>
  <c r="S112" i="60" s="1"/>
  <c r="T112" i="60" s="1"/>
  <c r="W118" i="55" l="1"/>
  <c r="X118" i="55" l="1"/>
  <c r="Y118" i="55" l="1"/>
  <c r="Z118" i="55" s="1"/>
  <c r="S113" i="60" s="1"/>
  <c r="T113" i="60" s="1"/>
  <c r="W119" i="55" l="1"/>
  <c r="X119" i="55" l="1"/>
  <c r="Y119" i="55" l="1"/>
  <c r="Z119" i="55" s="1"/>
  <c r="S114" i="60" s="1"/>
  <c r="T114" i="60" s="1"/>
  <c r="W120" i="55" l="1"/>
  <c r="X120" i="55" l="1"/>
  <c r="Y120" i="55" l="1"/>
  <c r="Z120" i="55" s="1"/>
  <c r="S115" i="60" s="1"/>
  <c r="T115" i="60" s="1"/>
  <c r="W121" i="55" l="1"/>
  <c r="X121" i="55" l="1"/>
  <c r="Y121" i="55" l="1"/>
  <c r="Z121" i="55" l="1"/>
  <c r="S116" i="60" s="1"/>
  <c r="T116" i="6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Sara Ghazzaoui</author>
  </authors>
  <commentList>
    <comment ref="V15" authorId="0" shapeId="0" xr:uid="{B37533CE-2E96-474F-83DA-92BF9BBF57BD}">
      <text>
        <r>
          <rPr>
            <b/>
            <sz val="9"/>
            <color indexed="81"/>
            <rFont val="Tahoma"/>
            <family val="2"/>
          </rPr>
          <t>Sara Ghazzaoui:</t>
        </r>
        <r>
          <rPr>
            <sz val="9"/>
            <color indexed="81"/>
            <rFont val="Tahoma"/>
            <family val="2"/>
          </rPr>
          <t xml:space="preserve">
Overestimated car payment due to payoff after 7 months.</t>
        </r>
      </text>
    </comment>
    <comment ref="B25" authorId="0" shapeId="0" xr:uid="{27BC6BC4-81C4-4297-882C-589FBF9630A2}">
      <text>
        <r>
          <rPr>
            <b/>
            <sz val="9"/>
            <color indexed="81"/>
            <rFont val="Tahoma"/>
            <family val="2"/>
          </rPr>
          <t>Sara Ghazzaoui:</t>
        </r>
        <r>
          <rPr>
            <sz val="9"/>
            <color indexed="81"/>
            <rFont val="Tahoma"/>
            <family val="2"/>
          </rPr>
          <t xml:space="preserve">
Pay $40. Averaging every 6 weeks, so gets to $26.67</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Sara Ghazzaoui</author>
  </authors>
  <commentList>
    <comment ref="U14" authorId="0" shapeId="0" xr:uid="{5DC310BF-733D-4D82-BDF0-B5D0A5ABE578}">
      <text>
        <r>
          <rPr>
            <b/>
            <sz val="9"/>
            <color indexed="81"/>
            <rFont val="Tahoma"/>
            <family val="2"/>
          </rPr>
          <t>Sara Ghazzaoui:</t>
        </r>
        <r>
          <rPr>
            <sz val="9"/>
            <color indexed="81"/>
            <rFont val="Tahoma"/>
            <family val="2"/>
          </rPr>
          <t xml:space="preserve">
Overestimated car payment due to payoff after 7 months.</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python.xml><?xml version="1.0" encoding="utf-8"?>
<python xmlns="http://schemas.microsoft.com/office/spreadsheetml/2023/python">
  <environmentDefinition id="{882DD1B0-6546-4DFA-8A08-902A380B44EA}">
    <initialization>
      <code xml:space="preserve">import numpy as np
import pandas as pd
import matplotlib.pyplot as plt
import seaborn as sns
import statsmodels as sm
import excel
import warnings
warnings.simplefilter('ignore')
excel.set_xl_scalar_conversion(excel.convert_to_scalar)
excel.set_xl_array_conversion(excel.convert_to_dataframe)
</code>
    </initialization>
  </environmentDefinition>
</python>
</file>

<file path=xl/sharedStrings.xml><?xml version="1.0" encoding="utf-8"?>
<sst xmlns="http://schemas.openxmlformats.org/spreadsheetml/2006/main" count="2605" uniqueCount="622">
  <si>
    <t>Base Salary</t>
  </si>
  <si>
    <t>Description</t>
  </si>
  <si>
    <t>Age</t>
  </si>
  <si>
    <t>Year</t>
  </si>
  <si>
    <t>Total</t>
  </si>
  <si>
    <t>Taxes</t>
  </si>
  <si>
    <t>Category</t>
  </si>
  <si>
    <t>Annual</t>
  </si>
  <si>
    <t>Expense &amp; Income Table</t>
  </si>
  <si>
    <t>2025 Summary</t>
  </si>
  <si>
    <t>Type</t>
  </si>
  <si>
    <t>Frequency</t>
  </si>
  <si>
    <t>Planned Month</t>
  </si>
  <si>
    <t>Item</t>
  </si>
  <si>
    <t>Spending Category</t>
  </si>
  <si>
    <t>Expenditures</t>
  </si>
  <si>
    <t>Income</t>
  </si>
  <si>
    <t>Month</t>
  </si>
  <si>
    <t>Monthly Income</t>
  </si>
  <si>
    <t>One-Time Income</t>
  </si>
  <si>
    <t>Monthly Expenses</t>
  </si>
  <si>
    <t>Monthly Mortgage Expenses</t>
  </si>
  <si>
    <t xml:space="preserve">One-Time Rent Expense </t>
  </si>
  <si>
    <t>Monthly Non-Housing Expenses</t>
  </si>
  <si>
    <t>One-Time Expenses</t>
  </si>
  <si>
    <t>Remaining</t>
  </si>
  <si>
    <t>Consistent</t>
  </si>
  <si>
    <t>Monthly</t>
  </si>
  <si>
    <t>All</t>
  </si>
  <si>
    <t>Car Maintenance</t>
  </si>
  <si>
    <t>Automotive</t>
  </si>
  <si>
    <t>January</t>
  </si>
  <si>
    <t>Tolls</t>
  </si>
  <si>
    <t>February</t>
  </si>
  <si>
    <t>Cat Food</t>
  </si>
  <si>
    <t>Cat</t>
  </si>
  <si>
    <t>March</t>
  </si>
  <si>
    <t>Cat Litter</t>
  </si>
  <si>
    <t>April</t>
  </si>
  <si>
    <t>Car Insurance &amp; Umbrella</t>
  </si>
  <si>
    <t>May</t>
  </si>
  <si>
    <t>Gas</t>
  </si>
  <si>
    <t>June</t>
  </si>
  <si>
    <t>Groceries</t>
  </si>
  <si>
    <t>July</t>
  </si>
  <si>
    <t>Gym</t>
  </si>
  <si>
    <t>Health</t>
  </si>
  <si>
    <t>August</t>
  </si>
  <si>
    <t>Yoga</t>
  </si>
  <si>
    <t>September</t>
  </si>
  <si>
    <t>Vitamins</t>
  </si>
  <si>
    <t>October</t>
  </si>
  <si>
    <t>Deoderant</t>
  </si>
  <si>
    <t>November</t>
  </si>
  <si>
    <t>Nasal Spray</t>
  </si>
  <si>
    <t>December</t>
  </si>
  <si>
    <t>Medical</t>
  </si>
  <si>
    <t>Annual Total</t>
  </si>
  <si>
    <t>Haircut</t>
  </si>
  <si>
    <t>Exterminator</t>
  </si>
  <si>
    <t>Pest</t>
  </si>
  <si>
    <t>Annual Expenditures</t>
  </si>
  <si>
    <t>Annual Income</t>
  </si>
  <si>
    <t>Home Improvement - Misc (4k/year)</t>
  </si>
  <si>
    <t>Miscellaneous</t>
  </si>
  <si>
    <t>Eric - MITRE Takehome Income</t>
  </si>
  <si>
    <t>Job Income</t>
  </si>
  <si>
    <t>Sara - Fannie Mae Takehome Income</t>
  </si>
  <si>
    <t>Mortgage 50 Morrison</t>
  </si>
  <si>
    <t>Mortgage</t>
  </si>
  <si>
    <t>Phone Bill</t>
  </si>
  <si>
    <t>Phone</t>
  </si>
  <si>
    <t>Restaurant</t>
  </si>
  <si>
    <t>Clothes &amp; Shoes</t>
  </si>
  <si>
    <t>Shopping</t>
  </si>
  <si>
    <t>Amazon Subscription</t>
  </si>
  <si>
    <t>Electric</t>
  </si>
  <si>
    <t>Utilities</t>
  </si>
  <si>
    <t>Trash</t>
  </si>
  <si>
    <t>One-Time</t>
  </si>
  <si>
    <t>Car Undercoating</t>
  </si>
  <si>
    <t>Vet - Charles</t>
  </si>
  <si>
    <t>Vet - Luna</t>
  </si>
  <si>
    <t>Vet - Bravecto</t>
  </si>
  <si>
    <t>Christmas Expenses</t>
  </si>
  <si>
    <t>Gifts</t>
  </si>
  <si>
    <t>Contacts</t>
  </si>
  <si>
    <t/>
  </si>
  <si>
    <t>Heating Oil</t>
  </si>
  <si>
    <t>Home Heating</t>
  </si>
  <si>
    <t>Inconsistent</t>
  </si>
  <si>
    <t>Pellets</t>
  </si>
  <si>
    <t>Mulch</t>
  </si>
  <si>
    <t>Home Maintenance</t>
  </si>
  <si>
    <t>Deck</t>
  </si>
  <si>
    <t>Water Filtration (UV)</t>
  </si>
  <si>
    <t>Insulation</t>
  </si>
  <si>
    <t>Spiggot</t>
  </si>
  <si>
    <t>Flooring</t>
  </si>
  <si>
    <t>Rent - Incoming</t>
  </si>
  <si>
    <t>Rent - Outgoing</t>
  </si>
  <si>
    <t>Tax Refund</t>
  </si>
  <si>
    <t>Vacation</t>
  </si>
  <si>
    <t>Reseal Driveway</t>
  </si>
  <si>
    <t>Well Cap</t>
  </si>
  <si>
    <t>Well Shock</t>
  </si>
  <si>
    <t>Shower</t>
  </si>
  <si>
    <t>Fire Alarms Electrician</t>
  </si>
  <si>
    <t>Fire Alarm Devices</t>
  </si>
  <si>
    <t>Bedroom Fans (2)</t>
  </si>
  <si>
    <t>Couches</t>
  </si>
  <si>
    <t>Kitchen Faucet</t>
  </si>
  <si>
    <t>Paint</t>
  </si>
  <si>
    <t>Snow Plow Service</t>
  </si>
  <si>
    <t>Fall Cleanup</t>
  </si>
  <si>
    <t>Sale of Mustang</t>
  </si>
  <si>
    <t>Buckup Lift - Clean Side of House</t>
  </si>
  <si>
    <t>Calendar Year</t>
  </si>
  <si>
    <t>Contributions ($)</t>
  </si>
  <si>
    <t>Simulated Return (%)</t>
  </si>
  <si>
    <t>Simulated Return ($)</t>
  </si>
  <si>
    <t>PMI</t>
  </si>
  <si>
    <t>Interest</t>
  </si>
  <si>
    <t>Principal</t>
  </si>
  <si>
    <t>Ending Balance</t>
  </si>
  <si>
    <t>Property Taxes</t>
  </si>
  <si>
    <t>Septic</t>
  </si>
  <si>
    <t>Other Assets (Non-Accounts)</t>
  </si>
  <si>
    <t>Rav4</t>
  </si>
  <si>
    <t>Semi-Liquid</t>
  </si>
  <si>
    <t>Mustang</t>
  </si>
  <si>
    <t>2024 Monthly Ledger</t>
  </si>
  <si>
    <t>2024 Monthly Ledger (Aggregated)</t>
  </si>
  <si>
    <t>Assigned?</t>
  </si>
  <si>
    <t>Upcoming Expenses</t>
  </si>
  <si>
    <t>Schedule</t>
  </si>
  <si>
    <t>Planned Spend Month</t>
  </si>
  <si>
    <t>Expenses</t>
  </si>
  <si>
    <t>Expended</t>
  </si>
  <si>
    <t>One-Time Bonuses</t>
  </si>
  <si>
    <t>Alchohol</t>
  </si>
  <si>
    <t>One-time</t>
  </si>
  <si>
    <t>Monthly Expense</t>
  </si>
  <si>
    <t>Auto Loan Credit (3 months remaining)</t>
  </si>
  <si>
    <t>Dress</t>
  </si>
  <si>
    <t>Remainder Caterer</t>
  </si>
  <si>
    <t>Exterminator - Base</t>
  </si>
  <si>
    <t>Honeymoon</t>
  </si>
  <si>
    <t>Remainder Bartender</t>
  </si>
  <si>
    <t xml:space="preserve">Remainder Caterer </t>
  </si>
  <si>
    <t>Car Payment</t>
  </si>
  <si>
    <t>Remainder DJ</t>
  </si>
  <si>
    <t>Venue Deposit (March)</t>
  </si>
  <si>
    <t>Saved 2024</t>
  </si>
  <si>
    <t>Remainder Florist</t>
  </si>
  <si>
    <t>Remainder JOP</t>
  </si>
  <si>
    <t>Remainder Photographer</t>
  </si>
  <si>
    <t>Tires</t>
  </si>
  <si>
    <t>Bi-Annual</t>
  </si>
  <si>
    <t>Venue Deposit (September) Final</t>
  </si>
  <si>
    <t>Half Marathon Registration</t>
  </si>
  <si>
    <t>Trash Service</t>
  </si>
  <si>
    <t>Half Marathon Housing</t>
  </si>
  <si>
    <t>Wedding Bands</t>
  </si>
  <si>
    <t>Boiler Cleaning</t>
  </si>
  <si>
    <t>Sara - Takehome (Biweekly)</t>
  </si>
  <si>
    <t>Eric - Takehome (Biweekly)</t>
  </si>
  <si>
    <t>Hair and Makeup</t>
  </si>
  <si>
    <t>Total Takehome (Monthly)</t>
  </si>
  <si>
    <t>Remainder of Parent's Place for Wedding</t>
  </si>
  <si>
    <t>Wedding Snacks</t>
  </si>
  <si>
    <t>One-time Incoming Funds</t>
  </si>
  <si>
    <t>Wedding - Misc.</t>
  </si>
  <si>
    <t>Eric's parents December 2023</t>
  </si>
  <si>
    <t>Sara's parents December 2023</t>
  </si>
  <si>
    <t>Sara One-Time Raise</t>
  </si>
  <si>
    <t>Eric Mass Tax Return</t>
  </si>
  <si>
    <t>Eric Fed Refund</t>
  </si>
  <si>
    <t>Sara Fed Refund</t>
  </si>
  <si>
    <t>Remaining Car Balance (Months to 0 Bal.)</t>
  </si>
  <si>
    <t>Planned Savings</t>
  </si>
  <si>
    <t>Actual Savings to Date</t>
  </si>
  <si>
    <t>Sara's secret Santa</t>
  </si>
  <si>
    <t>Eric's secret Santa</t>
  </si>
  <si>
    <t>Eric's parents</t>
  </si>
  <si>
    <t>Scott and Mallory</t>
  </si>
  <si>
    <t>Charity</t>
  </si>
  <si>
    <t>2025 Monthly Ledger</t>
  </si>
  <si>
    <t>2025 Monthly Ledger (Aggregated)</t>
  </si>
  <si>
    <t>Other</t>
  </si>
  <si>
    <t>Vet- Bravecto</t>
  </si>
  <si>
    <t>Saved 2025</t>
  </si>
  <si>
    <t>Sara's parents</t>
  </si>
  <si>
    <t>Mass Tax Return</t>
  </si>
  <si>
    <t>Fed Refund</t>
  </si>
  <si>
    <t>Baby Acquisitions</t>
  </si>
  <si>
    <t>50 Morrison Snow Removal</t>
  </si>
  <si>
    <t>50 Morrison Mowing</t>
  </si>
  <si>
    <t>Diapers</t>
  </si>
  <si>
    <t>Toys</t>
  </si>
  <si>
    <t>Child Clothing</t>
  </si>
  <si>
    <t>Loan Processing Fee</t>
  </si>
  <si>
    <t>Underwriting Fee</t>
  </si>
  <si>
    <t>Appraisal Fee</t>
  </si>
  <si>
    <t>Down Payment (%)</t>
  </si>
  <si>
    <t>Mers Registration Fee</t>
  </si>
  <si>
    <t>Title - CPL Fee</t>
  </si>
  <si>
    <t>Title - Lending Title Insurance</t>
  </si>
  <si>
    <t>Loan Term (Years)</t>
  </si>
  <si>
    <t>Title - Settlement/Closing Fee</t>
  </si>
  <si>
    <t>Total Loan Payments</t>
  </si>
  <si>
    <t>Home Insurance</t>
  </si>
  <si>
    <t>Recording Fees</t>
  </si>
  <si>
    <t>Prepaids</t>
  </si>
  <si>
    <t>Homeowners Insurance Premium (Annual up front)</t>
  </si>
  <si>
    <t>Prepaid Interest</t>
  </si>
  <si>
    <t>Homeowners Insurance</t>
  </si>
  <si>
    <t>Commercial Venue Insurance</t>
  </si>
  <si>
    <t>Mortgage Insurance</t>
  </si>
  <si>
    <t>Title-owner policy</t>
  </si>
  <si>
    <t>Cash to close</t>
  </si>
  <si>
    <t>Loan Balance (BOY)</t>
  </si>
  <si>
    <t>Cumulative Appreciation</t>
  </si>
  <si>
    <t>Eric C1</t>
  </si>
  <si>
    <t>Eric transfer 15000 from C1 to Chase</t>
  </si>
  <si>
    <t>Eric BOA</t>
  </si>
  <si>
    <t>Eric transfer 8963.15 from C1 to Fidelity</t>
  </si>
  <si>
    <t>Sara C1</t>
  </si>
  <si>
    <t>Eric transfer 9202.54 from BOA to Fidelity</t>
  </si>
  <si>
    <t>Sara Chase</t>
  </si>
  <si>
    <t>Sara transfer 11834.31 from Chase Checking to Fidelity</t>
  </si>
  <si>
    <t>Done 11/11</t>
  </si>
  <si>
    <t>Sara's C1 linked to eric Fidelity</t>
  </si>
  <si>
    <t>needed for Chase Savings</t>
  </si>
  <si>
    <t>Eric's C1 linked to eric Fidelity</t>
  </si>
  <si>
    <t>Emergency Savings</t>
  </si>
  <si>
    <t>Sara's Chase Checking to eric Fidelity</t>
  </si>
  <si>
    <t>Eric's Chase Checking to eric Fidelity</t>
  </si>
  <si>
    <t>Eric's Chase Savings to eric Fidelity</t>
  </si>
  <si>
    <t>transferred 9100 from Eric's BOA to Fidelity…</t>
  </si>
  <si>
    <t>Eric's Chase Savings to Eric C1</t>
  </si>
  <si>
    <t>Business Cash Flow with Booking Projections</t>
  </si>
  <si>
    <t>Assets on Hand</t>
  </si>
  <si>
    <t>Mortgage Ammortization Schedule</t>
  </si>
  <si>
    <t>Year Started</t>
  </si>
  <si>
    <t>Event Rate</t>
  </si>
  <si>
    <t>Actual Event Charge</t>
  </si>
  <si>
    <t>Rate Increase (YoY)</t>
  </si>
  <si>
    <t>Weekends Available</t>
  </si>
  <si>
    <t>Weddings Booked</t>
  </si>
  <si>
    <t>% Booked</t>
  </si>
  <si>
    <t>% Seasonality Discount</t>
  </si>
  <si>
    <t>Revenue</t>
  </si>
  <si>
    <t>Net Cash Flow</t>
  </si>
  <si>
    <t>Cumulative Monthly Assets After Closing</t>
  </si>
  <si>
    <t>Sara Monthly Income</t>
  </si>
  <si>
    <t>Eric Monthly Income</t>
  </si>
  <si>
    <t>Personal Monthly Expenses</t>
  </si>
  <si>
    <t>Total Liquid Assets</t>
  </si>
  <si>
    <t>Cash Desired on Hand</t>
  </si>
  <si>
    <t>Assets in Market</t>
  </si>
  <si>
    <t>Market Return</t>
  </si>
  <si>
    <t>Property Value</t>
  </si>
  <si>
    <t>Cumulative Property Appreciation</t>
  </si>
  <si>
    <t>Loan Balance</t>
  </si>
  <si>
    <t>Principal &amp; Interest - Mortgage Payment</t>
  </si>
  <si>
    <t>Additional Principal Only Payment</t>
  </si>
  <si>
    <t>Cumulate Interest</t>
  </si>
  <si>
    <t>Cumulative Principal</t>
  </si>
  <si>
    <t>Rentable Days a Month (Friday, Saturday)</t>
  </si>
  <si>
    <t>Property Appreciation (Annual)</t>
  </si>
  <si>
    <t>Property Appreciation (Monthly)</t>
  </si>
  <si>
    <t>RoR (Annual)</t>
  </si>
  <si>
    <t>RoR (Monthly)</t>
  </si>
  <si>
    <t>Desired Cash on Hand</t>
  </si>
  <si>
    <t>Cash Flow Projections (Venue Only)</t>
  </si>
  <si>
    <t>Mortgage Expense</t>
  </si>
  <si>
    <t>Interest-Portion of Expense (up to 750k)</t>
  </si>
  <si>
    <t>One-time Expenses</t>
  </si>
  <si>
    <t>Net Cash Flow (w/o Sara)</t>
  </si>
  <si>
    <t>Net Cash  Flow (w/Sara)</t>
  </si>
  <si>
    <t>DETERMINE OPERATING EXPENSES</t>
  </si>
  <si>
    <t>TAXES WITHHELD (QUARTERLY)</t>
  </si>
  <si>
    <t>Nightly Rate</t>
  </si>
  <si>
    <t>Nights Booked</t>
  </si>
  <si>
    <t>Necessary?</t>
  </si>
  <si>
    <t>Location</t>
  </si>
  <si>
    <t>Quantity</t>
  </si>
  <si>
    <t>Price/Unit</t>
  </si>
  <si>
    <t>Total Price</t>
  </si>
  <si>
    <t>Permits/Licenses</t>
  </si>
  <si>
    <t>Permit</t>
  </si>
  <si>
    <t>Liqcour License</t>
  </si>
  <si>
    <t>Décor</t>
  </si>
  <si>
    <t>Barn</t>
  </si>
  <si>
    <t>Drapery/ Vine</t>
  </si>
  <si>
    <t>Lighting</t>
  </si>
  <si>
    <t>String Lighting</t>
  </si>
  <si>
    <t>Furniture</t>
  </si>
  <si>
    <t>Tables</t>
  </si>
  <si>
    <t>10'</t>
  </si>
  <si>
    <t>Chairs</t>
  </si>
  <si>
    <t>Ceremony Space</t>
  </si>
  <si>
    <t>Benches</t>
  </si>
  <si>
    <t>10 people per</t>
  </si>
  <si>
    <t>Arch</t>
  </si>
  <si>
    <t>Table Cloths</t>
  </si>
  <si>
    <t>Firepit</t>
  </si>
  <si>
    <t>Adirondack Chairs</t>
  </si>
  <si>
    <t>Landscaping</t>
  </si>
  <si>
    <t xml:space="preserve">Chandelier </t>
  </si>
  <si>
    <t>Safety</t>
  </si>
  <si>
    <t>Fire Extinguishers</t>
  </si>
  <si>
    <t>Smoke Detectors</t>
  </si>
  <si>
    <t>Mounted Light Fixtures</t>
  </si>
  <si>
    <t>Accessories</t>
  </si>
  <si>
    <t>Misc</t>
  </si>
  <si>
    <t>Trash Cans</t>
  </si>
  <si>
    <t>Front of Property</t>
  </si>
  <si>
    <t>Cast Iron Sign</t>
  </si>
  <si>
    <t>Equipment</t>
  </si>
  <si>
    <t>Tractor</t>
  </si>
  <si>
    <t>Multch</t>
  </si>
  <si>
    <t>Flowers</t>
  </si>
  <si>
    <t>Parking Lot</t>
  </si>
  <si>
    <t>Gravel Parking Lot</t>
  </si>
  <si>
    <t>TBD</t>
  </si>
  <si>
    <t>Granite Stairs</t>
  </si>
  <si>
    <t>Granite Pavers</t>
  </si>
  <si>
    <t>Interior</t>
  </si>
  <si>
    <t>Bridal Room</t>
  </si>
  <si>
    <t>Mirror</t>
  </si>
  <si>
    <t>Countertop</t>
  </si>
  <si>
    <t>Rug</t>
  </si>
  <si>
    <t>Trash Can</t>
  </si>
  <si>
    <t>Bench</t>
  </si>
  <si>
    <t>Tile/Special Background</t>
  </si>
  <si>
    <t>Keurig</t>
  </si>
  <si>
    <t>Keurig Coffee Pod Drawers</t>
  </si>
  <si>
    <t>Labor</t>
  </si>
  <si>
    <t>Electrical Work (Outlets, wiring for fixtures)</t>
  </si>
  <si>
    <t>Fixtures</t>
  </si>
  <si>
    <t>Full-length mirror</t>
  </si>
  <si>
    <t>Install countertops/shelving</t>
  </si>
  <si>
    <t>Seed</t>
  </si>
  <si>
    <t>Exterior</t>
  </si>
  <si>
    <t>Pumpkin</t>
  </si>
  <si>
    <t>Raspberry</t>
  </si>
  <si>
    <t>Blueberry</t>
  </si>
  <si>
    <t>Grass</t>
  </si>
  <si>
    <t>Exterior Furniture</t>
  </si>
  <si>
    <t>Picnic Benches</t>
  </si>
  <si>
    <t>Expansion Structure</t>
  </si>
  <si>
    <t>Backyard</t>
  </si>
  <si>
    <t>Gazebo</t>
  </si>
  <si>
    <t>Structure Improvement</t>
  </si>
  <si>
    <t>Spring to Fall</t>
  </si>
  <si>
    <t>Spring/ Summer</t>
  </si>
  <si>
    <t>Fall</t>
  </si>
  <si>
    <t>Winter</t>
  </si>
  <si>
    <t>Guided Venue Tours</t>
  </si>
  <si>
    <t>Weddings</t>
  </si>
  <si>
    <t>Blueberries (PYO)</t>
  </si>
  <si>
    <t>Raspberries (PYO)</t>
  </si>
  <si>
    <t>Pumpkins (PYO)</t>
  </si>
  <si>
    <t>Local Hot Apple Cider &amp; Donuts</t>
  </si>
  <si>
    <t>Christmas Trees</t>
  </si>
  <si>
    <t>Hot Cocoa</t>
  </si>
  <si>
    <t>F-Sat</t>
  </si>
  <si>
    <t>X</t>
  </si>
  <si>
    <t>M-Th, Sun</t>
  </si>
  <si>
    <t>Eric Corporate</t>
  </si>
  <si>
    <t>Sara Corporate</t>
  </si>
  <si>
    <t>Combined Corporate</t>
  </si>
  <si>
    <t>Eric Wedding Plan</t>
  </si>
  <si>
    <t>Sara Wedding Plan</t>
  </si>
  <si>
    <t>Wedding Plan Combined</t>
  </si>
  <si>
    <t>Conforming Amount (Strafford County)</t>
  </si>
  <si>
    <t>Debt-to-Income (DTI) Ratio</t>
  </si>
  <si>
    <t>Combined Income</t>
  </si>
  <si>
    <t>Kid 1</t>
  </si>
  <si>
    <t>Total Debt</t>
  </si>
  <si>
    <t>Debt to Income Ratio</t>
  </si>
  <si>
    <t>Kid 2</t>
  </si>
  <si>
    <t>Deduction</t>
  </si>
  <si>
    <t>Form</t>
  </si>
  <si>
    <t>Business Start-up Costs</t>
  </si>
  <si>
    <t>Expenses incurred to start a new business</t>
  </si>
  <si>
    <t>Form Schedule C</t>
  </si>
  <si>
    <t>Fixed $</t>
  </si>
  <si>
    <t>Addional over Fixed</t>
  </si>
  <si>
    <t>Total Tax</t>
  </si>
  <si>
    <t>Business Meals</t>
  </si>
  <si>
    <t>Meals and entertainment expenses related to business activities</t>
  </si>
  <si>
    <t>Form 1040</t>
  </si>
  <si>
    <t>Business Interest</t>
  </si>
  <si>
    <t>Interest paid on business loans</t>
  </si>
  <si>
    <t>Contractor Labor</t>
  </si>
  <si>
    <t>Expenses paid to independent contractors for services rendered</t>
  </si>
  <si>
    <t>Form 1099-MISC</t>
  </si>
  <si>
    <t>Advertising</t>
  </si>
  <si>
    <t>Expenses incurred to promote the business</t>
  </si>
  <si>
    <t>Bad Debt</t>
  </si>
  <si>
    <t>Debts that are considered uncollectible</t>
  </si>
  <si>
    <t>Depreciation</t>
  </si>
  <si>
    <t>The wear and tear of business property</t>
  </si>
  <si>
    <t>Form 4562</t>
  </si>
  <si>
    <t>Total Saved</t>
  </si>
  <si>
    <t>Insurance</t>
  </si>
  <si>
    <t>Expenses for business insurance premiums</t>
  </si>
  <si>
    <t>Legal and Professional Fees</t>
  </si>
  <si>
    <t>Fees paid to lawyers and accountants for business-related services</t>
  </si>
  <si>
    <t>Charity Contributions</t>
  </si>
  <si>
    <t>Donations made to qualified charitable organizations</t>
  </si>
  <si>
    <t>Salaries and Employee Benefits</t>
  </si>
  <si>
    <t>Wages, salaries, and employee benefits paid to employees</t>
  </si>
  <si>
    <t>Form W-2</t>
  </si>
  <si>
    <t>Expenses for business utilities, such as electricity, gas, and water</t>
  </si>
  <si>
    <t>Home Office</t>
  </si>
  <si>
    <t>Expenses for using a portion of a home for business purposes</t>
  </si>
  <si>
    <t>Form 8811</t>
  </si>
  <si>
    <t>Sara working 100%, no kids yet, cheaper mortgage</t>
  </si>
  <si>
    <t>Baby</t>
  </si>
  <si>
    <t>Baby Formula</t>
  </si>
  <si>
    <t>Sara - Fannie Mae Maternity Leave Pay</t>
  </si>
  <si>
    <t>Job Income - Maternity Leave</t>
  </si>
  <si>
    <t>Job Income - 50%</t>
  </si>
  <si>
    <t>Birth Hospital Expenses</t>
  </si>
  <si>
    <t>Mortgage - Colorado</t>
  </si>
  <si>
    <t>Mortgage Colorado</t>
  </si>
  <si>
    <t>Column1</t>
  </si>
  <si>
    <t>Purchase Year</t>
  </si>
  <si>
    <t>Flood Certificate Fee</t>
  </si>
  <si>
    <t>Down Payment ($)</t>
  </si>
  <si>
    <t>Initial Loan Costs</t>
  </si>
  <si>
    <t>Total Mortgage Expense</t>
  </si>
  <si>
    <t>Total Annual Indirect Housing Expenses</t>
  </si>
  <si>
    <t>Total Annual Direct Housing Expenses</t>
  </si>
  <si>
    <t>Total Annual Housing Expenses</t>
  </si>
  <si>
    <t>Cumulative Equity</t>
  </si>
  <si>
    <t>Extra Payment Towards Equity</t>
  </si>
  <si>
    <t>$</t>
  </si>
  <si>
    <t>Annual Tax Increase (%)</t>
  </si>
  <si>
    <t>Annual Regular Maintenance Increase (%)</t>
  </si>
  <si>
    <t>Annual Homeowners Insurance Increase (%)</t>
  </si>
  <si>
    <t>State Property Transfer Tax (Buyer Portion)</t>
  </si>
  <si>
    <t>Purchase Price ($)</t>
  </si>
  <si>
    <t>Taxes &amp; Fees</t>
  </si>
  <si>
    <t>Loan Terms</t>
  </si>
  <si>
    <t>Interest Rate - Monthly (%)</t>
  </si>
  <si>
    <t>Interest Rate - Annual (%)</t>
  </si>
  <si>
    <t>Loan Amount ($)</t>
  </si>
  <si>
    <t>Lifetime PMI</t>
  </si>
  <si>
    <t>Annual Expenses - Buying</t>
  </si>
  <si>
    <t>Annual Expenses - Renting</t>
  </si>
  <si>
    <t>Total Annual Rental Expenses</t>
  </si>
  <si>
    <t>Monthly Mortgage Payment (Prin. &amp; Int. Only)</t>
  </si>
  <si>
    <t>Buy Scenario</t>
  </si>
  <si>
    <t>Rent Scenario</t>
  </si>
  <si>
    <t>Cumulative Appreciation (EOY)</t>
  </si>
  <si>
    <t>Cumulative Principal (EOY)</t>
  </si>
  <si>
    <t>Cumulative Interest (EOY)</t>
  </si>
  <si>
    <t>Cumulative Equity (EOY)</t>
  </si>
  <si>
    <t>State Property Transfer Tax (%)</t>
  </si>
  <si>
    <t>Annual Housing Appreciation (%)</t>
  </si>
  <si>
    <t>Credit Report Fee</t>
  </si>
  <si>
    <t>Start Date</t>
  </si>
  <si>
    <t>End Date</t>
  </si>
  <si>
    <t>Begin Year (Range)</t>
  </si>
  <si>
    <t>Loan Balance (Visual)</t>
  </si>
  <si>
    <t>Cumulative Interest (Visual)</t>
  </si>
  <si>
    <t>Cumulative Principal (Visual)</t>
  </si>
  <si>
    <t>Year (Range)</t>
  </si>
  <si>
    <t>Amount ($)</t>
  </si>
  <si>
    <t>Year (YYYY)</t>
  </si>
  <si>
    <t>Loan Balance (EOY)</t>
  </si>
  <si>
    <t>Month Paid Off</t>
  </si>
  <si>
    <t>Year Paid Off</t>
  </si>
  <si>
    <t>Years Paid Off Early (Rounded)</t>
  </si>
  <si>
    <t>Tax Service Fee</t>
  </si>
  <si>
    <t>*Assumes Appraisal = Est. Home Value</t>
  </si>
  <si>
    <t>Months Paid Off Early (Rounded)</t>
  </si>
  <si>
    <t>Min</t>
  </si>
  <si>
    <t>Max</t>
  </si>
  <si>
    <t>Total Additional Principal Payments</t>
  </si>
  <si>
    <t>Principal Without Extra Principal Payments</t>
  </si>
  <si>
    <t>Loan Balance (EOY) Without Extra Principal Payments</t>
  </si>
  <si>
    <t>Interest Without Extra Principal Payments</t>
  </si>
  <si>
    <t>Loan Balance (BOY) Without Extra Principal Payments</t>
  </si>
  <si>
    <t>Costs Due at Closing</t>
  </si>
  <si>
    <t>Annual Rent Increase (%)</t>
  </si>
  <si>
    <t>Non-Routine Maintenance</t>
  </si>
  <si>
    <t>Routine Maintenance</t>
  </si>
  <si>
    <t>Escrow</t>
  </si>
  <si>
    <r>
      <rPr>
        <u/>
        <sz val="10"/>
        <rFont val="Arial"/>
        <family val="2"/>
      </rPr>
      <t>Without</t>
    </r>
    <r>
      <rPr>
        <sz val="10"/>
        <rFont val="Arial"/>
        <family val="2"/>
      </rPr>
      <t xml:space="preserve"> Extra Principal Payments</t>
    </r>
  </si>
  <si>
    <r>
      <rPr>
        <u/>
        <sz val="10"/>
        <rFont val="Arial"/>
        <family val="2"/>
      </rPr>
      <t>With</t>
    </r>
    <r>
      <rPr>
        <sz val="10"/>
        <rFont val="Arial"/>
        <family val="2"/>
      </rPr>
      <t xml:space="preserve"> Extra Principal Payments</t>
    </r>
  </si>
  <si>
    <t>Cumulative Principal Without Extra Principal Payments</t>
  </si>
  <si>
    <t>Extra Payments Towards Equity</t>
  </si>
  <si>
    <t>Cumulative Extra Payments Towards Equity</t>
  </si>
  <si>
    <t>Cumulative Principal &amp; Interest</t>
  </si>
  <si>
    <t>Visual Date Range</t>
  </si>
  <si>
    <r>
      <t xml:space="preserve">Lifetime Interest </t>
    </r>
    <r>
      <rPr>
        <u/>
        <sz val="10"/>
        <rFont val="Arial"/>
        <family val="2"/>
      </rPr>
      <t>With</t>
    </r>
    <r>
      <rPr>
        <sz val="10"/>
        <rFont val="Arial"/>
        <family val="2"/>
      </rPr>
      <t xml:space="preserve"> Extra Principal Payments</t>
    </r>
  </si>
  <si>
    <r>
      <t xml:space="preserve">Lifetime Interest </t>
    </r>
    <r>
      <rPr>
        <u/>
        <sz val="10"/>
        <rFont val="Arial"/>
        <family val="2"/>
      </rPr>
      <t>Without</t>
    </r>
    <r>
      <rPr>
        <sz val="10"/>
        <rFont val="Arial"/>
        <family val="2"/>
      </rPr>
      <t xml:space="preserve"> Extra Principal Payments</t>
    </r>
  </si>
  <si>
    <t>Data</t>
  </si>
  <si>
    <t>PMI Rate (%)</t>
  </si>
  <si>
    <t>PMI Paid Until What % Equity</t>
  </si>
  <si>
    <t>*Assumes you pay PMI until you hit the % equity defined in data entry</t>
  </si>
  <si>
    <t>% Equity in Property (EOY)</t>
  </si>
  <si>
    <t>Est. Home Value (EOY)</t>
  </si>
  <si>
    <t>Cumulative Equity With Extra Payments</t>
  </si>
  <si>
    <t>Cumulative Principal With Extra Principal Payments</t>
  </si>
  <si>
    <t>Property-Related Expenses</t>
  </si>
  <si>
    <t>Monthly Mortgage Payment (PMI, Property Taxes, Home Insurance)</t>
  </si>
  <si>
    <r>
      <t>Monthly Mortgage Payment (</t>
    </r>
    <r>
      <rPr>
        <u/>
        <sz val="10"/>
        <rFont val="Arial"/>
        <family val="2"/>
      </rPr>
      <t>No</t>
    </r>
    <r>
      <rPr>
        <sz val="10"/>
        <rFont val="Arial"/>
        <family val="2"/>
      </rPr>
      <t xml:space="preserve"> PMI, Property Taxes, Home Insurance)</t>
    </r>
  </si>
  <si>
    <t>Scroll</t>
  </si>
  <si>
    <t>Additional Principal ($)</t>
  </si>
  <si>
    <t>Loan Statistics</t>
  </si>
  <si>
    <t>Mortgage Interest Saved from Extra Principal Payments</t>
  </si>
  <si>
    <t>Cumulative Interest Earned on Investments</t>
  </si>
  <si>
    <t>Cumulative Investments</t>
  </si>
  <si>
    <t>Cumulative Mortgage Interest Saved</t>
  </si>
  <si>
    <t>% Loan-to-Value (LTV) (EOY)</t>
  </si>
  <si>
    <t>Cumulative Appreciation (EOY) Visual</t>
  </si>
  <si>
    <t>Cumulative Equity (EOY) Visual</t>
  </si>
  <si>
    <t>Cumulative Total Indirect Housing Expenses</t>
  </si>
  <si>
    <t>Cumulative Total Indirect Housing Expenses Visual</t>
  </si>
  <si>
    <t>10 years</t>
  </si>
  <si>
    <t>20 years</t>
  </si>
  <si>
    <t>Simulated Average RoR over:</t>
  </si>
  <si>
    <t>30 years</t>
  </si>
  <si>
    <t>40 years</t>
  </si>
  <si>
    <t>50 years</t>
  </si>
  <si>
    <t>60 years</t>
  </si>
  <si>
    <t>Simulation Mean RoR</t>
  </si>
  <si>
    <t>Simulation Stndrd. Dev. RoR</t>
  </si>
  <si>
    <t>Stock Return Simulator (Assuming Normal Distribution)</t>
  </si>
  <si>
    <t>Buy: Equity, Appreciation, Brokerage</t>
  </si>
  <si>
    <t>Buy Total Assets</t>
  </si>
  <si>
    <t>Rent Total Assets</t>
  </si>
  <si>
    <t>Interest With Extra Principal Payments</t>
  </si>
  <si>
    <t>Principal With Extra Principal Payments</t>
  </si>
  <si>
    <t>Total Annual Indirect Housing Expenses Visual</t>
  </si>
  <si>
    <t>Est. Home Value (EOY) Visual</t>
  </si>
  <si>
    <t>Interest With Extra Principal Payments Visual</t>
  </si>
  <si>
    <t>Principal With Extra Principal Payments Visual</t>
  </si>
  <si>
    <t>Interest Without Extra Principal Payments Visual</t>
  </si>
  <si>
    <t>Principal Without Extra Principal Payments Visual</t>
  </si>
  <si>
    <t>Cumulative Interest Earned on Investments Visual</t>
  </si>
  <si>
    <t>Cumulative Mortgage Interest Saved Visual</t>
  </si>
  <si>
    <t>Cumulative Principal With Extra Principal Payments Visual</t>
  </si>
  <si>
    <t>Cumulative Principal Without Extra Principal Payments Visual</t>
  </si>
  <si>
    <t>Month (Range)</t>
  </si>
  <si>
    <t>Buy, Instead of Rent Visual</t>
  </si>
  <si>
    <t>Rent, Instead of Buy Visual</t>
  </si>
  <si>
    <t>Buy, Instead of Rent</t>
  </si>
  <si>
    <t>Rent, Instead of Buy</t>
  </si>
  <si>
    <t>Total Annual Direct Housing Expenses Visual</t>
  </si>
  <si>
    <t>Total Annual Rental Expenses Visual</t>
  </si>
  <si>
    <t>Total Annual Housing Expenses Visual</t>
  </si>
  <si>
    <t>Buying Average Monthly Cost</t>
  </si>
  <si>
    <t>Renting Average Monthly Cost</t>
  </si>
  <si>
    <t>Renting Average Monthly Cost Visual</t>
  </si>
  <si>
    <t>Buying Average Monthly Cost Visual</t>
  </si>
  <si>
    <t>Buy Total Assets Visual</t>
  </si>
  <si>
    <t>Rent Total Assets Visual</t>
  </si>
  <si>
    <t>Add a column showingn with a simulation vs. Just the mean return %</t>
  </si>
  <si>
    <t>Annual Average Stock Market Return</t>
  </si>
  <si>
    <t>Annual Average Stock Market Return (%)</t>
  </si>
  <si>
    <t>Average Expected Return</t>
  </si>
  <si>
    <t>Fixed Average Return (%)</t>
  </si>
  <si>
    <t>Buy: Fixed Average Return EOY Investment Balance ($)</t>
  </si>
  <si>
    <t>Rent: Fixed Average Return EOY Investment Balance ($)</t>
  </si>
  <si>
    <t>Rent: Simulated EOY Investment Balance ($)</t>
  </si>
  <si>
    <t>Buy: Simulated EOY Investment Balance ($)</t>
  </si>
  <si>
    <t>Fixed Average Return ($)</t>
  </si>
  <si>
    <t>Simulation Average Annual Balance ($)</t>
  </si>
  <si>
    <t>Fixed Return Average Annual Balance</t>
  </si>
  <si>
    <t>Simulation BOY Balance ($)</t>
  </si>
  <si>
    <t>Fixed Return BOY Balance ($)</t>
  </si>
  <si>
    <t>Fixed Return Average Balance ($)</t>
  </si>
  <si>
    <t>Rent: Simulated EOY Investment Balance ($) Visual</t>
  </si>
  <si>
    <t>Buy: Simulated EOY Investment Balance ($) Visual</t>
  </si>
  <si>
    <t>Buy: Fixed Average Return EOY Investment Balance ($) Visual</t>
  </si>
  <si>
    <t>Rent: Fixed Average Return EOY Investment Balance ($) Visual</t>
  </si>
  <si>
    <t>Rent: Brokerage</t>
  </si>
  <si>
    <t>Assets at Year</t>
  </si>
  <si>
    <t>Trial #</t>
  </si>
  <si>
    <t>Average Assets</t>
  </si>
  <si>
    <t>Median Assets</t>
  </si>
  <si>
    <t>Rent Projected Assets</t>
  </si>
  <si>
    <t>Buy Projected Assets</t>
  </si>
  <si>
    <t>IQR</t>
  </si>
  <si>
    <t>Monthly Average Stock Market Return (%)</t>
  </si>
  <si>
    <t>Simulation Stock Market Return Mean (%)</t>
  </si>
  <si>
    <t>Simulation Stock Market Return Stndrd. Dev. (%)</t>
  </si>
  <si>
    <t>Tax Deductable Home Expenses (non-comprehensive; up to IRS-specified limits)</t>
  </si>
  <si>
    <t>Rent-to-Buy Ratio</t>
  </si>
  <si>
    <t>Rates &amp; Ratios</t>
  </si>
  <si>
    <t>25% Percentile</t>
  </si>
  <si>
    <t>50% Percentile</t>
  </si>
  <si>
    <t>75% Percentile</t>
  </si>
  <si>
    <t>Buy: Simulated Cumulative Brokerage</t>
  </si>
  <si>
    <t>Rent: Simulated Cumulative Brokerage</t>
  </si>
  <si>
    <t>Total Assets Buy &gt; Rent</t>
  </si>
  <si>
    <t>% Simulations Projected Where Assets Buy &gt; Rent</t>
  </si>
  <si>
    <t>Cumulative PMI Saved</t>
  </si>
  <si>
    <t>Cumulative Equity Without Extra Payments</t>
  </si>
  <si>
    <t>PMI Without Extra Principal Payments</t>
  </si>
  <si>
    <t>PMI with Additional Payments</t>
  </si>
  <si>
    <t>Cumulative PMI Saved Visual</t>
  </si>
  <si>
    <t>Simulated RoR</t>
  </si>
  <si>
    <t>Fixed RoR</t>
  </si>
  <si>
    <t>Difference in Total Expenses</t>
  </si>
  <si>
    <t>Extra Mortgage Principal Payments</t>
  </si>
  <si>
    <t>Non-Routine (Unplanned) Maintenance Expenses</t>
  </si>
  <si>
    <t>Annual Routine (Planned) Property-Related Expenses</t>
  </si>
  <si>
    <t>*Assumes fixed return, not simulated here</t>
  </si>
  <si>
    <r>
      <rPr>
        <u/>
        <sz val="10"/>
        <rFont val="Arial"/>
        <family val="2"/>
      </rPr>
      <t>No Additional</t>
    </r>
    <r>
      <rPr>
        <sz val="10"/>
        <rFont val="Arial"/>
        <family val="2"/>
      </rPr>
      <t xml:space="preserve"> Mortgage Principal Payments (Rather, Invest in low-cost Index Funds)</t>
    </r>
  </si>
  <si>
    <r>
      <rPr>
        <u/>
        <sz val="10"/>
        <rFont val="Arial"/>
        <family val="2"/>
      </rPr>
      <t>Additional</t>
    </r>
    <r>
      <rPr>
        <sz val="10"/>
        <rFont val="Arial"/>
        <family val="2"/>
      </rPr>
      <t xml:space="preserve"> Mortgage Principal Payments                                   (Saved Mortgage Interest &amp; PMI)</t>
    </r>
  </si>
  <si>
    <t>Mortgage Amortization Tables</t>
  </si>
  <si>
    <t>Analyses</t>
  </si>
  <si>
    <t>Placeholder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</si>
</sst>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9">
    <numFmt numFmtId="6" formatCode="&quot;$&quot;#,##0_);[Red]\(&quot;$&quot;#,##0\)"/>
    <numFmt numFmtId="8" formatCode="&quot;$&quot;#,##0.00_);[Red]\(&quot;$&quot;#,##0.00\)"/>
    <numFmt numFmtId="44" formatCode="_(&quot;$&quot;* #,##0.00_);_(&quot;$&quot;* \(#,##0.00\);_(&quot;$&quot;* &quot;-&quot;??_);_(@_)"/>
    <numFmt numFmtId="164" formatCode="_(&quot;$&quot;* #,##0_);_(&quot;$&quot;* \(#,##0\);_(&quot;$&quot;* &quot;-&quot;??_);_(@_)"/>
    <numFmt numFmtId="165" formatCode="0.000%"/>
    <numFmt numFmtId="166" formatCode="_(&quot;$&quot;* #,##0.000_);_(&quot;$&quot;* \(#,##0.000\);_(&quot;$&quot;* &quot;-&quot;???_);_(@_)"/>
    <numFmt numFmtId="167" formatCode="0.0%"/>
    <numFmt numFmtId="168" formatCode="0.0000%"/>
    <numFmt numFmtId="169" formatCode="0.0"/>
  </numFmts>
  <fonts count="19" x14ac:knownFonts="1">
    <font>
      <sz val="10"/>
      <name val="Arial"/>
    </font>
    <font>
      <b/>
      <sz val="10"/>
      <name val="Arial"/>
      <family val="2"/>
    </font>
    <font>
      <sz val="10"/>
      <name val="Arial"/>
      <family val="2"/>
    </font>
    <font>
      <i/>
      <sz val="10"/>
      <name val="Arial"/>
      <family val="2"/>
    </font>
    <font>
      <sz val="9"/>
      <color indexed="81"/>
      <name val="Tahoma"/>
      <family val="2"/>
    </font>
    <font>
      <b/>
      <sz val="9"/>
      <color indexed="81"/>
      <name val="Tahoma"/>
      <family val="2"/>
    </font>
    <font>
      <sz val="8"/>
      <name val="Arial"/>
      <family val="2"/>
    </font>
    <font>
      <b/>
      <sz val="8"/>
      <color rgb="FFFFFFFF"/>
      <name val="Arial"/>
      <family val="2"/>
    </font>
    <font>
      <sz val="8"/>
      <color rgb="FF454B56"/>
      <name val="Arial"/>
      <family val="2"/>
    </font>
    <font>
      <sz val="8"/>
      <name val="Arial"/>
      <family val="2"/>
    </font>
    <font>
      <b/>
      <sz val="11"/>
      <name val="Arial"/>
      <family val="2"/>
    </font>
    <font>
      <sz val="10"/>
      <color theme="0"/>
      <name val="Arial"/>
      <family val="2"/>
    </font>
    <font>
      <sz val="11"/>
      <name val="Arial"/>
      <family val="2"/>
    </font>
    <font>
      <u/>
      <sz val="10"/>
      <name val="Arial"/>
      <family val="2"/>
    </font>
    <font>
      <sz val="8"/>
      <name val="Arial"/>
      <family val="2"/>
    </font>
    <font>
      <sz val="8"/>
      <name val="Arial"/>
      <family val="2"/>
    </font>
    <font>
      <b/>
      <sz val="10"/>
      <color theme="0"/>
      <name val="Arial"/>
      <family val="2"/>
    </font>
    <font>
      <sz val="12"/>
      <color theme="0"/>
      <name val="Arial"/>
      <family val="2"/>
    </font>
    <font>
      <b/>
      <sz val="14"/>
      <name val="Arial"/>
      <family val="2"/>
    </font>
  </fonts>
  <fills count="27">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rgb="FFFFFFFF"/>
        <bgColor indexed="64"/>
      </patternFill>
    </fill>
    <fill>
      <patternFill patternType="solid">
        <fgColor rgb="FF40A0F4"/>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9"/>
        <bgColor indexed="64"/>
      </patternFill>
    </fill>
    <fill>
      <patternFill patternType="solid">
        <fgColor rgb="FFD9DFE7"/>
        <bgColor indexed="64"/>
      </patternFill>
    </fill>
    <fill>
      <patternFill patternType="solid">
        <fgColor rgb="FFFFF6DD"/>
        <bgColor indexed="64"/>
      </patternFill>
    </fill>
    <fill>
      <patternFill patternType="solid">
        <fgColor rgb="FFD7DDE5"/>
        <bgColor indexed="64"/>
      </patternFill>
    </fill>
    <fill>
      <patternFill patternType="solid">
        <fgColor theme="9" tint="-0.249977111117893"/>
        <bgColor indexed="64"/>
      </patternFill>
    </fill>
    <fill>
      <patternFill patternType="solid">
        <fgColor theme="8" tint="-0.499984740745262"/>
        <bgColor indexed="64"/>
      </patternFill>
    </fill>
    <fill>
      <patternFill patternType="solid">
        <fgColor theme="4" tint="-0.249977111117893"/>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theme="3" tint="-0.249977111117893"/>
        <bgColor indexed="64"/>
      </patternFill>
    </fill>
    <fill>
      <patternFill patternType="solid">
        <fgColor theme="4" tint="-0.499984740745262"/>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medium">
        <color rgb="FF000000"/>
      </left>
      <right style="medium">
        <color rgb="FF000000"/>
      </right>
      <top style="medium">
        <color rgb="FF000000"/>
      </top>
      <bottom style="medium">
        <color rgb="FF000000"/>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medium">
        <color indexed="64"/>
      </bottom>
      <diagonal/>
    </border>
    <border>
      <left style="thin">
        <color theme="1"/>
      </left>
      <right/>
      <top style="thin">
        <color theme="1"/>
      </top>
      <bottom/>
      <diagonal/>
    </border>
    <border>
      <left/>
      <right style="thin">
        <color theme="1"/>
      </right>
      <top style="thin">
        <color theme="1"/>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right/>
      <top/>
      <bottom style="thin">
        <color theme="1" tint="0.499984740745262"/>
      </bottom>
      <diagonal/>
    </border>
    <border>
      <left/>
      <right/>
      <top/>
      <bottom style="medium">
        <color theme="1" tint="0.499984740745262"/>
      </bottom>
      <diagonal/>
    </border>
    <border>
      <left style="thin">
        <color theme="1" tint="0.499984740745262"/>
      </left>
      <right style="thin">
        <color theme="1" tint="0.499984740745262"/>
      </right>
      <top/>
      <bottom/>
      <diagonal/>
    </border>
    <border>
      <left style="thin">
        <color theme="1"/>
      </left>
      <right style="thin">
        <color theme="1"/>
      </right>
      <top style="thin">
        <color theme="1"/>
      </top>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
      <left style="medium">
        <color theme="1" tint="0.499984740745262"/>
      </left>
      <right/>
      <top/>
      <bottom/>
      <diagonal/>
    </border>
    <border>
      <left/>
      <right style="medium">
        <color theme="1" tint="0.499984740745262"/>
      </right>
      <top/>
      <bottom/>
      <diagonal/>
    </border>
    <border>
      <left style="medium">
        <color theme="1" tint="0.499984740745262"/>
      </left>
      <right/>
      <top/>
      <bottom style="medium">
        <color theme="1" tint="0.499984740745262"/>
      </bottom>
      <diagonal/>
    </border>
    <border>
      <left/>
      <right style="medium">
        <color theme="1" tint="0.499984740745262"/>
      </right>
      <top/>
      <bottom style="medium">
        <color theme="1" tint="0.499984740745262"/>
      </bottom>
      <diagonal/>
    </border>
    <border>
      <left style="thin">
        <color indexed="64"/>
      </left>
      <right/>
      <top style="medium">
        <color theme="1" tint="0.499984740745262"/>
      </top>
      <bottom/>
      <diagonal/>
    </border>
    <border>
      <left/>
      <right style="thin">
        <color indexed="64"/>
      </right>
      <top style="medium">
        <color theme="1" tint="0.499984740745262"/>
      </top>
      <bottom/>
      <diagonal/>
    </border>
    <border>
      <left style="thin">
        <color indexed="64"/>
      </left>
      <right style="medium">
        <color theme="1" tint="0.499984740745262"/>
      </right>
      <top style="medium">
        <color theme="1" tint="0.499984740745262"/>
      </top>
      <bottom/>
      <diagonal/>
    </border>
    <border>
      <left style="thin">
        <color theme="1" tint="0.499984740745262"/>
      </left>
      <right style="thin">
        <color theme="1" tint="0.499984740745262"/>
      </right>
      <top/>
      <bottom style="medium">
        <color theme="1" tint="0.499984740745262"/>
      </bottom>
      <diagonal/>
    </border>
    <border>
      <left style="thin">
        <color theme="1" tint="0.499984740745262"/>
      </left>
      <right/>
      <top style="thin">
        <color theme="1" tint="0.499984740745262"/>
      </top>
      <bottom style="medium">
        <color theme="1" tint="0.499984740745262"/>
      </bottom>
      <diagonal/>
    </border>
    <border>
      <left/>
      <right/>
      <top style="thin">
        <color theme="1" tint="0.499984740745262"/>
      </top>
      <bottom style="medium">
        <color theme="1" tint="0.499984740745262"/>
      </bottom>
      <diagonal/>
    </border>
    <border>
      <left/>
      <right style="thin">
        <color theme="1" tint="0.499984740745262"/>
      </right>
      <top style="thin">
        <color theme="1" tint="0.499984740745262"/>
      </top>
      <bottom style="medium">
        <color theme="1" tint="0.499984740745262"/>
      </bottom>
      <diagonal/>
    </border>
    <border>
      <left style="thin">
        <color theme="1" tint="0.499984740745262"/>
      </left>
      <right/>
      <top style="thin">
        <color theme="1" tint="0.499984740745262"/>
      </top>
      <bottom style="medium">
        <color theme="1"/>
      </bottom>
      <diagonal/>
    </border>
    <border>
      <left style="thin">
        <color theme="1" tint="0.499984740745262"/>
      </left>
      <right/>
      <top/>
      <bottom style="thin">
        <color theme="1" tint="0.499984740745262"/>
      </bottom>
      <diagonal/>
    </border>
    <border>
      <left style="thin">
        <color theme="1" tint="0.499984740745262"/>
      </left>
      <right style="thin">
        <color theme="1" tint="0.499984740745262"/>
      </right>
      <top style="thin">
        <color theme="1" tint="0.499984740745262"/>
      </top>
      <bottom style="medium">
        <color theme="1"/>
      </bottom>
      <diagonal/>
    </border>
    <border>
      <left style="thin">
        <color indexed="64"/>
      </left>
      <right style="thin">
        <color theme="1" tint="0.499984740745262"/>
      </right>
      <top style="thin">
        <color theme="1" tint="0.499984740745262"/>
      </top>
      <bottom style="thin">
        <color theme="1" tint="0.499984740745262"/>
      </bottom>
      <diagonal/>
    </border>
    <border>
      <left style="thin">
        <color indexed="64"/>
      </left>
      <right style="thin">
        <color theme="1" tint="0.499984740745262"/>
      </right>
      <top style="thin">
        <color theme="1" tint="0.499984740745262"/>
      </top>
      <bottom style="medium">
        <color theme="1"/>
      </bottom>
      <diagonal/>
    </border>
    <border>
      <left/>
      <right/>
      <top style="thin">
        <color theme="1" tint="0.499984740745262"/>
      </top>
      <bottom style="thin">
        <color theme="1" tint="0.499984740745262"/>
      </bottom>
      <diagonal/>
    </border>
    <border>
      <left style="thin">
        <color theme="1" tint="0.499984740745262"/>
      </left>
      <right/>
      <top style="thin">
        <color theme="1" tint="0.499984740745262"/>
      </top>
      <bottom/>
      <diagonal/>
    </border>
  </borders>
  <cellStyleXfs count="3">
    <xf numFmtId="0" fontId="0" fillId="0" borderId="0"/>
    <xf numFmtId="44" fontId="2" fillId="0" borderId="0" applyFont="0" applyFill="0" applyBorder="0" applyAlignment="0" applyProtection="0"/>
    <xf numFmtId="9" fontId="2" fillId="0" borderId="0" applyFont="0" applyFill="0" applyBorder="0" applyAlignment="0" applyProtection="0"/>
  </cellStyleXfs>
  <cellXfs count="353">
    <xf numFmtId="0" fontId="0" fillId="0" borderId="0" xfId="0"/>
    <xf numFmtId="44" fontId="0" fillId="0" borderId="0" xfId="0" applyNumberFormat="1"/>
    <xf numFmtId="44" fontId="0" fillId="0" borderId="0" xfId="1" applyFont="1"/>
    <xf numFmtId="164" fontId="0" fillId="0" borderId="0" xfId="1" applyNumberFormat="1" applyFont="1"/>
    <xf numFmtId="164" fontId="0" fillId="0" borderId="0" xfId="0" applyNumberFormat="1"/>
    <xf numFmtId="0" fontId="0" fillId="0" borderId="1" xfId="0" applyBorder="1"/>
    <xf numFmtId="9" fontId="0" fillId="0" borderId="1" xfId="2" applyFont="1" applyBorder="1"/>
    <xf numFmtId="44" fontId="0" fillId="0" borderId="1" xfId="1" applyFont="1" applyBorder="1"/>
    <xf numFmtId="44" fontId="0" fillId="0" borderId="1" xfId="0" applyNumberFormat="1" applyBorder="1"/>
    <xf numFmtId="164" fontId="0" fillId="0" borderId="1" xfId="1" applyNumberFormat="1" applyFont="1" applyBorder="1"/>
    <xf numFmtId="164" fontId="0" fillId="0" borderId="1" xfId="0" applyNumberFormat="1" applyBorder="1"/>
    <xf numFmtId="0" fontId="0" fillId="3" borderId="0" xfId="0" applyFill="1"/>
    <xf numFmtId="10" fontId="0" fillId="0" borderId="0" xfId="2" applyNumberFormat="1" applyFont="1"/>
    <xf numFmtId="164" fontId="3" fillId="0" borderId="0" xfId="0" applyNumberFormat="1" applyFont="1"/>
    <xf numFmtId="8" fontId="0" fillId="0" borderId="1" xfId="0" applyNumberFormat="1" applyBorder="1"/>
    <xf numFmtId="0" fontId="0" fillId="3" borderId="1" xfId="0" applyFill="1" applyBorder="1"/>
    <xf numFmtId="44" fontId="0" fillId="0" borderId="3" xfId="1" applyFont="1" applyBorder="1"/>
    <xf numFmtId="0" fontId="0" fillId="0" borderId="1" xfId="0" applyBorder="1" applyAlignment="1">
      <alignment wrapText="1"/>
    </xf>
    <xf numFmtId="0" fontId="0" fillId="0" borderId="0" xfId="0" applyAlignment="1">
      <alignment wrapText="1"/>
    </xf>
    <xf numFmtId="44" fontId="0" fillId="5" borderId="1" xfId="1" applyFont="1" applyFill="1" applyBorder="1"/>
    <xf numFmtId="44" fontId="0" fillId="5" borderId="1" xfId="0" applyNumberFormat="1" applyFill="1" applyBorder="1"/>
    <xf numFmtId="10" fontId="0" fillId="0" borderId="1" xfId="2" applyNumberFormat="1" applyFont="1" applyBorder="1"/>
    <xf numFmtId="0" fontId="0" fillId="7" borderId="0" xfId="0" applyFill="1"/>
    <xf numFmtId="44" fontId="0" fillId="6" borderId="1" xfId="1" applyFont="1" applyFill="1" applyBorder="1"/>
    <xf numFmtId="44" fontId="0" fillId="7" borderId="1" xfId="1" applyFont="1" applyFill="1" applyBorder="1"/>
    <xf numFmtId="0" fontId="0" fillId="7" borderId="1" xfId="0" applyFill="1" applyBorder="1"/>
    <xf numFmtId="44" fontId="0" fillId="7" borderId="1" xfId="0" applyNumberFormat="1" applyFill="1" applyBorder="1"/>
    <xf numFmtId="44" fontId="0" fillId="7" borderId="0" xfId="0" applyNumberFormat="1" applyFill="1"/>
    <xf numFmtId="10" fontId="0" fillId="7" borderId="1" xfId="2" applyNumberFormat="1" applyFont="1" applyFill="1" applyBorder="1"/>
    <xf numFmtId="44" fontId="0" fillId="0" borderId="1" xfId="1" applyFont="1" applyFill="1" applyBorder="1"/>
    <xf numFmtId="0" fontId="2" fillId="7" borderId="0" xfId="0" applyFont="1" applyFill="1"/>
    <xf numFmtId="0" fontId="2" fillId="0" borderId="0" xfId="0" applyFont="1"/>
    <xf numFmtId="0" fontId="2" fillId="3" borderId="4" xfId="0" applyFont="1" applyFill="1" applyBorder="1"/>
    <xf numFmtId="0" fontId="2" fillId="3" borderId="1" xfId="0" applyFont="1" applyFill="1" applyBorder="1"/>
    <xf numFmtId="0" fontId="2" fillId="0" borderId="1" xfId="0" applyFont="1" applyBorder="1"/>
    <xf numFmtId="0" fontId="1" fillId="7" borderId="0" xfId="0" applyFont="1" applyFill="1"/>
    <xf numFmtId="0" fontId="1" fillId="3" borderId="1" xfId="0" applyFont="1" applyFill="1" applyBorder="1"/>
    <xf numFmtId="44" fontId="1" fillId="7" borderId="1" xfId="1" applyFont="1" applyFill="1" applyBorder="1"/>
    <xf numFmtId="0" fontId="1" fillId="0" borderId="1" xfId="0" applyFont="1" applyBorder="1"/>
    <xf numFmtId="0" fontId="1" fillId="8" borderId="1" xfId="0" applyFont="1" applyFill="1" applyBorder="1"/>
    <xf numFmtId="0" fontId="1" fillId="0" borderId="0" xfId="0" applyFont="1"/>
    <xf numFmtId="44" fontId="0" fillId="0" borderId="0" xfId="1" applyFont="1" applyBorder="1"/>
    <xf numFmtId="44" fontId="2" fillId="0" borderId="1" xfId="1" applyFont="1" applyFill="1" applyBorder="1"/>
    <xf numFmtId="0" fontId="2" fillId="0" borderId="1" xfId="0" applyFont="1" applyBorder="1" applyAlignment="1">
      <alignment wrapText="1"/>
    </xf>
    <xf numFmtId="0" fontId="2" fillId="9" borderId="1" xfId="0" applyFont="1" applyFill="1" applyBorder="1"/>
    <xf numFmtId="0" fontId="2" fillId="9" borderId="6" xfId="0" applyFont="1" applyFill="1" applyBorder="1"/>
    <xf numFmtId="0" fontId="0" fillId="9" borderId="6" xfId="0" applyFill="1" applyBorder="1"/>
    <xf numFmtId="0" fontId="2" fillId="9" borderId="0" xfId="0" applyFont="1" applyFill="1"/>
    <xf numFmtId="0" fontId="2" fillId="9" borderId="7" xfId="0" applyFont="1" applyFill="1" applyBorder="1"/>
    <xf numFmtId="44" fontId="1" fillId="0" borderId="1" xfId="0" applyNumberFormat="1" applyFont="1" applyBorder="1"/>
    <xf numFmtId="2" fontId="0" fillId="0" borderId="1" xfId="0" applyNumberFormat="1" applyBorder="1"/>
    <xf numFmtId="0" fontId="0" fillId="9" borderId="1" xfId="0" applyFill="1" applyBorder="1"/>
    <xf numFmtId="44" fontId="2" fillId="0" borderId="1" xfId="1" applyFont="1" applyBorder="1"/>
    <xf numFmtId="0" fontId="0" fillId="0" borderId="1" xfId="1" applyNumberFormat="1" applyFont="1" applyFill="1" applyBorder="1"/>
    <xf numFmtId="0" fontId="7" fillId="11" borderId="8" xfId="0" applyFont="1" applyFill="1" applyBorder="1" applyAlignment="1">
      <alignment horizontal="center" vertical="center" wrapText="1"/>
    </xf>
    <xf numFmtId="0" fontId="8" fillId="10" borderId="8" xfId="0" applyFont="1" applyFill="1" applyBorder="1" applyAlignment="1">
      <alignment vertical="center" wrapText="1"/>
    </xf>
    <xf numFmtId="0" fontId="0" fillId="3" borderId="4" xfId="0" applyFill="1" applyBorder="1"/>
    <xf numFmtId="44" fontId="0" fillId="6" borderId="4" xfId="1" applyFont="1" applyFill="1" applyBorder="1"/>
    <xf numFmtId="0" fontId="2" fillId="3" borderId="0" xfId="0" applyFont="1" applyFill="1"/>
    <xf numFmtId="0" fontId="2" fillId="7" borderId="1" xfId="0" applyFont="1" applyFill="1" applyBorder="1"/>
    <xf numFmtId="0" fontId="2" fillId="3" borderId="1" xfId="0" applyFont="1" applyFill="1" applyBorder="1" applyAlignment="1">
      <alignment wrapText="1"/>
    </xf>
    <xf numFmtId="44" fontId="0" fillId="12" borderId="1" xfId="0" applyNumberFormat="1" applyFill="1" applyBorder="1"/>
    <xf numFmtId="0" fontId="3" fillId="0" borderId="1" xfId="0" applyFont="1" applyBorder="1" applyAlignment="1">
      <alignment horizontal="right"/>
    </xf>
    <xf numFmtId="44" fontId="0" fillId="12" borderId="6" xfId="0" applyNumberFormat="1" applyFill="1" applyBorder="1"/>
    <xf numFmtId="0" fontId="0" fillId="0" borderId="1" xfId="0" applyBorder="1" applyAlignment="1">
      <alignment horizontal="right"/>
    </xf>
    <xf numFmtId="0" fontId="1" fillId="0" borderId="1" xfId="0" applyFont="1" applyBorder="1" applyAlignment="1">
      <alignment wrapText="1"/>
    </xf>
    <xf numFmtId="44" fontId="0" fillId="7" borderId="0" xfId="1" applyFont="1" applyFill="1" applyBorder="1"/>
    <xf numFmtId="44" fontId="2" fillId="7" borderId="0" xfId="0" applyNumberFormat="1" applyFont="1" applyFill="1"/>
    <xf numFmtId="0" fontId="0" fillId="9" borderId="3" xfId="0" applyFill="1" applyBorder="1"/>
    <xf numFmtId="9" fontId="0" fillId="0" borderId="3" xfId="2" applyFont="1" applyBorder="1"/>
    <xf numFmtId="164" fontId="2" fillId="0" borderId="1" xfId="1" applyNumberFormat="1" applyFont="1" applyBorder="1"/>
    <xf numFmtId="167" fontId="2" fillId="0" borderId="1" xfId="2" applyNumberFormat="1" applyFont="1" applyBorder="1"/>
    <xf numFmtId="166" fontId="0" fillId="0" borderId="0" xfId="0" applyNumberFormat="1"/>
    <xf numFmtId="0" fontId="1" fillId="7" borderId="0" xfId="0" applyFont="1" applyFill="1" applyAlignment="1">
      <alignment wrapText="1"/>
    </xf>
    <xf numFmtId="8" fontId="0" fillId="0" borderId="0" xfId="1" applyNumberFormat="1" applyFont="1" applyBorder="1"/>
    <xf numFmtId="8" fontId="0" fillId="0" borderId="1" xfId="1" applyNumberFormat="1" applyFont="1" applyBorder="1"/>
    <xf numFmtId="44" fontId="0" fillId="0" borderId="6" xfId="0" applyNumberFormat="1" applyBorder="1"/>
    <xf numFmtId="0" fontId="1" fillId="0" borderId="5" xfId="0" applyFont="1" applyBorder="1"/>
    <xf numFmtId="0" fontId="1" fillId="0" borderId="6" xfId="0" applyFont="1" applyBorder="1"/>
    <xf numFmtId="44" fontId="0" fillId="0" borderId="5" xfId="1" applyFont="1" applyBorder="1"/>
    <xf numFmtId="0" fontId="0" fillId="0" borderId="0" xfId="1" applyNumberFormat="1" applyFont="1" applyFill="1" applyBorder="1"/>
    <xf numFmtId="44" fontId="0" fillId="0" borderId="0" xfId="1" applyFont="1" applyFill="1" applyBorder="1"/>
    <xf numFmtId="10" fontId="0" fillId="0" borderId="0" xfId="2" applyNumberFormat="1" applyFont="1" applyBorder="1"/>
    <xf numFmtId="164" fontId="0" fillId="0" borderId="0" xfId="1" applyNumberFormat="1" applyFont="1" applyBorder="1"/>
    <xf numFmtId="8" fontId="0" fillId="5" borderId="1" xfId="1" applyNumberFormat="1" applyFont="1" applyFill="1" applyBorder="1"/>
    <xf numFmtId="44" fontId="0" fillId="5" borderId="5" xfId="1" applyFont="1" applyFill="1" applyBorder="1"/>
    <xf numFmtId="0" fontId="2" fillId="0" borderId="1" xfId="2" applyNumberFormat="1" applyFont="1" applyBorder="1"/>
    <xf numFmtId="0" fontId="2" fillId="0" borderId="3" xfId="2" applyNumberFormat="1" applyFont="1" applyBorder="1"/>
    <xf numFmtId="9" fontId="0" fillId="0" borderId="1" xfId="2" applyFont="1" applyFill="1" applyBorder="1"/>
    <xf numFmtId="0" fontId="1" fillId="4" borderId="0" xfId="0" applyFont="1" applyFill="1" applyAlignment="1">
      <alignment horizontal="left"/>
    </xf>
    <xf numFmtId="0" fontId="2" fillId="0" borderId="6" xfId="0" applyFont="1" applyBorder="1" applyAlignment="1">
      <alignment horizontal="right"/>
    </xf>
    <xf numFmtId="0" fontId="0" fillId="4" borderId="1" xfId="0" applyFill="1" applyBorder="1" applyAlignment="1">
      <alignment horizontal="center"/>
    </xf>
    <xf numFmtId="44" fontId="0" fillId="0" borderId="1" xfId="1" applyFont="1" applyBorder="1" applyAlignment="1">
      <alignment horizontal="right"/>
    </xf>
    <xf numFmtId="44" fontId="0" fillId="5" borderId="0" xfId="0" applyNumberFormat="1" applyFill="1"/>
    <xf numFmtId="0" fontId="0" fillId="13" borderId="1" xfId="0" applyFill="1" applyBorder="1"/>
    <xf numFmtId="44" fontId="0" fillId="13" borderId="1" xfId="0" applyNumberFormat="1" applyFill="1" applyBorder="1"/>
    <xf numFmtId="169" fontId="2" fillId="0" borderId="0" xfId="0" applyNumberFormat="1" applyFont="1"/>
    <xf numFmtId="164" fontId="0" fillId="5" borderId="1" xfId="0" applyNumberFormat="1" applyFill="1" applyBorder="1"/>
    <xf numFmtId="9" fontId="0" fillId="0" borderId="0" xfId="0" applyNumberFormat="1"/>
    <xf numFmtId="0" fontId="2" fillId="3" borderId="6" xfId="0" applyFont="1" applyFill="1" applyBorder="1"/>
    <xf numFmtId="0" fontId="1" fillId="7" borderId="2" xfId="0" applyFont="1" applyFill="1" applyBorder="1"/>
    <xf numFmtId="0" fontId="1" fillId="7" borderId="1" xfId="0" applyFont="1" applyFill="1" applyBorder="1"/>
    <xf numFmtId="0" fontId="1" fillId="7" borderId="1" xfId="0" applyFont="1" applyFill="1" applyBorder="1" applyAlignment="1">
      <alignment wrapText="1"/>
    </xf>
    <xf numFmtId="0" fontId="1" fillId="0" borderId="5" xfId="0" applyFont="1" applyBorder="1" applyAlignment="1">
      <alignment wrapText="1"/>
    </xf>
    <xf numFmtId="44" fontId="2" fillId="0" borderId="1" xfId="0" applyNumberFormat="1" applyFont="1" applyBorder="1"/>
    <xf numFmtId="44" fontId="0" fillId="7" borderId="0" xfId="1" applyFont="1" applyFill="1"/>
    <xf numFmtId="44" fontId="0" fillId="0" borderId="10" xfId="1" applyFont="1" applyBorder="1"/>
    <xf numFmtId="0" fontId="0" fillId="0" borderId="3" xfId="0" applyBorder="1"/>
    <xf numFmtId="6" fontId="0" fillId="0" borderId="0" xfId="0" applyNumberFormat="1"/>
    <xf numFmtId="44" fontId="0" fillId="16" borderId="0" xfId="0" applyNumberFormat="1" applyFill="1"/>
    <xf numFmtId="164" fontId="0" fillId="7" borderId="1" xfId="1" applyNumberFormat="1" applyFont="1" applyFill="1" applyBorder="1"/>
    <xf numFmtId="164" fontId="0" fillId="7" borderId="0" xfId="0" applyNumberFormat="1" applyFill="1"/>
    <xf numFmtId="44" fontId="2" fillId="0" borderId="0" xfId="0" applyNumberFormat="1" applyFont="1"/>
    <xf numFmtId="0" fontId="2" fillId="0" borderId="3" xfId="0" applyFont="1" applyBorder="1"/>
    <xf numFmtId="0" fontId="2" fillId="7" borderId="3" xfId="0" applyFont="1" applyFill="1" applyBorder="1"/>
    <xf numFmtId="0" fontId="1" fillId="0" borderId="10" xfId="0" applyFont="1" applyBorder="1"/>
    <xf numFmtId="0" fontId="0" fillId="7" borderId="10" xfId="0" applyFill="1" applyBorder="1"/>
    <xf numFmtId="0" fontId="1" fillId="0" borderId="0" xfId="0" applyFont="1" applyAlignment="1">
      <alignment wrapText="1"/>
    </xf>
    <xf numFmtId="164" fontId="2" fillId="7" borderId="1" xfId="1" applyNumberFormat="1" applyFont="1" applyFill="1" applyBorder="1"/>
    <xf numFmtId="164" fontId="0" fillId="7" borderId="1" xfId="0" applyNumberFormat="1" applyFill="1" applyBorder="1"/>
    <xf numFmtId="164" fontId="0" fillId="7" borderId="0" xfId="1" applyNumberFormat="1" applyFont="1" applyFill="1"/>
    <xf numFmtId="164" fontId="0" fillId="7" borderId="6" xfId="1" applyNumberFormat="1" applyFont="1" applyFill="1" applyBorder="1"/>
    <xf numFmtId="0" fontId="2" fillId="7" borderId="5" xfId="0" applyFont="1" applyFill="1" applyBorder="1"/>
    <xf numFmtId="164" fontId="0" fillId="7" borderId="6" xfId="0" applyNumberFormat="1" applyFill="1" applyBorder="1"/>
    <xf numFmtId="164" fontId="0" fillId="7" borderId="11" xfId="0" applyNumberFormat="1" applyFill="1" applyBorder="1"/>
    <xf numFmtId="164" fontId="0" fillId="7" borderId="3" xfId="0" applyNumberFormat="1" applyFill="1" applyBorder="1"/>
    <xf numFmtId="0" fontId="0" fillId="7" borderId="3" xfId="0" applyFill="1" applyBorder="1"/>
    <xf numFmtId="0" fontId="0" fillId="7" borderId="5" xfId="0" applyFill="1" applyBorder="1"/>
    <xf numFmtId="0" fontId="1" fillId="7" borderId="12" xfId="0" applyFont="1" applyFill="1" applyBorder="1"/>
    <xf numFmtId="0" fontId="0" fillId="7" borderId="14" xfId="0" applyFill="1" applyBorder="1"/>
    <xf numFmtId="0" fontId="0" fillId="7" borderId="2" xfId="0" applyFill="1" applyBorder="1"/>
    <xf numFmtId="44" fontId="0" fillId="7" borderId="2" xfId="1" applyFont="1" applyFill="1" applyBorder="1" applyAlignment="1"/>
    <xf numFmtId="164" fontId="0" fillId="7" borderId="9" xfId="0" applyNumberFormat="1" applyFill="1" applyBorder="1"/>
    <xf numFmtId="164" fontId="2" fillId="7" borderId="6" xfId="1" applyNumberFormat="1" applyFont="1" applyFill="1" applyBorder="1"/>
    <xf numFmtId="164" fontId="0" fillId="7" borderId="11" xfId="1" applyNumberFormat="1" applyFont="1" applyFill="1" applyBorder="1"/>
    <xf numFmtId="164" fontId="0" fillId="7" borderId="3" xfId="1" applyNumberFormat="1" applyFont="1" applyFill="1" applyBorder="1"/>
    <xf numFmtId="0" fontId="2" fillId="7" borderId="14" xfId="0" applyFont="1" applyFill="1" applyBorder="1"/>
    <xf numFmtId="164" fontId="0" fillId="7" borderId="0" xfId="1" applyNumberFormat="1" applyFont="1" applyFill="1" applyBorder="1"/>
    <xf numFmtId="164" fontId="0" fillId="7" borderId="0" xfId="1" applyNumberFormat="1" applyFont="1" applyFill="1" applyBorder="1" applyAlignment="1"/>
    <xf numFmtId="44" fontId="1" fillId="0" borderId="13" xfId="1" applyFont="1" applyFill="1" applyBorder="1" applyAlignment="1">
      <alignment wrapText="1"/>
    </xf>
    <xf numFmtId="0" fontId="1" fillId="0" borderId="4" xfId="0" applyFont="1" applyBorder="1" applyAlignment="1">
      <alignment wrapText="1"/>
    </xf>
    <xf numFmtId="0" fontId="1" fillId="0" borderId="15" xfId="0" applyFont="1" applyBorder="1" applyAlignment="1">
      <alignment wrapText="1"/>
    </xf>
    <xf numFmtId="0" fontId="0" fillId="7" borderId="16" xfId="0" applyFill="1" applyBorder="1"/>
    <xf numFmtId="0" fontId="1" fillId="0" borderId="1" xfId="0" applyFont="1" applyBorder="1" applyAlignment="1">
      <alignment horizontal="left"/>
    </xf>
    <xf numFmtId="0" fontId="2" fillId="0" borderId="1" xfId="0" applyFont="1" applyBorder="1" applyAlignment="1">
      <alignment horizontal="center"/>
    </xf>
    <xf numFmtId="0" fontId="0" fillId="0" borderId="1" xfId="0" applyBorder="1" applyAlignment="1">
      <alignment horizontal="center"/>
    </xf>
    <xf numFmtId="0" fontId="2" fillId="7" borderId="4" xfId="0" applyFont="1" applyFill="1" applyBorder="1"/>
    <xf numFmtId="44" fontId="1" fillId="7" borderId="10" xfId="0" applyNumberFormat="1" applyFont="1" applyFill="1" applyBorder="1"/>
    <xf numFmtId="0" fontId="2" fillId="7" borderId="0" xfId="0" quotePrefix="1" applyFont="1" applyFill="1"/>
    <xf numFmtId="44" fontId="1" fillId="8" borderId="1" xfId="1" applyFont="1" applyFill="1" applyBorder="1"/>
    <xf numFmtId="17" fontId="2" fillId="0" borderId="1" xfId="0" applyNumberFormat="1" applyFont="1" applyBorder="1"/>
    <xf numFmtId="44" fontId="1" fillId="3" borderId="1" xfId="0" applyNumberFormat="1" applyFont="1" applyFill="1" applyBorder="1"/>
    <xf numFmtId="0" fontId="2" fillId="0" borderId="0" xfId="0" quotePrefix="1" applyFont="1"/>
    <xf numFmtId="164" fontId="2" fillId="0" borderId="0" xfId="1" applyNumberFormat="1" applyFont="1"/>
    <xf numFmtId="0" fontId="2" fillId="0" borderId="5" xfId="0" applyFont="1" applyBorder="1"/>
    <xf numFmtId="0" fontId="2" fillId="0" borderId="14" xfId="0" applyFont="1" applyBorder="1"/>
    <xf numFmtId="164" fontId="0" fillId="9" borderId="1" xfId="1" applyNumberFormat="1" applyFont="1" applyFill="1" applyBorder="1"/>
    <xf numFmtId="164" fontId="2" fillId="7" borderId="5" xfId="0" applyNumberFormat="1" applyFont="1" applyFill="1" applyBorder="1"/>
    <xf numFmtId="164" fontId="0" fillId="7" borderId="5" xfId="0" applyNumberFormat="1" applyFill="1" applyBorder="1"/>
    <xf numFmtId="44" fontId="0" fillId="0" borderId="0" xfId="1" applyFont="1" applyFill="1"/>
    <xf numFmtId="164" fontId="2" fillId="0" borderId="0" xfId="0" applyNumberFormat="1" applyFont="1"/>
    <xf numFmtId="0" fontId="0" fillId="0" borderId="19" xfId="0" applyBorder="1"/>
    <xf numFmtId="0" fontId="1" fillId="3" borderId="0" xfId="0" applyFont="1" applyFill="1" applyAlignment="1">
      <alignment wrapText="1"/>
    </xf>
    <xf numFmtId="0" fontId="1" fillId="0" borderId="0" xfId="0" applyFont="1" applyAlignment="1">
      <alignment horizontal="left" wrapText="1"/>
    </xf>
    <xf numFmtId="164" fontId="2" fillId="0" borderId="0" xfId="1" applyNumberFormat="1" applyFont="1" applyFill="1" applyBorder="1"/>
    <xf numFmtId="0" fontId="2" fillId="3" borderId="0" xfId="0" applyFont="1" applyFill="1" applyAlignment="1">
      <alignment horizontal="center"/>
    </xf>
    <xf numFmtId="164" fontId="2" fillId="3" borderId="0" xfId="1" applyNumberFormat="1" applyFont="1" applyFill="1" applyBorder="1"/>
    <xf numFmtId="164" fontId="0" fillId="3" borderId="0" xfId="0" applyNumberFormat="1" applyFill="1"/>
    <xf numFmtId="0" fontId="11" fillId="3" borderId="0" xfId="0" applyFont="1" applyFill="1"/>
    <xf numFmtId="167" fontId="0" fillId="3" borderId="0" xfId="0" applyNumberFormat="1" applyFill="1"/>
    <xf numFmtId="167" fontId="0" fillId="3" borderId="0" xfId="2" applyNumberFormat="1" applyFont="1" applyFill="1" applyBorder="1"/>
    <xf numFmtId="44" fontId="3" fillId="3" borderId="0" xfId="0" applyNumberFormat="1" applyFont="1" applyFill="1"/>
    <xf numFmtId="44" fontId="0" fillId="3" borderId="0" xfId="1" applyFont="1" applyFill="1" applyBorder="1"/>
    <xf numFmtId="164" fontId="0" fillId="3" borderId="0" xfId="1" applyNumberFormat="1" applyFont="1" applyFill="1" applyBorder="1"/>
    <xf numFmtId="10" fontId="0" fillId="3" borderId="0" xfId="2" applyNumberFormat="1" applyFont="1" applyFill="1" applyBorder="1"/>
    <xf numFmtId="44" fontId="0" fillId="3" borderId="0" xfId="0" applyNumberFormat="1" applyFill="1"/>
    <xf numFmtId="168" fontId="0" fillId="3" borderId="0" xfId="2" applyNumberFormat="1" applyFont="1" applyFill="1" applyBorder="1"/>
    <xf numFmtId="165" fontId="0" fillId="3" borderId="0" xfId="2" applyNumberFormat="1" applyFont="1" applyFill="1" applyBorder="1"/>
    <xf numFmtId="8" fontId="0" fillId="3" borderId="0" xfId="0" applyNumberFormat="1" applyFill="1"/>
    <xf numFmtId="0" fontId="3" fillId="3" borderId="0" xfId="0" applyFont="1" applyFill="1"/>
    <xf numFmtId="9" fontId="0" fillId="0" borderId="0" xfId="2" applyFont="1" applyFill="1" applyBorder="1"/>
    <xf numFmtId="0" fontId="0" fillId="3" borderId="25" xfId="0" applyFill="1" applyBorder="1"/>
    <xf numFmtId="10" fontId="0" fillId="3" borderId="0" xfId="2" applyNumberFormat="1" applyFont="1" applyFill="1"/>
    <xf numFmtId="164" fontId="0" fillId="0" borderId="0" xfId="1" applyNumberFormat="1" applyFont="1" applyFill="1" applyBorder="1"/>
    <xf numFmtId="0" fontId="1" fillId="0" borderId="28" xfId="0" applyFont="1" applyBorder="1" applyAlignment="1">
      <alignment wrapText="1"/>
    </xf>
    <xf numFmtId="0" fontId="1" fillId="0" borderId="29" xfId="0" applyFont="1" applyBorder="1" applyAlignment="1">
      <alignment wrapText="1"/>
    </xf>
    <xf numFmtId="0" fontId="1" fillId="0" borderId="30" xfId="0" applyFont="1" applyBorder="1" applyAlignment="1">
      <alignment wrapText="1"/>
    </xf>
    <xf numFmtId="164" fontId="2" fillId="0" borderId="31" xfId="1" applyNumberFormat="1" applyFont="1" applyFill="1" applyBorder="1"/>
    <xf numFmtId="164" fontId="2" fillId="0" borderId="32" xfId="1" applyNumberFormat="1" applyFont="1" applyFill="1" applyBorder="1"/>
    <xf numFmtId="164" fontId="2" fillId="0" borderId="33" xfId="1" applyNumberFormat="1" applyFont="1" applyFill="1" applyBorder="1"/>
    <xf numFmtId="164" fontId="0" fillId="0" borderId="25" xfId="0" applyNumberFormat="1" applyBorder="1"/>
    <xf numFmtId="164" fontId="2" fillId="0" borderId="34" xfId="1" applyNumberFormat="1" applyFont="1" applyFill="1" applyBorder="1"/>
    <xf numFmtId="0" fontId="1" fillId="0" borderId="35" xfId="0" applyFont="1" applyBorder="1" applyAlignment="1">
      <alignment wrapText="1"/>
    </xf>
    <xf numFmtId="0" fontId="1" fillId="0" borderId="36" xfId="0" applyFont="1" applyBorder="1" applyAlignment="1">
      <alignment wrapText="1"/>
    </xf>
    <xf numFmtId="0" fontId="1" fillId="0" borderId="37" xfId="0" applyFont="1" applyBorder="1" applyAlignment="1">
      <alignment wrapText="1"/>
    </xf>
    <xf numFmtId="164" fontId="2" fillId="3" borderId="0" xfId="0" applyNumberFormat="1" applyFont="1" applyFill="1"/>
    <xf numFmtId="164" fontId="0" fillId="0" borderId="19" xfId="0" applyNumberFormat="1" applyBorder="1"/>
    <xf numFmtId="0" fontId="1" fillId="18" borderId="0" xfId="0" applyFont="1" applyFill="1" applyAlignment="1">
      <alignment wrapText="1"/>
    </xf>
    <xf numFmtId="0" fontId="0" fillId="18" borderId="0" xfId="0" applyFill="1"/>
    <xf numFmtId="1" fontId="0" fillId="18" borderId="0" xfId="0" applyNumberFormat="1" applyFill="1"/>
    <xf numFmtId="164" fontId="0" fillId="7" borderId="22" xfId="0" applyNumberFormat="1" applyFill="1" applyBorder="1"/>
    <xf numFmtId="164" fontId="0" fillId="7" borderId="38" xfId="0" applyNumberFormat="1" applyFill="1" applyBorder="1"/>
    <xf numFmtId="0" fontId="12" fillId="3" borderId="0" xfId="0" applyFont="1" applyFill="1" applyAlignment="1">
      <alignment horizontal="center"/>
    </xf>
    <xf numFmtId="0" fontId="1" fillId="18" borderId="4" xfId="0" applyFont="1" applyFill="1" applyBorder="1" applyAlignment="1">
      <alignment wrapText="1"/>
    </xf>
    <xf numFmtId="0" fontId="0" fillId="3" borderId="0" xfId="0" applyFill="1" applyAlignment="1">
      <alignment horizontal="center"/>
    </xf>
    <xf numFmtId="0" fontId="2" fillId="3" borderId="0" xfId="0" applyFont="1" applyFill="1" applyAlignment="1">
      <alignment wrapText="1"/>
    </xf>
    <xf numFmtId="9" fontId="0" fillId="3" borderId="0" xfId="0" applyNumberFormat="1" applyFill="1"/>
    <xf numFmtId="9" fontId="2" fillId="3" borderId="0" xfId="0" applyNumberFormat="1" applyFont="1" applyFill="1"/>
    <xf numFmtId="164" fontId="2" fillId="0" borderId="0" xfId="1" applyNumberFormat="1" applyFont="1" applyFill="1" applyBorder="1" applyAlignment="1">
      <alignment wrapText="1"/>
    </xf>
    <xf numFmtId="164" fontId="2" fillId="0" borderId="0" xfId="0" applyNumberFormat="1" applyFont="1" applyAlignment="1">
      <alignment wrapText="1"/>
    </xf>
    <xf numFmtId="167" fontId="0" fillId="3" borderId="0" xfId="2" applyNumberFormat="1" applyFont="1" applyFill="1"/>
    <xf numFmtId="167" fontId="0" fillId="0" borderId="0" xfId="2" applyNumberFormat="1" applyFont="1" applyFill="1"/>
    <xf numFmtId="0" fontId="0" fillId="7" borderId="19" xfId="0" applyFill="1" applyBorder="1"/>
    <xf numFmtId="0" fontId="1" fillId="18" borderId="29" xfId="0" applyFont="1" applyFill="1" applyBorder="1" applyAlignment="1">
      <alignment wrapText="1"/>
    </xf>
    <xf numFmtId="44" fontId="0" fillId="18" borderId="0" xfId="1" applyFont="1" applyFill="1"/>
    <xf numFmtId="0" fontId="0" fillId="18" borderId="19" xfId="0" applyFill="1" applyBorder="1"/>
    <xf numFmtId="0" fontId="0" fillId="0" borderId="22" xfId="0" applyBorder="1"/>
    <xf numFmtId="0" fontId="0" fillId="18" borderId="22" xfId="0" applyFill="1" applyBorder="1"/>
    <xf numFmtId="44" fontId="0" fillId="18" borderId="0" xfId="1" applyFont="1" applyFill="1" applyBorder="1"/>
    <xf numFmtId="0" fontId="1" fillId="18" borderId="0" xfId="0" applyFont="1" applyFill="1" applyAlignment="1">
      <alignment horizontal="left" wrapText="1"/>
    </xf>
    <xf numFmtId="0" fontId="1" fillId="7" borderId="19" xfId="0" applyFont="1" applyFill="1" applyBorder="1" applyAlignment="1">
      <alignment wrapText="1"/>
    </xf>
    <xf numFmtId="167" fontId="0" fillId="7" borderId="19" xfId="2" applyNumberFormat="1" applyFont="1" applyFill="1" applyBorder="1"/>
    <xf numFmtId="167" fontId="2" fillId="0" borderId="0" xfId="2" applyNumberFormat="1" applyFont="1" applyFill="1" applyBorder="1" applyAlignment="1">
      <alignment wrapText="1"/>
    </xf>
    <xf numFmtId="167" fontId="2" fillId="0" borderId="22" xfId="2" applyNumberFormat="1" applyFont="1" applyFill="1" applyBorder="1" applyAlignment="1">
      <alignment wrapText="1"/>
    </xf>
    <xf numFmtId="167" fontId="2" fillId="0" borderId="19" xfId="2" applyNumberFormat="1" applyFont="1" applyFill="1" applyBorder="1" applyAlignment="1">
      <alignment wrapText="1"/>
    </xf>
    <xf numFmtId="0" fontId="1" fillId="7" borderId="1" xfId="0" applyFont="1" applyFill="1" applyBorder="1" applyAlignment="1">
      <alignment horizontal="left"/>
    </xf>
    <xf numFmtId="9" fontId="1" fillId="7" borderId="1" xfId="0" applyNumberFormat="1" applyFont="1" applyFill="1" applyBorder="1" applyAlignment="1">
      <alignment horizontal="left"/>
    </xf>
    <xf numFmtId="164" fontId="0" fillId="7" borderId="1" xfId="0" applyNumberFormat="1" applyFill="1" applyBorder="1" applyAlignment="1">
      <alignment horizontal="left"/>
    </xf>
    <xf numFmtId="164" fontId="0" fillId="7" borderId="1" xfId="1" applyNumberFormat="1" applyFont="1" applyFill="1" applyBorder="1" applyAlignment="1">
      <alignment horizontal="left"/>
    </xf>
    <xf numFmtId="0" fontId="2" fillId="7" borderId="1" xfId="0" applyFont="1" applyFill="1" applyBorder="1" applyAlignment="1">
      <alignment horizontal="center"/>
    </xf>
    <xf numFmtId="0" fontId="1" fillId="0" borderId="42" xfId="0" applyFont="1" applyBorder="1" applyAlignment="1">
      <alignment wrapText="1"/>
    </xf>
    <xf numFmtId="0" fontId="0" fillId="0" borderId="43" xfId="0" applyBorder="1"/>
    <xf numFmtId="164" fontId="0" fillId="0" borderId="28" xfId="0" applyNumberFormat="1" applyBorder="1"/>
    <xf numFmtId="164" fontId="0" fillId="0" borderId="29" xfId="0" applyNumberFormat="1" applyBorder="1"/>
    <xf numFmtId="164" fontId="0" fillId="0" borderId="30" xfId="0" applyNumberFormat="1" applyBorder="1"/>
    <xf numFmtId="0" fontId="0" fillId="0" borderId="21" xfId="0" applyBorder="1"/>
    <xf numFmtId="164" fontId="0" fillId="0" borderId="31" xfId="0" applyNumberFormat="1" applyBorder="1"/>
    <xf numFmtId="164" fontId="0" fillId="0" borderId="32" xfId="0" applyNumberFormat="1" applyBorder="1"/>
    <xf numFmtId="164" fontId="0" fillId="0" borderId="33" xfId="0" applyNumberFormat="1" applyBorder="1"/>
    <xf numFmtId="164" fontId="0" fillId="0" borderId="34" xfId="0" applyNumberFormat="1" applyBorder="1"/>
    <xf numFmtId="164" fontId="0" fillId="0" borderId="22" xfId="0" applyNumberFormat="1" applyBorder="1"/>
    <xf numFmtId="0" fontId="1" fillId="7" borderId="46" xfId="0" applyFont="1" applyFill="1" applyBorder="1" applyAlignment="1">
      <alignment wrapText="1"/>
    </xf>
    <xf numFmtId="0" fontId="1" fillId="7" borderId="44" xfId="0" applyFont="1" applyFill="1" applyBorder="1" applyAlignment="1">
      <alignment wrapText="1"/>
    </xf>
    <xf numFmtId="0" fontId="0" fillId="7" borderId="45" xfId="0" applyFill="1" applyBorder="1"/>
    <xf numFmtId="0" fontId="18" fillId="3" borderId="25" xfId="0" applyFont="1" applyFill="1" applyBorder="1"/>
    <xf numFmtId="0" fontId="2" fillId="7" borderId="19" xfId="0" applyFont="1" applyFill="1" applyBorder="1" applyAlignment="1">
      <alignment wrapText="1"/>
    </xf>
    <xf numFmtId="44" fontId="0" fillId="7" borderId="19" xfId="0" applyNumberFormat="1" applyFill="1" applyBorder="1" applyAlignment="1">
      <alignment wrapText="1"/>
    </xf>
    <xf numFmtId="0" fontId="0" fillId="3" borderId="0" xfId="0" applyFill="1" applyAlignment="1" applyProtection="1">
      <alignment wrapText="1"/>
      <protection locked="0"/>
    </xf>
    <xf numFmtId="0" fontId="0" fillId="17" borderId="0" xfId="0" applyFill="1" applyAlignment="1" applyProtection="1">
      <alignment wrapText="1"/>
      <protection locked="0"/>
    </xf>
    <xf numFmtId="44" fontId="0" fillId="17" borderId="0" xfId="1" applyFont="1" applyFill="1" applyBorder="1" applyAlignment="1" applyProtection="1">
      <alignment wrapText="1"/>
      <protection locked="0"/>
    </xf>
    <xf numFmtId="44" fontId="2" fillId="17" borderId="0" xfId="1" applyFont="1" applyFill="1" applyBorder="1" applyAlignment="1" applyProtection="1">
      <alignment wrapText="1"/>
      <protection locked="0"/>
    </xf>
    <xf numFmtId="44" fontId="2" fillId="17" borderId="26" xfId="1" applyFont="1" applyFill="1" applyBorder="1" applyAlignment="1" applyProtection="1">
      <alignment wrapText="1"/>
      <protection locked="0"/>
    </xf>
    <xf numFmtId="44" fontId="2" fillId="17" borderId="0" xfId="1" applyFont="1" applyFill="1" applyAlignment="1" applyProtection="1">
      <alignment wrapText="1"/>
      <protection locked="0"/>
    </xf>
    <xf numFmtId="44" fontId="2" fillId="17" borderId="27" xfId="1" applyFont="1" applyFill="1" applyBorder="1" applyAlignment="1" applyProtection="1">
      <alignment wrapText="1"/>
      <protection locked="0"/>
    </xf>
    <xf numFmtId="0" fontId="0" fillId="17" borderId="0" xfId="0" applyFill="1" applyProtection="1">
      <protection locked="0"/>
    </xf>
    <xf numFmtId="44" fontId="0" fillId="17" borderId="0" xfId="1" applyFont="1" applyFill="1" applyBorder="1" applyProtection="1">
      <protection locked="0"/>
    </xf>
    <xf numFmtId="44" fontId="2" fillId="17" borderId="0" xfId="1" applyFont="1" applyFill="1" applyBorder="1" applyProtection="1">
      <protection locked="0"/>
    </xf>
    <xf numFmtId="44" fontId="0" fillId="17" borderId="0" xfId="0" applyNumberFormat="1" applyFill="1" applyAlignment="1" applyProtection="1">
      <alignment horizontal="right" wrapText="1"/>
      <protection locked="0"/>
    </xf>
    <xf numFmtId="0" fontId="1" fillId="7" borderId="0" xfId="0" applyFont="1" applyFill="1" applyProtection="1">
      <protection locked="0"/>
    </xf>
    <xf numFmtId="0" fontId="1" fillId="7" borderId="0" xfId="0" applyFont="1" applyFill="1" applyAlignment="1" applyProtection="1">
      <alignment wrapText="1"/>
      <protection locked="0"/>
    </xf>
    <xf numFmtId="0" fontId="0" fillId="3" borderId="0" xfId="0" applyFill="1" applyProtection="1">
      <protection locked="0"/>
    </xf>
    <xf numFmtId="0" fontId="2" fillId="0" borderId="0" xfId="0" applyFont="1" applyAlignment="1" applyProtection="1">
      <alignment wrapText="1"/>
      <protection locked="0"/>
    </xf>
    <xf numFmtId="0" fontId="1" fillId="0" borderId="0" xfId="0" applyFont="1" applyAlignment="1" applyProtection="1">
      <alignment wrapText="1"/>
      <protection locked="0"/>
    </xf>
    <xf numFmtId="0" fontId="11" fillId="7" borderId="0" xfId="0" applyFont="1" applyFill="1" applyAlignment="1" applyProtection="1">
      <alignment wrapText="1"/>
      <protection locked="0"/>
    </xf>
    <xf numFmtId="0" fontId="11" fillId="0" borderId="0" xfId="0" applyFont="1" applyAlignment="1" applyProtection="1">
      <alignment wrapText="1"/>
      <protection locked="0"/>
    </xf>
    <xf numFmtId="0" fontId="2" fillId="7" borderId="0" xfId="0" applyFont="1" applyFill="1" applyAlignment="1" applyProtection="1">
      <alignment wrapText="1"/>
      <protection locked="0"/>
    </xf>
    <xf numFmtId="0" fontId="2" fillId="7" borderId="0" xfId="0" applyFont="1" applyFill="1" applyProtection="1">
      <protection locked="0"/>
    </xf>
    <xf numFmtId="44" fontId="0" fillId="7" borderId="0" xfId="0" applyNumberFormat="1" applyFill="1" applyProtection="1">
      <protection locked="0"/>
    </xf>
    <xf numFmtId="0" fontId="0" fillId="7" borderId="0" xfId="0" applyFill="1" applyProtection="1">
      <protection locked="0"/>
    </xf>
    <xf numFmtId="0" fontId="2" fillId="0" borderId="0" xfId="0" applyFont="1" applyProtection="1">
      <protection locked="0"/>
    </xf>
    <xf numFmtId="44" fontId="2" fillId="7" borderId="0" xfId="1" applyFont="1" applyFill="1" applyBorder="1" applyProtection="1">
      <protection locked="0"/>
    </xf>
    <xf numFmtId="0" fontId="0" fillId="0" borderId="0" xfId="0" applyAlignment="1" applyProtection="1">
      <alignment wrapText="1"/>
      <protection locked="0"/>
    </xf>
    <xf numFmtId="0" fontId="2" fillId="0" borderId="17" xfId="0" applyFont="1" applyBorder="1" applyAlignment="1" applyProtection="1">
      <alignment wrapText="1"/>
      <protection locked="0"/>
    </xf>
    <xf numFmtId="0" fontId="2" fillId="0" borderId="18" xfId="0" applyFont="1" applyBorder="1" applyAlignment="1" applyProtection="1">
      <alignment wrapText="1"/>
      <protection locked="0"/>
    </xf>
    <xf numFmtId="0" fontId="3" fillId="3" borderId="0" xfId="0" applyFont="1" applyFill="1" applyAlignment="1">
      <alignment horizontal="center" wrapText="1"/>
    </xf>
    <xf numFmtId="0" fontId="0" fillId="3" borderId="0" xfId="0" applyFill="1" applyAlignment="1">
      <alignment wrapText="1"/>
    </xf>
    <xf numFmtId="0" fontId="12" fillId="3" borderId="0" xfId="0" applyFont="1" applyFill="1" applyAlignment="1">
      <alignment wrapText="1"/>
    </xf>
    <xf numFmtId="0" fontId="12" fillId="3" borderId="0" xfId="0" applyFont="1" applyFill="1"/>
    <xf numFmtId="0" fontId="2" fillId="0" borderId="0" xfId="0" applyFont="1" applyAlignment="1">
      <alignment wrapText="1"/>
    </xf>
    <xf numFmtId="167" fontId="0" fillId="17" borderId="0" xfId="0" applyNumberFormat="1" applyFill="1" applyAlignment="1">
      <alignment wrapText="1"/>
    </xf>
    <xf numFmtId="0" fontId="0" fillId="17" borderId="0" xfId="0" applyFill="1" applyAlignment="1">
      <alignment wrapText="1"/>
    </xf>
    <xf numFmtId="167" fontId="0" fillId="17" borderId="0" xfId="2" applyNumberFormat="1" applyFont="1" applyFill="1" applyBorder="1" applyAlignment="1" applyProtection="1">
      <alignment wrapText="1"/>
    </xf>
    <xf numFmtId="164" fontId="0" fillId="17" borderId="0" xfId="1" applyNumberFormat="1" applyFont="1" applyFill="1" applyBorder="1" applyAlignment="1" applyProtection="1">
      <alignment wrapText="1"/>
    </xf>
    <xf numFmtId="0" fontId="0" fillId="7" borderId="0" xfId="0" applyFill="1" applyAlignment="1">
      <alignment wrapText="1"/>
    </xf>
    <xf numFmtId="10" fontId="0" fillId="17" borderId="0" xfId="2" applyNumberFormat="1" applyFont="1" applyFill="1" applyBorder="1" applyAlignment="1" applyProtection="1">
      <alignment wrapText="1"/>
    </xf>
    <xf numFmtId="44" fontId="0" fillId="0" borderId="0" xfId="1" applyFont="1" applyBorder="1" applyAlignment="1" applyProtection="1">
      <alignment wrapText="1"/>
    </xf>
    <xf numFmtId="44" fontId="0" fillId="0" borderId="0" xfId="0" applyNumberFormat="1" applyAlignment="1">
      <alignment wrapText="1"/>
    </xf>
    <xf numFmtId="10" fontId="2" fillId="0" borderId="0" xfId="2" applyNumberFormat="1" applyFont="1" applyFill="1" applyBorder="1" applyAlignment="1" applyProtection="1">
      <alignment wrapText="1"/>
    </xf>
    <xf numFmtId="165" fontId="0" fillId="17" borderId="0" xfId="2" applyNumberFormat="1" applyFont="1" applyFill="1" applyBorder="1" applyAlignment="1" applyProtection="1">
      <alignment wrapText="1"/>
    </xf>
    <xf numFmtId="167" fontId="2" fillId="17" borderId="0" xfId="2" applyNumberFormat="1" applyFont="1" applyFill="1" applyAlignment="1" applyProtection="1">
      <alignment wrapText="1"/>
    </xf>
    <xf numFmtId="168" fontId="0" fillId="0" borderId="0" xfId="2" applyNumberFormat="1" applyFont="1" applyBorder="1" applyAlignment="1" applyProtection="1">
      <alignment wrapText="1"/>
    </xf>
    <xf numFmtId="9" fontId="0" fillId="19" borderId="0" xfId="2" applyFont="1" applyFill="1" applyAlignment="1" applyProtection="1">
      <alignment wrapText="1"/>
    </xf>
    <xf numFmtId="164" fontId="0" fillId="17" borderId="0" xfId="2" applyNumberFormat="1" applyFont="1" applyFill="1" applyAlignment="1" applyProtection="1">
      <alignment wrapText="1"/>
    </xf>
    <xf numFmtId="165" fontId="2" fillId="17" borderId="0" xfId="2" applyNumberFormat="1" applyFont="1" applyFill="1" applyBorder="1" applyAlignment="1" applyProtection="1">
      <alignment wrapText="1"/>
    </xf>
    <xf numFmtId="167" fontId="0" fillId="17" borderId="0" xfId="2" applyNumberFormat="1" applyFont="1" applyFill="1" applyAlignment="1" applyProtection="1">
      <alignment wrapText="1"/>
    </xf>
    <xf numFmtId="169" fontId="0" fillId="0" borderId="0" xfId="2" applyNumberFormat="1" applyFont="1" applyFill="1" applyAlignment="1" applyProtection="1">
      <alignment wrapText="1"/>
    </xf>
    <xf numFmtId="8" fontId="2" fillId="0" borderId="19" xfId="0" applyNumberFormat="1" applyFont="1" applyBorder="1" applyAlignment="1">
      <alignment wrapText="1"/>
    </xf>
    <xf numFmtId="44" fontId="0" fillId="0" borderId="19" xfId="0" applyNumberFormat="1" applyBorder="1" applyAlignment="1">
      <alignment wrapText="1"/>
    </xf>
    <xf numFmtId="44" fontId="0" fillId="0" borderId="0" xfId="0" applyNumberFormat="1" applyAlignment="1">
      <alignment horizontal="right" wrapText="1"/>
    </xf>
    <xf numFmtId="44" fontId="2" fillId="0" borderId="0" xfId="0" applyNumberFormat="1" applyFont="1" applyAlignment="1">
      <alignment horizontal="right" wrapText="1"/>
    </xf>
    <xf numFmtId="0" fontId="0" fillId="0" borderId="0" xfId="0" applyAlignment="1">
      <alignment horizontal="right" wrapText="1"/>
    </xf>
    <xf numFmtId="0" fontId="0" fillId="15" borderId="1" xfId="0" applyFill="1" applyBorder="1" applyProtection="1">
      <protection locked="0"/>
    </xf>
    <xf numFmtId="44" fontId="0" fillId="17" borderId="0" xfId="1" applyFont="1" applyFill="1" applyAlignment="1" applyProtection="1">
      <alignment wrapText="1"/>
      <protection locked="0"/>
    </xf>
    <xf numFmtId="44" fontId="0" fillId="17" borderId="0" xfId="1" applyFont="1" applyFill="1" applyProtection="1">
      <protection locked="0"/>
    </xf>
    <xf numFmtId="0" fontId="10" fillId="14" borderId="2" xfId="0" applyFont="1" applyFill="1" applyBorder="1" applyAlignment="1">
      <alignment horizontal="center"/>
    </xf>
    <xf numFmtId="0" fontId="2" fillId="0" borderId="2" xfId="0" applyFont="1" applyBorder="1" applyAlignment="1">
      <alignment horizontal="center"/>
    </xf>
    <xf numFmtId="0" fontId="0" fillId="0" borderId="2" xfId="0" applyBorder="1" applyAlignment="1">
      <alignment horizontal="center"/>
    </xf>
    <xf numFmtId="0" fontId="12" fillId="3" borderId="0" xfId="0" applyFont="1" applyFill="1" applyAlignment="1">
      <alignment horizontal="center" wrapText="1"/>
    </xf>
    <xf numFmtId="0" fontId="12" fillId="3" borderId="0" xfId="0" applyFont="1" applyFill="1" applyAlignment="1" applyProtection="1">
      <alignment horizontal="center" wrapText="1"/>
      <protection locked="0"/>
    </xf>
    <xf numFmtId="0" fontId="2" fillId="5" borderId="39" xfId="0" applyFont="1" applyFill="1" applyBorder="1" applyAlignment="1">
      <alignment horizontal="center"/>
    </xf>
    <xf numFmtId="0" fontId="2" fillId="5" borderId="40" xfId="0" applyFont="1" applyFill="1" applyBorder="1" applyAlignment="1">
      <alignment horizontal="center"/>
    </xf>
    <xf numFmtId="0" fontId="2" fillId="5" borderId="41" xfId="0" applyFont="1" applyFill="1" applyBorder="1" applyAlignment="1">
      <alignment horizontal="center"/>
    </xf>
    <xf numFmtId="0" fontId="2" fillId="9" borderId="39" xfId="0" applyFont="1" applyFill="1" applyBorder="1" applyAlignment="1">
      <alignment horizontal="center"/>
    </xf>
    <xf numFmtId="0" fontId="2" fillId="9" borderId="40" xfId="0" applyFont="1" applyFill="1" applyBorder="1" applyAlignment="1">
      <alignment horizontal="center"/>
    </xf>
    <xf numFmtId="0" fontId="2" fillId="9" borderId="41" xfId="0" applyFont="1" applyFill="1" applyBorder="1" applyAlignment="1">
      <alignment horizontal="center"/>
    </xf>
    <xf numFmtId="0" fontId="2" fillId="9" borderId="21" xfId="0" applyFont="1" applyFill="1" applyBorder="1" applyAlignment="1">
      <alignment horizontal="center" wrapText="1"/>
    </xf>
    <xf numFmtId="0" fontId="2" fillId="9" borderId="20" xfId="0" applyFont="1" applyFill="1" applyBorder="1" applyAlignment="1">
      <alignment horizontal="center" wrapText="1"/>
    </xf>
    <xf numFmtId="0" fontId="2" fillId="3" borderId="24" xfId="0" applyFont="1" applyFill="1" applyBorder="1" applyAlignment="1">
      <alignment horizontal="center"/>
    </xf>
    <xf numFmtId="0" fontId="3" fillId="0" borderId="23" xfId="0" applyFont="1" applyBorder="1" applyAlignment="1">
      <alignment horizontal="center" vertical="center"/>
    </xf>
    <xf numFmtId="0" fontId="3" fillId="0" borderId="22" xfId="0" applyFont="1" applyBorder="1" applyAlignment="1">
      <alignment horizontal="center" vertical="center"/>
    </xf>
    <xf numFmtId="0" fontId="2" fillId="17" borderId="23" xfId="2" applyNumberFormat="1" applyFont="1" applyFill="1" applyBorder="1" applyAlignment="1" applyProtection="1">
      <alignment horizontal="center" vertical="center"/>
      <protection locked="0"/>
    </xf>
    <xf numFmtId="0" fontId="2" fillId="17" borderId="22" xfId="2" applyNumberFormat="1" applyFont="1" applyFill="1" applyBorder="1" applyAlignment="1" applyProtection="1">
      <alignment horizontal="center" vertical="center"/>
      <protection locked="0"/>
    </xf>
    <xf numFmtId="0" fontId="2" fillId="17" borderId="23" xfId="0" applyFont="1" applyFill="1" applyBorder="1" applyAlignment="1" applyProtection="1">
      <alignment horizontal="center" vertical="center"/>
      <protection locked="0"/>
    </xf>
    <xf numFmtId="0" fontId="2" fillId="17" borderId="22" xfId="0" applyFont="1" applyFill="1" applyBorder="1" applyAlignment="1" applyProtection="1">
      <alignment horizontal="center" vertical="center"/>
      <protection locked="0"/>
    </xf>
    <xf numFmtId="165" fontId="2" fillId="5" borderId="48" xfId="2" applyNumberFormat="1" applyFont="1" applyFill="1" applyBorder="1" applyAlignment="1">
      <alignment horizontal="center" wrapText="1"/>
    </xf>
    <xf numFmtId="165" fontId="2" fillId="5" borderId="47" xfId="2" applyNumberFormat="1" applyFont="1" applyFill="1" applyBorder="1" applyAlignment="1">
      <alignment horizontal="center" wrapText="1"/>
    </xf>
    <xf numFmtId="165" fontId="2" fillId="5" borderId="20" xfId="2" applyNumberFormat="1" applyFont="1" applyFill="1" applyBorder="1" applyAlignment="1">
      <alignment horizontal="center" wrapText="1"/>
    </xf>
    <xf numFmtId="0" fontId="3" fillId="3" borderId="0" xfId="0" applyFont="1" applyFill="1" applyAlignment="1">
      <alignment horizontal="left" wrapText="1"/>
    </xf>
    <xf numFmtId="0" fontId="11" fillId="20" borderId="0" xfId="0" applyFont="1" applyFill="1" applyAlignment="1">
      <alignment horizontal="center"/>
    </xf>
    <xf numFmtId="0" fontId="11" fillId="21" borderId="0" xfId="0" applyFont="1" applyFill="1" applyAlignment="1">
      <alignment horizontal="center"/>
    </xf>
    <xf numFmtId="0" fontId="2" fillId="3" borderId="0" xfId="0" applyFont="1" applyFill="1" applyAlignment="1">
      <alignment horizontal="center"/>
    </xf>
    <xf numFmtId="0" fontId="0" fillId="3" borderId="0" xfId="0" applyFill="1" applyAlignment="1">
      <alignment horizontal="center"/>
    </xf>
    <xf numFmtId="0" fontId="12" fillId="3" borderId="0" xfId="0" applyFont="1" applyFill="1" applyAlignment="1">
      <alignment horizontal="center"/>
    </xf>
    <xf numFmtId="0" fontId="0" fillId="3" borderId="24" xfId="0" applyFill="1" applyBorder="1" applyAlignment="1">
      <alignment horizontal="center"/>
    </xf>
    <xf numFmtId="0" fontId="12" fillId="23" borderId="19" xfId="0" applyFont="1" applyFill="1" applyBorder="1" applyAlignment="1">
      <alignment horizontal="center"/>
    </xf>
    <xf numFmtId="0" fontId="12" fillId="24" borderId="19" xfId="0" applyFont="1" applyFill="1" applyBorder="1" applyAlignment="1">
      <alignment horizontal="center"/>
    </xf>
    <xf numFmtId="0" fontId="12" fillId="2" borderId="19" xfId="0" applyFont="1" applyFill="1" applyBorder="1" applyAlignment="1">
      <alignment horizontal="center"/>
    </xf>
    <xf numFmtId="0" fontId="12" fillId="24" borderId="23" xfId="0" applyFont="1" applyFill="1" applyBorder="1" applyAlignment="1">
      <alignment horizontal="center"/>
    </xf>
    <xf numFmtId="0" fontId="17" fillId="26" borderId="0" xfId="0" applyFont="1" applyFill="1" applyAlignment="1">
      <alignment horizontal="center"/>
    </xf>
    <xf numFmtId="0" fontId="17" fillId="20" borderId="0" xfId="0" applyFont="1" applyFill="1" applyAlignment="1">
      <alignment horizontal="center"/>
    </xf>
    <xf numFmtId="0" fontId="16" fillId="22" borderId="0" xfId="0" applyFont="1" applyFill="1" applyAlignment="1">
      <alignment horizontal="center" wrapText="1"/>
    </xf>
    <xf numFmtId="0" fontId="16" fillId="20" borderId="0" xfId="0" applyFont="1" applyFill="1" applyAlignment="1">
      <alignment horizontal="center"/>
    </xf>
    <xf numFmtId="0" fontId="2" fillId="9" borderId="23" xfId="2" applyNumberFormat="1" applyFont="1" applyFill="1" applyBorder="1" applyAlignment="1" applyProtection="1">
      <alignment horizontal="center" vertical="center"/>
      <protection locked="0"/>
    </xf>
    <xf numFmtId="0" fontId="2" fillId="9" borderId="22" xfId="2" applyNumberFormat="1" applyFont="1" applyFill="1" applyBorder="1" applyAlignment="1" applyProtection="1">
      <alignment horizontal="center" vertical="center"/>
      <protection locked="0"/>
    </xf>
    <xf numFmtId="0" fontId="2" fillId="9" borderId="23" xfId="0" applyFont="1" applyFill="1" applyBorder="1" applyAlignment="1" applyProtection="1">
      <alignment horizontal="center" vertical="center"/>
      <protection locked="0"/>
    </xf>
    <xf numFmtId="0" fontId="2" fillId="9" borderId="22" xfId="0" applyFont="1" applyFill="1" applyBorder="1" applyAlignment="1" applyProtection="1">
      <alignment horizontal="center" vertical="center"/>
      <protection locked="0"/>
    </xf>
    <xf numFmtId="0" fontId="16" fillId="20" borderId="2" xfId="0" applyFont="1" applyFill="1" applyBorder="1" applyAlignment="1">
      <alignment horizontal="center" wrapText="1"/>
    </xf>
    <xf numFmtId="0" fontId="16" fillId="22" borderId="2" xfId="0" applyFont="1" applyFill="1" applyBorder="1" applyAlignment="1">
      <alignment horizontal="center" wrapText="1"/>
    </xf>
    <xf numFmtId="0" fontId="16" fillId="25" borderId="2" xfId="0" applyFont="1" applyFill="1" applyBorder="1" applyAlignment="1">
      <alignment horizontal="center"/>
    </xf>
    <xf numFmtId="0" fontId="16" fillId="22" borderId="2" xfId="0" applyFont="1" applyFill="1" applyBorder="1" applyAlignment="1">
      <alignment horizontal="center"/>
    </xf>
    <xf numFmtId="0" fontId="0" fillId="12" borderId="1" xfId="0" applyFill="1" applyBorder="1" applyAlignment="1">
      <alignment horizontal="center"/>
    </xf>
    <xf numFmtId="0" fontId="2" fillId="0" borderId="1" xfId="0" applyFont="1" applyBorder="1" applyAlignment="1">
      <alignment horizontal="center"/>
    </xf>
    <xf numFmtId="0" fontId="0" fillId="0" borderId="1" xfId="0" applyBorder="1" applyAlignment="1">
      <alignment horizontal="center"/>
    </xf>
  </cellXfs>
  <cellStyles count="3">
    <cellStyle name="Currency" xfId="1" builtinId="4"/>
    <cellStyle name="Normal" xfId="0" builtinId="0"/>
    <cellStyle name="Percent" xfId="2" builtinId="5"/>
  </cellStyles>
  <dxfs count="308">
    <dxf>
      <fill>
        <patternFill>
          <bgColor theme="4"/>
        </patternFill>
      </fill>
    </dxf>
    <dxf>
      <fill>
        <patternFill>
          <bgColor theme="0" tint="-0.14996795556505021"/>
        </patternFill>
      </fill>
    </dxf>
    <dxf>
      <font>
        <color rgb="FF9C5700"/>
      </font>
      <fill>
        <patternFill>
          <bgColor rgb="FFFFEB9C"/>
        </patternFill>
      </fill>
    </dxf>
    <dxf>
      <font>
        <color rgb="FF9C5700"/>
      </font>
      <fill>
        <patternFill>
          <bgColor rgb="FFFFEB9C"/>
        </patternFill>
      </fill>
    </dxf>
    <dxf>
      <numFmt numFmtId="164" formatCode="_(&quot;$&quot;* #,##0_);_(&quot;$&quot;* \(#,##0\);_(&quot;$&quot;* &quot;-&quot;??_);_(@_)"/>
      <fill>
        <patternFill patternType="none">
          <fgColor indexed="64"/>
          <bgColor auto="1"/>
        </patternFill>
      </fill>
      <border diagonalUp="0" diagonalDown="0" outline="0">
        <left/>
        <right style="medium">
          <color theme="1" tint="0.499984740745262"/>
        </right>
        <top/>
        <bottom/>
      </border>
    </dxf>
    <dxf>
      <numFmt numFmtId="164" formatCode="_(&quot;$&quot;* #,##0_);_(&quot;$&quot;* \(#,##0\);_(&quot;$&quot;* &quot;-&quot;??_);_(@_)"/>
      <fill>
        <patternFill patternType="none">
          <fgColor indexed="64"/>
          <bgColor auto="1"/>
        </patternFill>
      </fill>
      <border diagonalUp="0" diagonalDown="0" outline="0">
        <left style="medium">
          <color theme="1" tint="0.499984740745262"/>
        </left>
        <right/>
        <top/>
        <bottom/>
      </border>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border diagonalUp="0" diagonalDown="0" outline="0">
        <left style="medium">
          <color theme="1" tint="0.499984740745262"/>
        </left>
        <right/>
        <top/>
        <bottom/>
      </border>
    </dxf>
    <dxf>
      <font>
        <b val="0"/>
        <i val="0"/>
        <strike val="0"/>
        <condense val="0"/>
        <extend val="0"/>
        <outline val="0"/>
        <shadow val="0"/>
        <u val="none"/>
        <vertAlign val="baseline"/>
        <sz val="10"/>
        <color auto="1"/>
        <name val="Arial"/>
        <scheme val="none"/>
      </font>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dxf>
    <dxf>
      <numFmt numFmtId="0" formatCode="General"/>
      <fill>
        <patternFill patternType="none">
          <fgColor indexed="64"/>
          <bgColor auto="1"/>
        </patternFill>
      </fill>
      <border outline="0">
        <left style="thin">
          <color theme="1" tint="0.499984740745262"/>
        </left>
      </border>
    </dxf>
    <dxf>
      <numFmt numFmtId="0" formatCode="General"/>
      <fill>
        <patternFill patternType="none">
          <fgColor indexed="64"/>
          <bgColor auto="1"/>
        </patternFill>
      </fill>
      <border outline="0">
        <right style="thin">
          <color theme="1" tint="0.499984740745262"/>
        </right>
      </border>
    </dxf>
    <dxf>
      <fill>
        <patternFill patternType="none">
          <fgColor indexed="64"/>
          <bgColor auto="1"/>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dxf>
    <dxf>
      <numFmt numFmtId="13" formatCode="0%"/>
      <fill>
        <patternFill patternType="none">
          <fgColor indexed="64"/>
          <bgColor indexed="65"/>
        </patternFill>
      </fill>
    </dxf>
    <dxf>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font>
        <b val="0"/>
        <i val="0"/>
        <strike val="0"/>
        <condense val="0"/>
        <extend val="0"/>
        <outline val="0"/>
        <shadow val="0"/>
        <u val="none"/>
        <vertAlign val="baseline"/>
        <sz val="10"/>
        <color auto="1"/>
        <name val="Arial"/>
        <family val="2"/>
        <scheme val="none"/>
      </font>
      <fill>
        <patternFill patternType="none">
          <fgColor indexed="64"/>
          <bgColor indexed="65"/>
        </patternFill>
      </fill>
    </dxf>
    <dxf>
      <font>
        <b val="0"/>
        <i val="0"/>
        <strike val="0"/>
        <condense val="0"/>
        <extend val="0"/>
        <outline val="0"/>
        <shadow val="0"/>
        <u val="none"/>
        <vertAlign val="baseline"/>
        <sz val="10"/>
        <color auto="1"/>
        <name val="Arial"/>
        <scheme val="none"/>
      </font>
      <numFmt numFmtId="167" formatCode="0.0%"/>
      <fill>
        <patternFill patternType="none">
          <fgColor indexed="64"/>
          <bgColor auto="1"/>
        </patternFill>
      </fill>
    </dxf>
    <dxf>
      <font>
        <b val="0"/>
        <i val="0"/>
        <strike val="0"/>
        <condense val="0"/>
        <extend val="0"/>
        <outline val="0"/>
        <shadow val="0"/>
        <u val="none"/>
        <vertAlign val="baseline"/>
        <sz val="10"/>
        <color auto="1"/>
        <name val="Arial"/>
        <scheme val="none"/>
      </font>
      <numFmt numFmtId="167" formatCode="0.0%"/>
      <fill>
        <patternFill patternType="solid">
          <fgColor indexed="64"/>
          <bgColor theme="0" tint="-4.9989318521683403E-2"/>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general" vertical="bottom" textRotation="0" wrapText="1" indent="0" justifyLastLine="0" shrinkToFit="0" readingOrder="0"/>
    </dxf>
    <dxf>
      <fill>
        <patternFill patternType="none">
          <fgColor indexed="64"/>
          <bgColor auto="1"/>
        </patternFill>
      </fill>
    </dxf>
    <dxf>
      <fill>
        <patternFill patternType="none">
          <fgColor indexed="64"/>
          <bgColor auto="1"/>
        </patternFill>
      </fill>
    </dxf>
    <dxf>
      <numFmt numFmtId="167" formatCode="0.0%"/>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7" formatCode="0.0%"/>
      <fill>
        <patternFill patternType="none">
          <fgColor indexed="64"/>
          <bgColor auto="1"/>
        </patternFill>
      </fill>
      <alignment horizontal="general" vertical="bottom" textRotation="0" wrapText="1" indent="0" justifyLastLine="0" shrinkToFit="0" readingOrder="0"/>
      <border diagonalUp="0" diagonalDown="0" outline="0">
        <left style="thin">
          <color theme="1" tint="0.499984740745262"/>
        </left>
        <right style="thin">
          <color theme="1" tint="0.499984740745262"/>
        </right>
        <top style="thin">
          <color theme="1" tint="0.499984740745262"/>
        </top>
        <bottom style="thin">
          <color theme="1" tint="0.499984740745262"/>
        </bottom>
      </border>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numFmt numFmtId="0" formatCode="General"/>
      <fill>
        <patternFill patternType="solid">
          <fgColor indexed="64"/>
          <bgColor rgb="FFFFF6DD"/>
        </patternFill>
      </fill>
    </dxf>
    <dxf>
      <numFmt numFmtId="0" formatCode="General"/>
      <fill>
        <patternFill patternType="solid">
          <fgColor indexed="64"/>
          <bgColor rgb="FFFFF6DD"/>
        </patternFill>
      </fill>
    </dxf>
    <dxf>
      <fill>
        <patternFill patternType="none">
          <fgColor indexed="64"/>
          <bgColor indexed="65"/>
        </patternFill>
      </fill>
    </dxf>
    <dxf>
      <fill>
        <patternFill patternType="none">
          <fgColor indexed="64"/>
          <bgColor indexed="65"/>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dxf>
    <dxf>
      <font>
        <b val="0"/>
        <family val="2"/>
      </font>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indexed="65"/>
        </patternFill>
      </fill>
    </dxf>
    <dxf>
      <font>
        <b val="0"/>
        <family val="2"/>
      </font>
      <numFmt numFmtId="164" formatCode="_(&quot;$&quot;* #,##0_);_(&quot;$&quot;* \(#,##0\);_(&quot;$&quot;* &quot;-&quot;??_);_(@_)"/>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auto="1"/>
        </patternFill>
      </fill>
    </dxf>
    <dxf>
      <font>
        <b val="0"/>
        <family val="2"/>
      </font>
      <numFmt numFmtId="164" formatCode="_(&quot;$&quot;* #,##0_);_(&quot;$&quot;* \(#,##0\);_(&quot;$&quot;* &quot;-&quot;??_);_(@_)"/>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indexed="65"/>
        </patternFill>
      </fill>
      <alignment horizontal="general" vertical="bottom" textRotation="0" wrapText="1" indent="0" justifyLastLine="0" shrinkToFit="0" readingOrder="0"/>
    </dxf>
    <dxf>
      <border outline="0">
        <left style="thin">
          <color indexed="64"/>
        </left>
        <right style="thin">
          <color indexed="64"/>
        </right>
        <top style="thin">
          <color indexed="64"/>
        </top>
        <bottom style="thin">
          <color indexed="64"/>
        </bottom>
      </border>
    </dxf>
    <dxf>
      <font>
        <b val="0"/>
        <family val="2"/>
      </font>
      <fill>
        <patternFill patternType="none">
          <fgColor indexed="64"/>
          <bgColor auto="1"/>
        </patternFill>
      </fill>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dxf>
    <dxf>
      <font>
        <b val="0"/>
        <family val="2"/>
      </font>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indexed="65"/>
        </patternFill>
      </fill>
    </dxf>
    <dxf>
      <font>
        <b val="0"/>
        <family val="2"/>
      </font>
      <numFmt numFmtId="164" formatCode="_(&quot;$&quot;* #,##0_);_(&quot;$&quot;* \(#,##0\);_(&quot;$&quot;* &quot;-&quot;??_);_(@_)"/>
      <fill>
        <patternFill patternType="none">
          <fgColor indexed="64"/>
          <bgColor indexed="65"/>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indexed="65"/>
        </patternFill>
      </fill>
      <alignment horizontal="general" vertical="bottom" textRotation="0" wrapText="1" indent="0" justifyLastLine="0" shrinkToFit="0" readingOrder="0"/>
    </dxf>
    <dxf>
      <font>
        <b val="0"/>
        <family val="2"/>
      </font>
      <numFmt numFmtId="164" formatCode="_(&quot;$&quot;* #,##0_);_(&quot;$&quot;* \(#,##0\);_(&quot;$&quot;* &quot;-&quot;??_);_(@_)"/>
      <fill>
        <patternFill patternType="none">
          <fgColor indexed="64"/>
          <bgColor indexed="65"/>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indexed="65"/>
        </patternFill>
      </fill>
      <alignment horizontal="general" vertical="bottom" textRotation="0" wrapText="1" indent="0" justifyLastLine="0" shrinkToFit="0" readingOrder="0"/>
    </dxf>
    <dxf>
      <border outline="0">
        <left style="thin">
          <color indexed="64"/>
        </left>
        <right style="thin">
          <color indexed="64"/>
        </right>
        <top style="thin">
          <color indexed="64"/>
        </top>
        <bottom style="thin">
          <color indexed="64"/>
        </bottom>
      </border>
    </dxf>
    <dxf>
      <font>
        <b val="0"/>
        <family val="2"/>
      </font>
      <fill>
        <patternFill patternType="none">
          <fgColor indexed="64"/>
          <bgColor auto="1"/>
        </patternFill>
      </fill>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auto="1"/>
        <name val="Arial"/>
        <scheme val="none"/>
      </font>
      <numFmt numFmtId="164" formatCode="_(&quot;$&quot;* #,##0_);_(&quot;$&quot;* \(#,##0\);_(&quot;$&quot;* &quot;-&quot;??_);_(@_)"/>
      <fill>
        <patternFill patternType="none">
          <fgColor indexed="64"/>
          <bgColor auto="1"/>
        </patternFill>
      </fill>
    </dxf>
    <dxf>
      <font>
        <b val="0"/>
        <i val="0"/>
        <strike val="0"/>
        <condense val="0"/>
        <extend val="0"/>
        <outline val="0"/>
        <shadow val="0"/>
        <u val="none"/>
        <vertAlign val="baseline"/>
        <sz val="10"/>
        <color auto="1"/>
        <name val="Arial"/>
        <scheme val="none"/>
      </font>
      <numFmt numFmtId="164" formatCode="_(&quot;$&quot;* #,##0_);_(&quot;$&quot;* \(#,##0\);_(&quot;$&quot;* &quot;-&quot;??_);_(@_)"/>
      <fill>
        <patternFill patternType="none">
          <fgColor indexed="64"/>
          <bgColor auto="1"/>
        </patternFill>
      </fill>
    </dxf>
    <dxf>
      <font>
        <b val="0"/>
        <i val="0"/>
        <strike val="0"/>
        <condense val="0"/>
        <extend val="0"/>
        <outline val="0"/>
        <shadow val="0"/>
        <u val="none"/>
        <vertAlign val="baseline"/>
        <sz val="10"/>
        <color auto="1"/>
        <name val="Arial"/>
        <scheme val="none"/>
      </font>
      <fill>
        <patternFill patternType="none">
          <fgColor indexed="64"/>
          <bgColor auto="1"/>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numFmt numFmtId="0" formatCode="General"/>
      <fill>
        <patternFill patternType="solid">
          <fgColor indexed="64"/>
          <bgColor rgb="FFFFF6DD"/>
        </patternFill>
      </fill>
    </dxf>
    <dxf>
      <numFmt numFmtId="0" formatCode="General"/>
      <fill>
        <patternFill patternType="solid">
          <fgColor indexed="64"/>
          <bgColor rgb="FFFFF6DD"/>
        </patternFill>
      </fill>
    </dxf>
    <dxf>
      <numFmt numFmtId="0" formatCode="General"/>
      <fill>
        <patternFill patternType="solid">
          <fgColor indexed="64"/>
          <bgColor rgb="FFFFF6DD"/>
        </patternFill>
      </fill>
      <border outline="0">
        <left style="thin">
          <color theme="1" tint="0.499984740745262"/>
        </left>
        <right style="thin">
          <color theme="1" tint="0.499984740745262"/>
        </right>
      </border>
    </dxf>
    <dxf>
      <numFmt numFmtId="0" formatCode="General"/>
      <fill>
        <patternFill patternType="none">
          <fgColor indexed="64"/>
          <bgColor auto="1"/>
        </patternFill>
      </fill>
      <border outline="0">
        <right style="thin">
          <color theme="1" tint="0.499984740745262"/>
        </right>
      </border>
    </dxf>
    <dxf>
      <numFmt numFmtId="0" formatCode="General"/>
      <fill>
        <patternFill patternType="none">
          <fgColor indexed="64"/>
          <bgColor auto="1"/>
        </patternFill>
      </fill>
      <border outline="0">
        <right style="thin">
          <color theme="1" tint="0.499984740745262"/>
        </right>
      </border>
    </dxf>
    <dxf>
      <border outline="0">
        <left style="thin">
          <color indexed="64"/>
        </left>
      </border>
    </dxf>
    <dxf>
      <fill>
        <patternFill patternType="none">
          <fgColor indexed="64"/>
          <bgColor auto="1"/>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font>
        <b val="0"/>
        <i val="0"/>
        <strike val="0"/>
        <condense val="0"/>
        <extend val="0"/>
        <outline val="0"/>
        <shadow val="0"/>
        <u val="none"/>
        <vertAlign val="baseline"/>
        <sz val="10"/>
        <color auto="1"/>
        <name val="Arial"/>
        <scheme val="none"/>
      </font>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auto="1"/>
        </patternFill>
      </fill>
    </dxf>
    <dxf>
      <fill>
        <patternFill patternType="solid">
          <fgColor indexed="64"/>
          <bgColor rgb="FFFFF6DD"/>
        </patternFill>
      </fill>
    </dxf>
    <dxf>
      <fill>
        <patternFill patternType="solid">
          <fgColor indexed="64"/>
          <bgColor rgb="FFFFF6DD"/>
        </patternFill>
      </fill>
    </dxf>
    <dxf>
      <fill>
        <patternFill patternType="solid">
          <fgColor indexed="64"/>
          <bgColor rgb="FFFFF6DD"/>
        </patternFill>
      </fill>
    </dxf>
    <dxf>
      <fill>
        <patternFill patternType="solid">
          <fgColor indexed="64"/>
          <bgColor rgb="FFFFF6DD"/>
        </patternFill>
      </fill>
    </dxf>
    <dxf>
      <fill>
        <patternFill patternType="solid">
          <fgColor indexed="64"/>
          <bgColor rgb="FFFFF6DD"/>
        </patternFill>
      </fill>
    </dxf>
    <dxf>
      <fill>
        <patternFill patternType="solid">
          <fgColor indexed="64"/>
          <bgColor rgb="FFFFF6DD"/>
        </patternFill>
      </fill>
    </dxf>
    <dxf>
      <fill>
        <patternFill patternType="solid">
          <fgColor indexed="64"/>
          <bgColor rgb="FFFFF6DD"/>
        </patternFill>
      </fill>
    </dxf>
    <dxf>
      <fill>
        <patternFill patternType="solid">
          <fgColor indexed="64"/>
          <bgColor rgb="FFFFF6DD"/>
        </patternFill>
      </fill>
    </dxf>
    <dxf>
      <fill>
        <patternFill patternType="solid">
          <fgColor indexed="64"/>
          <bgColor rgb="FFFFF6DD"/>
        </patternFill>
      </fill>
    </dxf>
    <dxf>
      <fill>
        <patternFill patternType="solid">
          <fgColor indexed="64"/>
          <bgColor rgb="FFFFF6DD"/>
        </patternFill>
      </fill>
    </dxf>
    <dxf>
      <numFmt numFmtId="0" formatCode="General"/>
      <fill>
        <patternFill patternType="none">
          <fgColor indexed="64"/>
          <bgColor auto="1"/>
        </patternFill>
      </fill>
    </dxf>
    <dxf>
      <numFmt numFmtId="0" formatCode="General"/>
      <fill>
        <patternFill patternType="none">
          <fgColor indexed="64"/>
          <bgColor auto="1"/>
        </patternFill>
      </fill>
    </dxf>
    <dxf>
      <fill>
        <patternFill patternType="none">
          <fgColor indexed="64"/>
          <bgColor auto="1"/>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fill>
        <patternFill patternType="none">
          <fgColor indexed="64"/>
          <bgColor auto="1"/>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dxf>
    <dxf>
      <fill>
        <patternFill patternType="none">
          <fgColor indexed="64"/>
          <bgColor auto="1"/>
        </patternFill>
      </fill>
    </dxf>
    <dxf>
      <numFmt numFmtId="164" formatCode="_(&quot;$&quot;* #,##0_);_(&quot;$&quot;* \(#,##0\);_(&quot;$&quot;* &quot;-&quot;??_);_(@_)"/>
    </dxf>
    <dxf>
      <numFmt numFmtId="164" formatCode="_(&quot;$&quot;* #,##0_);_(&quot;$&quot;* \(#,##0\);_(&quot;$&quot;* &quot;-&quot;??_);_(@_)"/>
    </dxf>
    <dxf>
      <numFmt numFmtId="164" formatCode="_(&quot;$&quot;* #,##0_);_(&quot;$&quot;* \(#,##0\);_(&quot;$&quot;* &quot;-&quot;??_);_(@_)"/>
      <fill>
        <patternFill patternType="none">
          <fgColor indexed="64"/>
          <bgColor indexed="65"/>
        </patternFill>
      </fill>
    </dxf>
    <dxf>
      <fill>
        <patternFill patternType="none">
          <fgColor indexed="64"/>
          <bgColor auto="1"/>
        </patternFill>
      </fill>
    </dxf>
    <dxf>
      <fill>
        <patternFill patternType="none">
          <fgColor indexed="64"/>
          <bgColor auto="1"/>
        </patternFill>
      </fill>
    </dxf>
    <dxf>
      <fill>
        <patternFill patternType="solid">
          <fgColor indexed="64"/>
          <bgColor theme="5" tint="0.79998168889431442"/>
        </patternFill>
      </fill>
      <border diagonalUp="0" diagonalDown="0">
        <left style="medium">
          <color theme="1" tint="0.499984740745262"/>
        </left>
        <top/>
        <bottom/>
        <horizontal/>
      </border>
    </dxf>
    <dxf>
      <fill>
        <patternFill patternType="none">
          <fgColor indexed="64"/>
          <bgColor auto="1"/>
        </patternFill>
      </fill>
      <border diagonalUp="0" diagonalDown="0">
        <left/>
        <right style="medium">
          <color theme="1" tint="0.499984740745262"/>
        </right>
        <top/>
        <bottom/>
        <vertical/>
        <horizontal/>
      </border>
    </dxf>
    <dxf>
      <numFmt numFmtId="164" formatCode="_(&quot;$&quot;* #,##0_);_(&quot;$&quot;* \(#,##0\);_(&quot;$&quot;* &quot;-&quot;??_);_(@_)"/>
      <fill>
        <patternFill patternType="none">
          <fgColor indexed="64"/>
          <bgColor indexed="65"/>
        </patternFill>
      </fill>
    </dxf>
    <dxf>
      <numFmt numFmtId="164" formatCode="_(&quot;$&quot;* #,##0_);_(&quot;$&quot;* \(#,##0\);_(&quot;$&quot;* &quot;-&quot;??_);_(@_)"/>
      <fill>
        <patternFill patternType="none">
          <fgColor indexed="64"/>
          <bgColor indexed="65"/>
        </patternFill>
      </fill>
    </dxf>
    <dxf>
      <numFmt numFmtId="164" formatCode="_(&quot;$&quot;* #,##0_);_(&quot;$&quot;* \(#,##0\);_(&quot;$&quot;* &quot;-&quot;??_);_(@_)"/>
      <fill>
        <patternFill patternType="none">
          <fgColor indexed="64"/>
          <bgColor indexed="65"/>
        </patternFill>
      </fill>
    </dxf>
    <dxf>
      <numFmt numFmtId="164" formatCode="_(&quot;$&quot;* #,##0_);_(&quot;$&quot;* \(#,##0\);_(&quot;$&quot;* &quot;-&quot;??_);_(@_)"/>
      <fill>
        <patternFill patternType="none">
          <fgColor indexed="64"/>
          <bgColor indexed="65"/>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numFmt numFmtId="164" formatCode="_(&quot;$&quot;* #,##0_);_(&quot;$&quot;* \(#,##0\);_(&quot;$&quot;* &quot;-&quot;??_);_(@_)"/>
      <fill>
        <patternFill patternType="none">
          <fgColor indexed="64"/>
          <bgColor auto="1"/>
        </patternFill>
      </fill>
    </dxf>
    <dxf>
      <font>
        <b val="0"/>
        <i val="0"/>
        <strike val="0"/>
        <condense val="0"/>
        <extend val="0"/>
        <outline val="0"/>
        <shadow val="0"/>
        <u val="none"/>
        <vertAlign val="baseline"/>
        <sz val="10"/>
        <color auto="1"/>
        <name val="Arial"/>
        <family val="2"/>
        <scheme val="none"/>
      </font>
      <numFmt numFmtId="164" formatCode="_(&quot;$&quot;* #,##0_);_(&quot;$&quot;* \(#,##0\);_(&quot;$&quot;* &quot;-&quot;??_);_(@_)"/>
      <fill>
        <patternFill patternType="none">
          <fgColor indexed="64"/>
          <bgColor auto="1"/>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ont>
        <b val="0"/>
        <i val="0"/>
        <strike val="0"/>
        <condense val="0"/>
        <extend val="0"/>
        <outline val="0"/>
        <shadow val="0"/>
        <u val="none"/>
        <vertAlign val="baseline"/>
        <sz val="10"/>
        <color auto="1"/>
        <name val="Arial"/>
        <scheme val="none"/>
      </font>
      <fill>
        <patternFill patternType="solid">
          <fgColor indexed="64"/>
          <bgColor rgb="FFFFF6DD"/>
        </patternFill>
      </fill>
    </dxf>
    <dxf>
      <fill>
        <patternFill patternType="solid">
          <fgColor indexed="64"/>
          <bgColor rgb="FFFFF6DD"/>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dxf>
    <dxf>
      <numFmt numFmtId="34" formatCode="_(&quot;$&quot;* #,##0.00_);_(&quot;$&quot;* \(#,##0.00\);_(&quot;$&quot;* &quot;-&quot;??_);_(@_)"/>
      <fill>
        <patternFill patternType="none">
          <fgColor indexed="64"/>
          <bgColor auto="1"/>
        </patternFill>
      </fill>
      <alignment horizontal="right" vertical="bottom" textRotation="0" wrapText="1" indent="0" justifyLastLine="0" shrinkToFit="0" readingOrder="0"/>
      <protection locked="1" hidden="0"/>
    </dxf>
    <dxf>
      <font>
        <b val="0"/>
        <i val="0"/>
        <strike val="0"/>
        <condense val="0"/>
        <extend val="0"/>
        <outline val="0"/>
        <shadow val="0"/>
        <u val="none"/>
        <vertAlign val="baseline"/>
        <sz val="10"/>
        <color theme="0"/>
        <name val="Arial"/>
        <family val="2"/>
        <scheme val="none"/>
      </font>
      <fill>
        <patternFill patternType="none">
          <fgColor indexed="64"/>
          <bgColor indexed="65"/>
        </patternFill>
      </fill>
      <alignment horizontal="general" vertical="bottom" textRotation="0" wrapText="1" indent="0" justifyLastLine="0" shrinkToFit="0" readingOrder="0"/>
      <border diagonalUp="0" diagonalDown="0" outline="0">
        <left/>
        <right/>
        <top/>
        <bottom/>
      </border>
    </dxf>
    <dxf>
      <fill>
        <patternFill patternType="none">
          <fgColor indexed="64"/>
          <bgColor auto="1"/>
        </patternFill>
      </fill>
      <alignment horizontal="general" vertical="bottom" textRotation="0" wrapText="1" indent="0" justifyLastLine="0" shrinkToFit="0" readingOrder="0"/>
      <protection locked="1" hidden="0"/>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border diagonalUp="0" diagonalDown="0" outline="0">
        <left/>
        <right/>
        <top/>
        <bottom/>
      </border>
    </dxf>
    <dxf>
      <fill>
        <patternFill patternType="none">
          <fgColor indexed="64"/>
          <bgColor auto="1"/>
        </patternFill>
      </fill>
      <protection locked="1" hidden="0"/>
    </dxf>
    <dxf>
      <fill>
        <patternFill patternType="none">
          <fgColor indexed="64"/>
          <bgColor auto="1"/>
        </patternFill>
      </fill>
      <alignment horizontal="general" vertical="bottom" textRotation="0" wrapText="1" indent="0" justifyLastLine="0" shrinkToFit="0" readingOrder="0"/>
      <protection locked="1" hidden="0"/>
    </dxf>
    <dxf>
      <numFmt numFmtId="34" formatCode="_(&quot;$&quot;* #,##0.00_);_(&quot;$&quot;* \(#,##0.00\);_(&quot;$&quot;* &quot;-&quot;??_);_(@_)"/>
      <fill>
        <patternFill patternType="solid">
          <fgColor indexed="64"/>
          <bgColor rgb="FFD9DFE7"/>
        </patternFill>
      </fill>
      <alignment horizontal="right" vertical="bottom" textRotation="0" wrapText="1" indent="0" justifyLastLine="0" shrinkToFit="0" readingOrder="0"/>
      <protection locked="0" hidden="0"/>
    </dxf>
    <dxf>
      <fill>
        <patternFill patternType="none">
          <fgColor indexed="64"/>
          <bgColor auto="1"/>
        </patternFill>
      </fill>
      <alignment horizontal="general" vertical="bottom" textRotation="0" wrapText="1" indent="0" justifyLastLine="0" shrinkToFit="0" readingOrder="0"/>
      <protection locked="0" hidden="0"/>
    </dxf>
    <dxf>
      <fill>
        <patternFill patternType="solid">
          <fgColor indexed="64"/>
          <bgColor rgb="FFD9DFE7"/>
        </patternFill>
      </fill>
      <alignment horizontal="general" vertical="bottom" textRotation="0" wrapText="1" indent="0" justifyLastLine="0" shrinkToFit="0" readingOrder="0"/>
      <protection locked="0" hidden="0"/>
    </dxf>
    <dxf>
      <fill>
        <patternFill patternType="none">
          <fgColor indexed="64"/>
          <bgColor auto="1"/>
        </patternFill>
      </fill>
      <alignment horizontal="general" vertical="bottom" textRotation="0" wrapText="1" indent="0" justifyLastLine="0" shrinkToFit="0" readingOrder="0"/>
      <protection locked="0" hidden="0"/>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protection locked="0" hidden="0"/>
    </dxf>
    <dxf>
      <font>
        <b val="0"/>
        <i val="0"/>
        <strike val="0"/>
        <condense val="0"/>
        <extend val="0"/>
        <outline val="0"/>
        <shadow val="0"/>
        <u val="none"/>
        <vertAlign val="baseline"/>
        <sz val="10"/>
        <color auto="1"/>
        <name val="Arial"/>
        <scheme val="none"/>
      </font>
      <fill>
        <patternFill patternType="solid">
          <fgColor indexed="64"/>
          <bgColor rgb="FFD9DFE7"/>
        </patternFill>
      </fill>
      <protection locked="0" hidden="0"/>
    </dxf>
    <dxf>
      <numFmt numFmtId="0" formatCode="General"/>
      <fill>
        <patternFill patternType="solid">
          <fgColor indexed="64"/>
          <bgColor theme="0"/>
        </patternFill>
      </fill>
      <protection locked="1" hidden="0"/>
    </dxf>
    <dxf>
      <fill>
        <patternFill patternType="solid">
          <fgColor indexed="64"/>
          <bgColor rgb="FFD9DFE7"/>
        </patternFill>
      </fill>
      <protection locked="0" hidden="0"/>
    </dxf>
    <dxf>
      <border outline="0">
        <top style="thin">
          <color theme="0" tint="-0.249977111117893"/>
        </top>
      </border>
    </dxf>
    <dxf>
      <protection locked="0" hidden="0"/>
    </dxf>
    <dxf>
      <border outline="0">
        <bottom style="thin">
          <color theme="0" tint="-0.249977111117893"/>
        </bottom>
      </border>
    </dxf>
    <dxf>
      <font>
        <b/>
        <family val="2"/>
      </font>
      <fill>
        <patternFill patternType="solid">
          <fgColor indexed="64"/>
          <bgColor theme="0"/>
        </patternFill>
      </fill>
      <border diagonalUp="0" diagonalDown="0">
        <left style="thin">
          <color theme="0" tint="-0.249977111117893"/>
        </left>
        <right style="thin">
          <color theme="0" tint="-0.249977111117893"/>
        </right>
        <top/>
        <bottom/>
      </border>
      <protection locked="0" hidden="0"/>
    </dxf>
    <dxf>
      <font>
        <b val="0"/>
        <i val="0"/>
        <strike val="0"/>
        <condense val="0"/>
        <extend val="0"/>
        <outline val="0"/>
        <shadow val="0"/>
        <u val="none"/>
        <vertAlign val="baseline"/>
        <sz val="10"/>
        <color auto="1"/>
        <name val="Arial"/>
        <scheme val="none"/>
      </font>
      <fill>
        <patternFill patternType="solid">
          <fgColor indexed="64"/>
          <bgColor rgb="FFD9DFE7"/>
        </patternFill>
      </fill>
      <protection locked="0" hidden="0"/>
    </dxf>
    <dxf>
      <font>
        <b val="0"/>
        <i val="0"/>
        <strike val="0"/>
        <condense val="0"/>
        <extend val="0"/>
        <outline val="0"/>
        <shadow val="0"/>
        <u val="none"/>
        <vertAlign val="baseline"/>
        <sz val="10"/>
        <color auto="1"/>
        <name val="Arial"/>
        <family val="2"/>
        <scheme val="none"/>
      </font>
      <protection locked="0" hidden="0"/>
    </dxf>
    <dxf>
      <protection locked="0" hidden="0"/>
    </dxf>
    <dxf>
      <alignment horizontal="general" vertical="bottom" textRotation="0" wrapText="1" indent="0" justifyLastLine="0" shrinkToFit="0" readingOrder="0"/>
      <protection locked="0" hidden="0"/>
    </dxf>
    <dxf>
      <font>
        <b val="0"/>
        <i val="0"/>
        <strike val="0"/>
        <condense val="0"/>
        <extend val="0"/>
        <outline val="0"/>
        <shadow val="0"/>
        <u val="none"/>
        <vertAlign val="baseline"/>
        <sz val="10"/>
        <color auto="1"/>
        <name val="Arial"/>
        <scheme val="none"/>
      </font>
      <fill>
        <patternFill patternType="solid">
          <fgColor indexed="64"/>
          <bgColor rgb="FFD9DFE7"/>
        </patternFill>
      </fill>
      <alignment horizontal="general" vertical="bottom" textRotation="0" wrapText="1" indent="0" justifyLastLine="0" shrinkToFit="0" readingOrder="0"/>
      <protection locked="0" hidden="0"/>
    </dxf>
    <dxf>
      <font>
        <b val="0"/>
        <i val="0"/>
        <strike val="0"/>
        <condense val="0"/>
        <extend val="0"/>
        <outline val="0"/>
        <shadow val="0"/>
        <u val="none"/>
        <vertAlign val="baseline"/>
        <sz val="10"/>
        <color auto="1"/>
        <name val="Arial"/>
        <family val="2"/>
        <scheme val="none"/>
      </font>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alignment horizontal="general" vertical="bottom" textRotation="0" wrapText="1" indent="0" justifyLastLine="0" shrinkToFit="0" readingOrder="0"/>
      <protection locked="0" hidden="0"/>
    </dxf>
    <dxf>
      <font>
        <b val="0"/>
        <i val="0"/>
        <strike val="0"/>
        <condense val="0"/>
        <extend val="0"/>
        <outline val="0"/>
        <shadow val="0"/>
        <u val="none"/>
        <vertAlign val="baseline"/>
        <sz val="10"/>
        <color auto="1"/>
        <name val="Arial"/>
        <family val="2"/>
        <scheme val="none"/>
      </font>
      <numFmt numFmtId="12" formatCode="&quot;$&quot;#,##0.00_);[Red]\(&quot;$&quot;#,##0.00\)"/>
      <fill>
        <patternFill patternType="none">
          <fgColor indexed="64"/>
          <bgColor indexed="65"/>
        </patternFill>
      </fill>
      <alignment horizontal="general" vertical="bottom" textRotation="0" wrapText="1" indent="0" justifyLastLine="0" shrinkToFit="0" readingOrder="0"/>
      <border diagonalUp="0" diagonalDown="0">
        <left style="thin">
          <color theme="1" tint="0.499984740745262"/>
        </left>
        <right style="thin">
          <color theme="1" tint="0.499984740745262"/>
        </right>
        <top style="thin">
          <color theme="1" tint="0.499984740745262"/>
        </top>
        <bottom style="thin">
          <color theme="1" tint="0.499984740745262"/>
        </bottom>
      </border>
      <protection locked="1" hidden="0"/>
    </dxf>
    <dxf>
      <alignment horizontal="general" vertical="bottom" textRotation="0" wrapText="1" indent="0" justifyLastLine="0" shrinkToFit="0" readingOrder="0"/>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0"/>
        </patternFill>
      </fill>
      <alignment horizontal="general" vertical="bottom" textRotation="0" wrapText="1" indent="0" justifyLastLine="0" shrinkToFit="0" readingOrder="0"/>
      <border diagonalUp="0" diagonalDown="0" outline="0">
        <left/>
        <right/>
        <top/>
        <bottom/>
      </border>
    </dxf>
    <dxf>
      <font>
        <b val="0"/>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bottom" textRotation="0" wrapText="1" indent="0" justifyLastLine="0" shrinkToFit="0" readingOrder="0"/>
      <border diagonalUp="0" diagonalDown="0">
        <left style="thin">
          <color theme="1" tint="0.499984740745262"/>
        </left>
        <right style="thin">
          <color theme="1" tint="0.499984740745262"/>
        </right>
        <top style="thin">
          <color theme="1" tint="0.499984740745262"/>
        </top>
        <bottom style="thin">
          <color theme="1" tint="0.499984740745262"/>
        </bottom>
      </border>
      <protection locked="1" hidden="0"/>
    </dxf>
    <dxf>
      <font>
        <b val="0"/>
        <i val="0"/>
        <strike val="0"/>
        <condense val="0"/>
        <extend val="0"/>
        <outline val="0"/>
        <shadow val="0"/>
        <u val="none"/>
        <vertAlign val="baseline"/>
        <sz val="10"/>
        <color auto="1"/>
        <name val="Arial"/>
        <family val="2"/>
        <scheme val="none"/>
      </font>
      <alignment horizontal="general" vertical="bottom" textRotation="0" wrapText="1" indent="0" justifyLastLine="0" shrinkToFit="0" readingOrder="0"/>
      <protection locked="1" hidden="0"/>
    </dxf>
    <dxf>
      <font>
        <b/>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bottom" textRotation="0" wrapText="1" indent="0" justifyLastLine="0" shrinkToFit="0" readingOrder="0"/>
      <border diagonalUp="0" diagonalDown="0" outline="0">
        <left/>
        <right/>
        <top/>
        <bottom/>
      </border>
    </dxf>
    <dxf>
      <border outline="0">
        <top style="thin">
          <color theme="1" tint="0.499984740745262"/>
        </top>
      </border>
    </dxf>
    <dxf>
      <protection locked="1" hidden="0"/>
    </dxf>
    <dxf>
      <alignment horizontal="general" vertical="bottom" textRotation="0" wrapText="1" indent="0" justifyLastLine="0" shrinkToFit="0" readingOrder="0"/>
      <protection locked="1" hidden="0"/>
    </dxf>
    <dxf>
      <alignment horizontal="general" vertical="bottom" textRotation="0" wrapText="1" indent="0" justifyLastLine="0" shrinkToFit="0" readingOrder="0"/>
      <protection locked="1" hidden="0"/>
    </dxf>
    <dxf>
      <font>
        <b val="0"/>
        <i val="0"/>
        <strike val="0"/>
        <condense val="0"/>
        <extend val="0"/>
        <outline val="0"/>
        <shadow val="0"/>
        <u val="none"/>
        <vertAlign val="baseline"/>
        <sz val="10"/>
        <color auto="1"/>
        <name val="Arial"/>
        <scheme val="none"/>
      </font>
      <numFmt numFmtId="167" formatCode="0.0%"/>
      <fill>
        <patternFill patternType="solid">
          <fgColor indexed="64"/>
          <bgColor rgb="FFD9DFE7"/>
        </patternFill>
      </fill>
      <alignment horizontal="general" vertical="bottom" textRotation="0" wrapText="1" indent="0" justifyLastLine="0" shrinkToFit="0" readingOrder="0"/>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0"/>
        </patternFill>
      </fill>
      <alignment horizontal="general" vertical="bottom" textRotation="0" wrapText="1" indent="0" justifyLastLine="0" shrinkToFit="0" readingOrder="0"/>
      <border diagonalUp="0" diagonalDown="0" outline="0">
        <left/>
        <right/>
        <top/>
        <bottom/>
      </border>
    </dxf>
    <dxf>
      <alignment horizontal="general" vertical="bottom" textRotation="0" wrapText="1" indent="0" justifyLastLine="0" shrinkToFit="0" readingOrder="0"/>
      <protection locked="1" hidden="0"/>
    </dxf>
    <dxf>
      <font>
        <b/>
        <i val="0"/>
        <strike val="0"/>
        <condense val="0"/>
        <extend val="0"/>
        <outline val="0"/>
        <shadow val="0"/>
        <u val="none"/>
        <vertAlign val="baseline"/>
        <sz val="10"/>
        <color auto="1"/>
        <name val="Arial"/>
        <family val="2"/>
        <scheme val="none"/>
      </font>
      <fill>
        <patternFill patternType="solid">
          <fgColor indexed="64"/>
          <bgColor theme="0"/>
        </patternFill>
      </fill>
      <alignment horizontal="general" vertical="bottom" textRotation="0" wrapText="1" indent="0" justifyLastLine="0" shrinkToFit="0" readingOrder="0"/>
      <border diagonalUp="0" diagonalDown="0" outline="0">
        <left/>
        <right/>
        <top/>
        <bottom/>
      </border>
    </dxf>
    <dxf>
      <alignment horizontal="general" vertical="bottom" textRotation="0" wrapText="1" indent="0" justifyLastLine="0" shrinkToFit="0" readingOrder="0"/>
      <protection locked="1" hidden="0"/>
    </dxf>
    <dxf>
      <alignment horizontal="general" vertical="bottom" textRotation="0" wrapText="1" indent="0" justifyLastLine="0" shrinkToFit="0" readingOrder="0"/>
      <protection locked="1" hidden="0"/>
    </dxf>
    <dxf>
      <numFmt numFmtId="164" formatCode="_(&quot;$&quot;* #,##0_);_(&quot;$&quot;* \(#,##0\);_(&quot;$&quot;* &quot;-&quot;??_);_(@_)"/>
      <fill>
        <patternFill patternType="solid">
          <fgColor indexed="64"/>
          <bgColor theme="0"/>
        </patternFill>
      </fill>
      <border diagonalUp="0" diagonalDown="0">
        <left style="thin">
          <color indexed="64"/>
        </left>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0"/>
        </patternFill>
      </fill>
      <border diagonalUp="0" diagonalDown="0">
        <left/>
        <right style="thin">
          <color indexed="64"/>
        </right>
        <top style="thin">
          <color indexed="64"/>
        </top>
        <bottom style="thin">
          <color indexed="64"/>
        </bottom>
        <vertical/>
        <horizontal/>
      </border>
    </dxf>
    <dxf>
      <border outline="0">
        <left style="thin">
          <color rgb="FF000000"/>
        </left>
        <right style="thin">
          <color rgb="FF000000"/>
        </right>
      </border>
    </dxf>
    <dxf>
      <fill>
        <patternFill patternType="solid">
          <fgColor rgb="FF000000"/>
          <bgColor rgb="FFFFFFFF"/>
        </patternFill>
      </fill>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border diagonalUp="0" diagonalDown="0" outline="0">
        <left style="thin">
          <color indexed="64"/>
        </left>
        <right style="thin">
          <color indexed="64"/>
        </right>
        <top/>
        <bottom/>
      </border>
    </dxf>
    <dxf>
      <numFmt numFmtId="164" formatCode="_(&quot;$&quot;* #,##0_);_(&quot;$&quot;* \(#,##0\);_(&quot;$&quot;* &quot;-&quot;??_);_(@_)"/>
      <fill>
        <patternFill>
          <fgColor indexed="64"/>
          <bgColor theme="0"/>
        </patternFill>
      </fill>
      <border diagonalUp="0" diagonalDown="0" outline="0">
        <left style="thin">
          <color indexed="64"/>
        </left>
        <right/>
        <top style="thin">
          <color indexed="64"/>
        </top>
        <bottom style="thin">
          <color indexed="64"/>
        </bottom>
      </border>
    </dxf>
    <dxf>
      <numFmt numFmtId="164" formatCode="_(&quot;$&quot;* #,##0_);_(&quot;$&quot;* \(#,##0\);_(&quot;$&quot;* &quot;-&quot;??_);_(@_)"/>
      <fill>
        <patternFill>
          <fgColor indexed="64"/>
          <bgColor theme="0"/>
        </patternFill>
      </fill>
      <border diagonalUp="0" diagonalDown="0" outline="0">
        <left style="thin">
          <color indexed="64"/>
        </left>
        <right style="thin">
          <color indexed="64"/>
        </right>
        <top style="thin">
          <color indexed="64"/>
        </top>
        <bottom style="thin">
          <color indexed="64"/>
        </bottom>
      </border>
    </dxf>
    <dxf>
      <numFmt numFmtId="164" formatCode="_(&quot;$&quot;* #,##0_);_(&quot;$&quot;* \(#,##0\);_(&quot;$&quot;* &quot;-&quot;??_);_(@_)"/>
      <fill>
        <patternFill>
          <fgColor indexed="64"/>
          <bgColor theme="0"/>
        </patternFill>
      </fill>
      <border diagonalUp="0" diagonalDown="0" outline="0">
        <left style="thin">
          <color indexed="64"/>
        </left>
        <right style="thin">
          <color indexed="64"/>
        </right>
        <top style="thin">
          <color indexed="64"/>
        </top>
        <bottom style="thin">
          <color indexed="64"/>
        </bottom>
      </border>
    </dxf>
    <dxf>
      <numFmt numFmtId="164" formatCode="_(&quot;$&quot;* #,##0_);_(&quot;$&quot;* \(#,##0\);_(&quot;$&quot;* &quot;-&quot;??_);_(@_)"/>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ill>
        <patternFill>
          <fgColor indexed="64"/>
          <bgColor theme="0"/>
        </patternFill>
      </fill>
      <border diagonalUp="0" diagonalDown="0" outline="0">
        <left/>
        <right style="thin">
          <color indexed="64"/>
        </right>
        <top style="thin">
          <color indexed="64"/>
        </top>
        <bottom style="thin">
          <color indexed="64"/>
        </bottom>
      </border>
    </dxf>
    <dxf>
      <border outline="0">
        <left style="thin">
          <color rgb="FF000000"/>
        </left>
        <right style="thin">
          <color rgb="FF000000"/>
        </right>
        <bottom style="thin">
          <color rgb="FF000000"/>
        </bottom>
      </border>
    </dxf>
    <dxf>
      <fill>
        <patternFill>
          <fgColor rgb="FF000000"/>
          <bgColor rgb="FFFFFFFF"/>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dxf>
    <dxf>
      <numFmt numFmtId="164" formatCode="_(&quot;$&quot;* #,##0_);_(&quot;$&quot;* \(#,##0\);_(&quot;$&quot;* &quot;-&quot;??_);_(@_)"/>
      <fill>
        <patternFill>
          <fgColor indexed="64"/>
          <bgColor theme="0"/>
        </patternFill>
      </fill>
    </dxf>
    <dxf>
      <numFmt numFmtId="164" formatCode="_(&quot;$&quot;* #,##0_);_(&quot;$&quot;* \(#,##0\);_(&quot;$&quot;* &quot;-&quot;??_);_(@_)"/>
      <fill>
        <patternFill>
          <fgColor indexed="64"/>
          <bgColor theme="0"/>
        </patternFill>
      </fill>
    </dxf>
    <dxf>
      <font>
        <b val="0"/>
        <i val="0"/>
        <strike val="0"/>
        <condense val="0"/>
        <extend val="0"/>
        <outline val="0"/>
        <shadow val="0"/>
        <u val="none"/>
        <vertAlign val="baseline"/>
        <sz val="10"/>
        <color auto="1"/>
        <name val="Arial"/>
        <family val="2"/>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right style="thin">
          <color indexed="64"/>
        </right>
        <top style="thin">
          <color indexed="64"/>
        </top>
        <bottom style="thin">
          <color indexed="64"/>
        </bottom>
      </border>
    </dxf>
    <dxf>
      <border outline="0">
        <left style="thin">
          <color rgb="FF000000"/>
        </left>
        <right style="thin">
          <color rgb="FF000000"/>
        </right>
        <top style="thin">
          <color rgb="FF000000"/>
        </top>
        <bottom style="thin">
          <color rgb="FF000000"/>
        </bottom>
      </border>
    </dxf>
    <dxf>
      <fill>
        <patternFill>
          <fgColor rgb="FF000000"/>
          <bgColor rgb="FFFFFFFF"/>
        </patternFill>
      </fill>
    </dxf>
    <dxf>
      <border outline="0">
        <bottom style="thin">
          <color rgb="FF000000"/>
        </bottom>
      </border>
    </dxf>
    <dxf>
      <font>
        <b/>
        <i val="0"/>
        <strike val="0"/>
        <condense val="0"/>
        <extend val="0"/>
        <outline val="0"/>
        <shadow val="0"/>
        <u val="none"/>
        <vertAlign val="baseline"/>
        <sz val="10"/>
        <color auto="1"/>
        <name val="Arial"/>
        <family val="2"/>
        <scheme val="none"/>
      </font>
      <fill>
        <patternFill patternType="solid">
          <fgColor indexed="64"/>
          <bgColor theme="0"/>
        </patternFill>
      </fill>
      <border diagonalUp="0" diagonalDown="0" outline="0">
        <left style="thin">
          <color indexed="64"/>
        </left>
        <right style="thin">
          <color indexed="64"/>
        </right>
        <top/>
        <bottom/>
      </border>
    </dxf>
    <dxf>
      <numFmt numFmtId="164" formatCode="_(&quot;$&quot;* #,##0_);_(&quot;$&quot;* \(#,##0\);_(&quot;$&quot;* &quot;-&quot;??_);_(@_)"/>
      <fill>
        <patternFill patternType="solid">
          <fgColor indexed="64"/>
          <bgColor theme="0"/>
        </patternFill>
      </fill>
      <border diagonalUp="0" diagonalDown="0">
        <left style="thin">
          <color indexed="64"/>
        </left>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0"/>
        </patternFill>
      </fill>
      <border diagonalUp="0" diagonalDown="0">
        <left/>
        <right style="thin">
          <color indexed="64"/>
        </right>
        <top style="thin">
          <color indexed="64"/>
        </top>
        <bottom style="thin">
          <color indexed="64"/>
        </bottom>
        <vertical/>
        <horizontal/>
      </border>
    </dxf>
    <dxf>
      <border outline="0">
        <left style="thin">
          <color rgb="FF000000"/>
        </left>
        <right style="thin">
          <color rgb="FF000000"/>
        </right>
      </border>
    </dxf>
    <dxf>
      <fill>
        <patternFill patternType="solid">
          <fgColor rgb="FF000000"/>
          <bgColor rgb="FFFFFFFF"/>
        </patternFill>
      </fill>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border diagonalUp="0" diagonalDown="0" outline="0">
        <left style="thin">
          <color indexed="64"/>
        </left>
        <right style="thin">
          <color indexed="64"/>
        </right>
        <top/>
        <bottom/>
      </border>
    </dxf>
    <dxf>
      <numFmt numFmtId="164" formatCode="_(&quot;$&quot;* #,##0_);_(&quot;$&quot;* \(#,##0\);_(&quot;$&quot;* &quot;-&quot;??_);_(@_)"/>
      <fill>
        <patternFill>
          <fgColor indexed="64"/>
          <bgColor theme="0"/>
        </patternFill>
      </fill>
      <border diagonalUp="0" diagonalDown="0" outline="0">
        <left style="thin">
          <color indexed="64"/>
        </left>
        <right/>
        <top style="thin">
          <color indexed="64"/>
        </top>
        <bottom style="thin">
          <color indexed="64"/>
        </bottom>
      </border>
    </dxf>
    <dxf>
      <numFmt numFmtId="164" formatCode="_(&quot;$&quot;* #,##0_);_(&quot;$&quot;* \(#,##0\);_(&quot;$&quot;* &quot;-&quot;??_);_(@_)"/>
      <fill>
        <patternFill>
          <fgColor indexed="64"/>
          <bgColor theme="0"/>
        </patternFill>
      </fill>
      <border diagonalUp="0" diagonalDown="0" outline="0">
        <left style="thin">
          <color indexed="64"/>
        </left>
        <right style="thin">
          <color indexed="64"/>
        </right>
        <top style="thin">
          <color indexed="64"/>
        </top>
        <bottom style="thin">
          <color indexed="64"/>
        </bottom>
      </border>
    </dxf>
    <dxf>
      <numFmt numFmtId="164" formatCode="_(&quot;$&quot;* #,##0_);_(&quot;$&quot;* \(#,##0\);_(&quot;$&quot;* &quot;-&quot;??_);_(@_)"/>
      <fill>
        <patternFill>
          <fgColor indexed="64"/>
          <bgColor theme="0"/>
        </patternFill>
      </fill>
      <border diagonalUp="0" diagonalDown="0" outline="0">
        <left style="thin">
          <color indexed="64"/>
        </left>
        <right style="thin">
          <color indexed="64"/>
        </right>
        <top style="thin">
          <color indexed="64"/>
        </top>
        <bottom style="thin">
          <color indexed="64"/>
        </bottom>
      </border>
    </dxf>
    <dxf>
      <numFmt numFmtId="164" formatCode="_(&quot;$&quot;* #,##0_);_(&quot;$&quot;* \(#,##0\);_(&quot;$&quot;* &quot;-&quot;??_);_(@_)"/>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ill>
        <patternFill>
          <fgColor indexed="64"/>
          <bgColor theme="0"/>
        </patternFill>
      </fill>
      <border diagonalUp="0" diagonalDown="0" outline="0">
        <left/>
        <right style="thin">
          <color indexed="64"/>
        </right>
        <top style="thin">
          <color indexed="64"/>
        </top>
        <bottom style="thin">
          <color indexed="64"/>
        </bottom>
      </border>
    </dxf>
    <dxf>
      <border outline="0">
        <left style="thin">
          <color rgb="FF000000"/>
        </left>
        <right style="thin">
          <color rgb="FF000000"/>
        </right>
        <bottom style="thin">
          <color rgb="FF000000"/>
        </bottom>
      </border>
    </dxf>
    <dxf>
      <fill>
        <patternFill>
          <fgColor rgb="FF000000"/>
          <bgColor rgb="FFFFFFFF"/>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dxf>
    <dxf>
      <numFmt numFmtId="164" formatCode="_(&quot;$&quot;* #,##0_);_(&quot;$&quot;* \(#,##0\);_(&quot;$&quot;* &quot;-&quot;??_);_(@_)"/>
      <fill>
        <patternFill>
          <fgColor indexed="64"/>
          <bgColor theme="0"/>
        </patternFill>
      </fill>
    </dxf>
    <dxf>
      <numFmt numFmtId="164" formatCode="_(&quot;$&quot;* #,##0_);_(&quot;$&quot;* \(#,##0\);_(&quot;$&quot;* &quot;-&quot;??_);_(@_)"/>
      <fill>
        <patternFill>
          <fgColor indexed="64"/>
          <bgColor theme="0"/>
        </patternFill>
      </fill>
    </dxf>
    <dxf>
      <font>
        <b val="0"/>
        <i val="0"/>
        <strike val="0"/>
        <condense val="0"/>
        <extend val="0"/>
        <outline val="0"/>
        <shadow val="0"/>
        <u val="none"/>
        <vertAlign val="baseline"/>
        <sz val="10"/>
        <color auto="1"/>
        <name val="Arial"/>
        <family val="2"/>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right style="thin">
          <color indexed="64"/>
        </right>
        <top style="thin">
          <color indexed="64"/>
        </top>
        <bottom style="thin">
          <color indexed="64"/>
        </bottom>
      </border>
    </dxf>
    <dxf>
      <border outline="0">
        <left style="thin">
          <color rgb="FF000000"/>
        </left>
        <right style="thin">
          <color rgb="FF000000"/>
        </right>
        <top style="thin">
          <color rgb="FF000000"/>
        </top>
        <bottom style="thin">
          <color rgb="FF000000"/>
        </bottom>
      </border>
    </dxf>
    <dxf>
      <fill>
        <patternFill>
          <fgColor rgb="FF000000"/>
          <bgColor rgb="FFFFFFFF"/>
        </patternFill>
      </fill>
    </dxf>
    <dxf>
      <border outline="0">
        <bottom style="thin">
          <color rgb="FF000000"/>
        </bottom>
      </border>
    </dxf>
    <dxf>
      <font>
        <b/>
        <i val="0"/>
        <strike val="0"/>
        <condense val="0"/>
        <extend val="0"/>
        <outline val="0"/>
        <shadow val="0"/>
        <u val="none"/>
        <vertAlign val="baseline"/>
        <sz val="10"/>
        <color auto="1"/>
        <name val="Arial"/>
        <family val="2"/>
        <scheme val="none"/>
      </font>
      <fill>
        <patternFill patternType="solid">
          <fgColor indexed="64"/>
          <bgColor theme="0"/>
        </patternFill>
      </fill>
      <border diagonalUp="0" diagonalDown="0" outline="0">
        <left style="thin">
          <color indexed="64"/>
        </left>
        <right style="thin">
          <color indexed="64"/>
        </right>
        <top/>
        <bottom/>
      </border>
    </dxf>
    <dxf>
      <numFmt numFmtId="164" formatCode="_(&quot;$&quot;* #,##0_);_(&quot;$&quot;* \(#,##0\);_(&quot;$&quot;* &quot;-&quot;??_);_(@_)"/>
      <fill>
        <patternFill patternType="solid">
          <fgColor indexed="64"/>
          <bgColor theme="0"/>
        </patternFill>
      </fill>
      <border diagonalUp="0" diagonalDown="0">
        <left style="thin">
          <color indexed="64"/>
        </left>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numFmt numFmtId="164" formatCode="_(&quot;$&quot;* #,##0_);_(&quot;$&quot;* \(#,##0\);_(&quot;$&quot;* &quot;-&quot;??_);_(@_)"/>
      <fill>
        <patternFill patternType="solid">
          <fgColor indexed="64"/>
          <bgColor theme="0"/>
        </patternFill>
      </fill>
      <border diagonalUp="0" diagonalDown="0">
        <left style="thin">
          <color indexed="64"/>
        </left>
        <right style="thin">
          <color indexed="64"/>
        </right>
        <top style="thin">
          <color indexed="64"/>
        </top>
        <bottom style="thin">
          <color indexed="64"/>
        </bottom>
        <vertical/>
        <horizontal/>
      </border>
    </dxf>
    <dxf>
      <fill>
        <patternFill patternType="solid">
          <fgColor indexed="64"/>
          <bgColor theme="0"/>
        </patternFill>
      </fill>
      <border diagonalUp="0" diagonalDown="0">
        <left/>
        <right style="thin">
          <color indexed="64"/>
        </right>
        <top style="thin">
          <color indexed="64"/>
        </top>
        <bottom style="thin">
          <color indexed="64"/>
        </bottom>
        <vertical/>
        <horizontal/>
      </border>
    </dxf>
    <dxf>
      <border outline="0">
        <left style="thin">
          <color indexed="64"/>
        </left>
        <right style="thin">
          <color indexed="64"/>
        </right>
      </border>
    </dxf>
    <dxf>
      <fill>
        <patternFill patternType="solid">
          <fgColor indexed="64"/>
          <bgColor theme="0"/>
        </patternFill>
      </fill>
    </dxf>
    <dxf>
      <font>
        <b/>
        <i val="0"/>
        <strike val="0"/>
        <condense val="0"/>
        <extend val="0"/>
        <outline val="0"/>
        <shadow val="0"/>
        <u val="none"/>
        <vertAlign val="baseline"/>
        <sz val="10"/>
        <color auto="1"/>
        <name val="Arial"/>
        <family val="2"/>
        <scheme val="none"/>
      </font>
      <fill>
        <patternFill patternType="none">
          <fgColor indexed="64"/>
          <bgColor indexed="65"/>
        </patternFill>
      </fill>
      <alignment horizontal="general" vertical="bottom" textRotation="0" wrapText="1" indent="0" justifyLastLine="0" shrinkToFit="0" readingOrder="0"/>
      <border diagonalUp="0" diagonalDown="0" outline="0">
        <left style="thin">
          <color indexed="64"/>
        </left>
        <right style="thin">
          <color indexed="64"/>
        </right>
        <top/>
        <bottom/>
      </border>
    </dxf>
    <dxf>
      <numFmt numFmtId="164" formatCode="_(&quot;$&quot;* #,##0_);_(&quot;$&quot;* \(#,##0\);_(&quot;$&quot;* &quot;-&quot;??_);_(@_)"/>
      <fill>
        <patternFill>
          <fgColor indexed="64"/>
          <bgColor theme="0"/>
        </patternFill>
      </fill>
      <border diagonalUp="0" diagonalDown="0" outline="0">
        <left style="thin">
          <color indexed="64"/>
        </left>
        <right/>
        <top style="thin">
          <color indexed="64"/>
        </top>
        <bottom style="thin">
          <color indexed="64"/>
        </bottom>
      </border>
    </dxf>
    <dxf>
      <numFmt numFmtId="164" formatCode="_(&quot;$&quot;* #,##0_);_(&quot;$&quot;* \(#,##0\);_(&quot;$&quot;* &quot;-&quot;??_);_(@_)"/>
      <fill>
        <patternFill>
          <fgColor indexed="64"/>
          <bgColor theme="0"/>
        </patternFill>
      </fill>
      <border diagonalUp="0" diagonalDown="0" outline="0">
        <left style="thin">
          <color indexed="64"/>
        </left>
        <right style="thin">
          <color indexed="64"/>
        </right>
        <top style="thin">
          <color indexed="64"/>
        </top>
        <bottom style="thin">
          <color indexed="64"/>
        </bottom>
      </border>
    </dxf>
    <dxf>
      <numFmt numFmtId="164" formatCode="_(&quot;$&quot;* #,##0_);_(&quot;$&quot;* \(#,##0\);_(&quot;$&quot;* &quot;-&quot;??_);_(@_)"/>
      <fill>
        <patternFill>
          <fgColor indexed="64"/>
          <bgColor theme="0"/>
        </patternFill>
      </fill>
      <border diagonalUp="0" diagonalDown="0" outline="0">
        <left style="thin">
          <color indexed="64"/>
        </left>
        <right style="thin">
          <color indexed="64"/>
        </right>
        <top style="thin">
          <color indexed="64"/>
        </top>
        <bottom style="thin">
          <color indexed="64"/>
        </bottom>
      </border>
    </dxf>
    <dxf>
      <numFmt numFmtId="164" formatCode="_(&quot;$&quot;* #,##0_);_(&quot;$&quot;* \(#,##0\);_(&quot;$&quot;* &quot;-&quot;??_);_(@_)"/>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ill>
        <patternFill>
          <fgColor indexed="64"/>
          <bgColor theme="0"/>
        </patternFill>
      </fill>
      <border diagonalUp="0" diagonalDown="0" outline="0">
        <left/>
        <right style="thin">
          <color indexed="64"/>
        </right>
        <top style="thin">
          <color indexed="64"/>
        </top>
        <bottom style="thin">
          <color indexed="64"/>
        </bottom>
      </border>
    </dxf>
    <dxf>
      <border outline="0">
        <left style="thin">
          <color indexed="64"/>
        </left>
        <right style="thin">
          <color indexed="64"/>
        </right>
        <bottom style="thin">
          <color indexed="64"/>
        </bottom>
      </border>
    </dxf>
    <dxf>
      <fill>
        <patternFill>
          <fgColor indexed="64"/>
          <bgColor theme="0"/>
        </patternFill>
      </fill>
    </dxf>
    <dxf>
      <font>
        <b/>
        <i val="0"/>
        <strike val="0"/>
        <condense val="0"/>
        <extend val="0"/>
        <outline val="0"/>
        <shadow val="0"/>
        <u val="none"/>
        <vertAlign val="baseline"/>
        <sz val="10"/>
        <color auto="1"/>
        <name val="Arial"/>
        <family val="2"/>
        <scheme val="none"/>
      </font>
      <fill>
        <patternFill patternType="none">
          <fgColor indexed="64"/>
          <bgColor auto="1"/>
        </patternFill>
      </fill>
      <alignment horizontal="general" vertical="bottom" textRotation="0" wrapText="1" indent="0" justifyLastLine="0" shrinkToFit="0" readingOrder="0"/>
      <border diagonalUp="0" diagonalDown="0" outline="0">
        <left style="thin">
          <color indexed="64"/>
        </left>
        <right style="thin">
          <color indexed="64"/>
        </right>
        <top/>
        <bottom/>
      </border>
    </dxf>
    <dxf>
      <numFmt numFmtId="164" formatCode="_(&quot;$&quot;* #,##0_);_(&quot;$&quot;* \(#,##0\);_(&quot;$&quot;* &quot;-&quot;??_);_(@_)"/>
      <fill>
        <patternFill>
          <fgColor indexed="64"/>
          <bgColor theme="0"/>
        </patternFill>
      </fill>
    </dxf>
    <dxf>
      <numFmt numFmtId="164" formatCode="_(&quot;$&quot;* #,##0_);_(&quot;$&quot;* \(#,##0\);_(&quot;$&quot;* &quot;-&quot;??_);_(@_)"/>
      <fill>
        <patternFill>
          <fgColor indexed="64"/>
          <bgColor theme="0"/>
        </patternFill>
      </fill>
    </dxf>
    <dxf>
      <font>
        <b val="0"/>
        <i val="0"/>
        <strike val="0"/>
        <condense val="0"/>
        <extend val="0"/>
        <outline val="0"/>
        <shadow val="0"/>
        <u val="none"/>
        <vertAlign val="baseline"/>
        <sz val="10"/>
        <color auto="1"/>
        <name val="Arial"/>
        <family val="2"/>
        <scheme val="none"/>
      </font>
      <fill>
        <patternFill>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theme="0"/>
        </patternFill>
      </fill>
      <border diagonalUp="0" diagonalDown="0" outline="0">
        <left/>
        <right style="thin">
          <color indexed="64"/>
        </right>
        <top style="thin">
          <color indexed="64"/>
        </top>
        <bottom style="thin">
          <color indexed="64"/>
        </bottom>
      </border>
    </dxf>
    <dxf>
      <border outline="0">
        <left style="thin">
          <color indexed="64"/>
        </left>
        <right style="thin">
          <color indexed="64"/>
        </right>
        <top style="thin">
          <color indexed="64"/>
        </top>
        <bottom style="thin">
          <color indexed="64"/>
        </bottom>
      </border>
    </dxf>
    <dxf>
      <fill>
        <patternFill>
          <fgColor indexed="64"/>
          <bgColor theme="0"/>
        </patternFill>
      </fill>
    </dxf>
    <dxf>
      <border outline="0">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patternFill>
      </fill>
      <border diagonalUp="0" diagonalDown="0" outline="0">
        <left style="thin">
          <color indexed="64"/>
        </left>
        <right style="thin">
          <color indexed="64"/>
        </right>
        <top/>
        <bottom/>
      </border>
    </dxf>
    <dxf>
      <border>
        <bottom style="double">
          <color theme="1"/>
        </bottom>
      </border>
    </dxf>
    <dxf>
      <border>
        <left style="thin">
          <color theme="1" tint="0.499984740745262"/>
        </left>
        <right style="thin">
          <color theme="1" tint="0.499984740745262"/>
        </right>
        <top style="thin">
          <color theme="1" tint="0.499984740745262"/>
        </top>
        <bottom style="thin">
          <color theme="1" tint="0.499984740745262"/>
        </bottom>
        <vertical style="thin">
          <color theme="1" tint="0.499984740745262"/>
        </vertical>
        <horizontal style="thin">
          <color theme="1" tint="0.499984740745262"/>
        </horizontal>
      </border>
    </dxf>
    <dxf>
      <border>
        <bottom style="double">
          <color auto="1"/>
        </bottom>
      </border>
    </dxf>
    <dxf>
      <fill>
        <patternFill patternType="none">
          <bgColor auto="1"/>
        </patternFill>
      </fill>
      <border>
        <left style="thin">
          <color auto="1"/>
        </left>
        <right style="thin">
          <color auto="1"/>
        </right>
        <top style="thin">
          <color auto="1"/>
        </top>
        <bottom style="thin">
          <color auto="1"/>
        </bottom>
        <vertical style="thin">
          <color auto="1"/>
        </vertical>
        <horizontal style="thin">
          <color auto="1"/>
        </horizontal>
      </border>
    </dxf>
    <dxf>
      <fill>
        <patternFill>
          <bgColor theme="3" tint="0.79998168889431442"/>
        </patternFill>
      </fill>
    </dxf>
    <dxf>
      <border>
        <bottom style="medium">
          <color theme="1"/>
        </bottom>
      </border>
    </dxf>
    <dxf>
      <fill>
        <patternFill patternType="solid">
          <bgColor theme="0"/>
        </patternFill>
      </fill>
      <border>
        <left style="thin">
          <color theme="1" tint="0.499984740745262"/>
        </left>
        <right style="thin">
          <color theme="1" tint="0.499984740745262"/>
        </right>
        <top style="thin">
          <color theme="1" tint="0.499984740745262"/>
        </top>
        <bottom style="thin">
          <color theme="1" tint="0.499984740745262"/>
        </bottom>
        <vertical style="thin">
          <color theme="1" tint="0.499984740745262"/>
        </vertical>
        <horizontal style="thin">
          <color theme="1" tint="0.499984740745262"/>
        </horizontal>
      </border>
    </dxf>
    <dxf>
      <border>
        <bottom style="thick">
          <color auto="1"/>
        </bottom>
      </border>
    </dxf>
    <dxf>
      <border diagonalUp="0" diagonalDown="0">
        <left style="thin">
          <color auto="1"/>
        </left>
        <right style="thin">
          <color auto="1"/>
        </right>
        <top style="thin">
          <color auto="1"/>
        </top>
        <bottom style="thin">
          <color auto="1"/>
        </bottom>
        <vertical style="thin">
          <color auto="1"/>
        </vertical>
        <horizontal style="thin">
          <color auto="1"/>
        </horizontal>
      </border>
    </dxf>
  </dxfs>
  <tableStyles count="6" defaultTableStyle="EH Custom" defaultPivotStyle="PivotStyleLight16">
    <tableStyle name="Custom_EH" pivot="0" count="2" xr9:uid="{193725EF-705C-4F96-99A6-F6122F41142D}">
      <tableStyleElement type="wholeTable" dxfId="307"/>
      <tableStyleElement type="headerRow" dxfId="306"/>
    </tableStyle>
    <tableStyle name="EH Custom" pivot="0" count="2" xr9:uid="{7FCDDAB6-2B49-415F-AEF2-DE3587F38A82}">
      <tableStyleElement type="wholeTable" dxfId="305"/>
      <tableStyleElement type="headerRow" dxfId="304"/>
    </tableStyle>
    <tableStyle name="Table Style 1" pivot="0" count="0" xr9:uid="{7CD00F2E-58A2-47A8-ADDC-D5ED16375A34}"/>
    <tableStyle name="Table Style 2" pivot="0" count="1" xr9:uid="{2ADC96FD-9937-4368-98D9-31BF8BF4F4CA}">
      <tableStyleElement type="headerRow" dxfId="303"/>
    </tableStyle>
    <tableStyle name="Table Style 3" pivot="0" count="2" xr9:uid="{4E2B38C1-1540-44D0-AB8D-340C740B1890}">
      <tableStyleElement type="wholeTable" dxfId="302"/>
      <tableStyleElement type="headerRow" dxfId="301"/>
    </tableStyle>
    <tableStyle name="Table Style 4" pivot="0" count="2" xr9:uid="{F7FB6347-CEC5-4FDB-B05B-E2627AE4D5E0}">
      <tableStyleElement type="wholeTable" dxfId="300"/>
      <tableStyleElement type="headerRow" dxfId="299"/>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88888"/>
      <rgbColor rgb="009999FF"/>
      <rgbColor rgb="00993366"/>
      <rgbColor rgb="00FFFF99"/>
      <rgbColor rgb="00CCFFFF"/>
      <rgbColor rgb="00660066"/>
      <rgbColor rgb="00FF8080"/>
      <rgbColor rgb="00666699"/>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808000"/>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47C08"/>
      <color rgb="FF7F7F7F"/>
      <color rgb="FF44546A"/>
      <color rgb="FFBF9000"/>
      <color rgb="FF9999FF"/>
      <color rgb="FF000000"/>
      <color rgb="FFFFF6DD"/>
      <color rgb="FFD7DDE5"/>
      <color rgb="FFD9DFE7"/>
      <color rgb="FFED7D3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microsoft.com/office/2023/09/relationships/Python" Target="pytho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6.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Ex1.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Ex2.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Ex3.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Monthly</a:t>
            </a:r>
            <a:r>
              <a:rPr lang="en-US" baseline="0"/>
              <a:t> Principal &amp; Interest</a:t>
            </a:r>
          </a:p>
          <a:p>
            <a:pPr>
              <a:defRPr/>
            </a:pPr>
            <a:r>
              <a:rPr lang="en-US" baseline="0"/>
              <a:t>With &amp; Without Extra Principal Payments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'Monthly Amort. Sch.'!$N$17</c:f>
              <c:strCache>
                <c:ptCount val="1"/>
                <c:pt idx="0">
                  <c:v>Interest With Extra Principal Payments Visual</c:v>
                </c:pt>
              </c:strCache>
            </c:strRef>
          </c:tx>
          <c:spPr>
            <a:ln w="28575" cap="rnd">
              <a:solidFill>
                <a:schemeClr val="tx2">
                  <a:lumMod val="60000"/>
                  <a:lumOff val="40000"/>
                </a:schemeClr>
              </a:solidFill>
              <a:round/>
            </a:ln>
            <a:effectLst/>
          </c:spPr>
          <c:marker>
            <c:symbol val="none"/>
          </c:marker>
          <c:cat>
            <c:numRef>
              <c:f>'Monthly Amort. Sch.'!$K$18:$K$377</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cat>
          <c:val>
            <c:numRef>
              <c:f>'Monthly Amort. Sch.'!$N$18:$N$377</c:f>
              <c:numCache>
                <c:formatCode>_("$"* #,##0.00_);_("$"* \(#,##0.00\);_("$"* "-"??_);_(@_)</c:formatCode>
                <c:ptCount val="360"/>
                <c:pt idx="0">
                  <c:v>2520</c:v>
                </c:pt>
                <c:pt idx="1">
                  <c:v>2517.2932096878376</c:v>
                </c:pt>
                <c:pt idx="2">
                  <c:v>2514.5737876875519</c:v>
                </c:pt>
                <c:pt idx="3">
                  <c:v>2511.8416750512642</c:v>
                </c:pt>
                <c:pt idx="4">
                  <c:v>2509.0968125560075</c:v>
                </c:pt>
                <c:pt idx="5">
                  <c:v>2506.3391407024396</c:v>
                </c:pt>
                <c:pt idx="6">
                  <c:v>2503.5685997135552</c:v>
                </c:pt>
                <c:pt idx="7">
                  <c:v>2500.785129533389</c:v>
                </c:pt>
                <c:pt idx="8">
                  <c:v>2497.9886698257155</c:v>
                </c:pt>
                <c:pt idx="9">
                  <c:v>2495.1791599727394</c:v>
                </c:pt>
                <c:pt idx="10">
                  <c:v>2490.0232057404501</c:v>
                </c:pt>
                <c:pt idx="11">
                  <c:v>2487.1765237217428</c:v>
                </c:pt>
                <c:pt idx="12">
                  <c:v>2484.3165571869481</c:v>
                </c:pt>
                <c:pt idx="13">
                  <c:v>2481.4432441416584</c:v>
                </c:pt>
                <c:pt idx="14">
                  <c:v>2478.5565223021563</c:v>
                </c:pt>
                <c:pt idx="15">
                  <c:v>2475.6563290940708</c:v>
                </c:pt>
                <c:pt idx="16">
                  <c:v>2472.7426016510135</c:v>
                </c:pt>
                <c:pt idx="17">
                  <c:v>2469.8152768132222</c:v>
                </c:pt>
                <c:pt idx="18">
                  <c:v>2466.8742911261879</c:v>
                </c:pt>
                <c:pt idx="19">
                  <c:v>2463.919580839281</c:v>
                </c:pt>
                <c:pt idx="20">
                  <c:v>2458.617748571035</c:v>
                </c:pt>
                <c:pt idx="21">
                  <c:v>2455.6245077522044</c:v>
                </c:pt>
                <c:pt idx="22">
                  <c:v>2452.6172984762188</c:v>
                </c:pt>
                <c:pt idx="23">
                  <c:v>2449.596055556945</c:v>
                </c:pt>
                <c:pt idx="24">
                  <c:v>2446.5607135040482</c:v>
                </c:pt>
                <c:pt idx="25">
                  <c:v>2443.5112065215712</c:v>
                </c:pt>
                <c:pt idx="26">
                  <c:v>2440.4474685065093</c:v>
                </c:pt>
                <c:pt idx="27">
                  <c:v>2437.3694330473768</c:v>
                </c:pt>
                <c:pt idx="28">
                  <c:v>2434.2770334227689</c:v>
                </c:pt>
                <c:pt idx="29">
                  <c:v>2431.1702025999125</c:v>
                </c:pt>
                <c:pt idx="30">
                  <c:v>2425.715539899883</c:v>
                </c:pt>
                <c:pt idx="31">
                  <c:v>2422.5687554405863</c:v>
                </c:pt>
                <c:pt idx="32">
                  <c:v>2419.4072859871467</c:v>
                </c:pt>
                <c:pt idx="33">
                  <c:v>2416.2310630095908</c:v>
                </c:pt>
                <c:pt idx="34">
                  <c:v>2413.0400176581397</c:v>
                </c:pt>
                <c:pt idx="35">
                  <c:v>2409.8340807617151</c:v>
                </c:pt>
                <c:pt idx="36">
                  <c:v>2406.6131828264406</c:v>
                </c:pt>
                <c:pt idx="37">
                  <c:v>2403.3772540341347</c:v>
                </c:pt>
                <c:pt idx="38">
                  <c:v>2400.1262242407984</c:v>
                </c:pt>
                <c:pt idx="39">
                  <c:v>2396.8600229750923</c:v>
                </c:pt>
                <c:pt idx="40">
                  <c:v>2388.911912770147</c:v>
                </c:pt>
                <c:pt idx="41">
                  <c:v>2385.5933780509117</c:v>
                </c:pt>
                <c:pt idx="42">
                  <c:v>2382.25935683632</c:v>
                </c:pt>
                <c:pt idx="43">
                  <c:v>2378.9097768560605</c:v>
                </c:pt>
                <c:pt idx="44">
                  <c:v>2375.5445655025596</c:v>
                </c:pt>
                <c:pt idx="45">
                  <c:v>2372.1636498294088</c:v>
                </c:pt>
                <c:pt idx="46">
                  <c:v>2368.7669565497836</c:v>
                </c:pt>
                <c:pt idx="47">
                  <c:v>2365.3544120348533</c:v>
                </c:pt>
                <c:pt idx="48">
                  <c:v>2361.9259423121871</c:v>
                </c:pt>
                <c:pt idx="49">
                  <c:v>2358.4814730641478</c:v>
                </c:pt>
                <c:pt idx="50">
                  <c:v>2352.6875962929512</c:v>
                </c:pt>
                <c:pt idx="51">
                  <c:v>2349.200014763489</c:v>
                </c:pt>
                <c:pt idx="52">
                  <c:v>2345.6961578535561</c:v>
                </c:pt>
                <c:pt idx="53">
                  <c:v>2342.1759496113768</c:v>
                </c:pt>
                <c:pt idx="54">
                  <c:v>2338.6393137307336</c:v>
                </c:pt>
                <c:pt idx="55">
                  <c:v>2335.0861735493145</c:v>
                </c:pt>
                <c:pt idx="56">
                  <c:v>2331.5164520470489</c:v>
                </c:pt>
                <c:pt idx="57">
                  <c:v>2327.9300718444392</c:v>
                </c:pt>
                <c:pt idx="58">
                  <c:v>2324.3269552008842</c:v>
                </c:pt>
                <c:pt idx="59">
                  <c:v>2320.7070240129924</c:v>
                </c:pt>
                <c:pt idx="60">
                  <c:v>2293.7368664795572</c:v>
                </c:pt>
                <c:pt idx="61">
                  <c:v>2289.9741815442994</c:v>
                </c:pt>
                <c:pt idx="62">
                  <c:v>2286.1939374126769</c:v>
                </c:pt>
                <c:pt idx="63">
                  <c:v>2282.396052141773</c:v>
                </c:pt>
                <c:pt idx="64">
                  <c:v>2278.580443406272</c:v>
                </c:pt>
                <c:pt idx="65">
                  <c:v>2274.7470284966721</c:v>
                </c:pt>
                <c:pt idx="66">
                  <c:v>2270.8957243174941</c:v>
                </c:pt>
                <c:pt idx="67">
                  <c:v>2267.0264473854795</c:v>
                </c:pt>
                <c:pt idx="68">
                  <c:v>2263.1391138277827</c:v>
                </c:pt>
                <c:pt idx="69">
                  <c:v>2259.2336393801497</c:v>
                </c:pt>
                <c:pt idx="70">
                  <c:v>2252.9766060517613</c:v>
                </c:pt>
                <c:pt idx="71">
                  <c:v>2249.0237065678402</c:v>
                </c:pt>
                <c:pt idx="72">
                  <c:v>2245.0523602196608</c:v>
                </c:pt>
                <c:pt idx="73">
                  <c:v>2241.0624809218566</c:v>
                </c:pt>
                <c:pt idx="74">
                  <c:v>2237.0539821873294</c:v>
                </c:pt>
                <c:pt idx="75">
                  <c:v>2233.0267771253743</c:v>
                </c:pt>
                <c:pt idx="76">
                  <c:v>2228.9807784397972</c:v>
                </c:pt>
                <c:pt idx="77">
                  <c:v>2224.9158984270202</c:v>
                </c:pt>
                <c:pt idx="78">
                  <c:v>2220.8320489741836</c:v>
                </c:pt>
                <c:pt idx="79">
                  <c:v>2216.729141557234</c:v>
                </c:pt>
                <c:pt idx="80">
                  <c:v>2210.273753905672</c:v>
                </c:pt>
                <c:pt idx="81">
                  <c:v>2206.1215744450692</c:v>
                </c:pt>
                <c:pt idx="82">
                  <c:v>2201.9500181469839</c:v>
                </c:pt>
                <c:pt idx="83">
                  <c:v>2197.7589945861737</c:v>
                </c:pt>
                <c:pt idx="84">
                  <c:v>2193.5484129154133</c:v>
                </c:pt>
                <c:pt idx="85">
                  <c:v>2189.3181818635226</c:v>
                </c:pt>
                <c:pt idx="86">
                  <c:v>2185.0682097333902</c:v>
                </c:pt>
                <c:pt idx="87">
                  <c:v>2180.7984043999832</c:v>
                </c:pt>
                <c:pt idx="88">
                  <c:v>2176.5086733083535</c:v>
                </c:pt>
                <c:pt idx="89">
                  <c:v>2172.1989234716302</c:v>
                </c:pt>
                <c:pt idx="90">
                  <c:v>2149.2023948023352</c:v>
                </c:pt>
                <c:pt idx="91">
                  <c:v>2144.7652156659169</c:v>
                </c:pt>
                <c:pt idx="92">
                  <c:v>2140.3073296935286</c:v>
                </c:pt>
                <c:pt idx="93">
                  <c:v>2135.8286402532694</c:v>
                </c:pt>
                <c:pt idx="94">
                  <c:v>2131.3290502622885</c:v>
                </c:pt>
                <c:pt idx="95">
                  <c:v>2126.8084621846833</c:v>
                </c:pt>
                <c:pt idx="96">
                  <c:v>2122.2667780293827</c:v>
                </c:pt>
                <c:pt idx="97">
                  <c:v>2117.7038993480242</c:v>
                </c:pt>
                <c:pt idx="98">
                  <c:v>2113.1197272328186</c:v>
                </c:pt>
                <c:pt idx="99">
                  <c:v>2108.5141623144091</c:v>
                </c:pt>
                <c:pt idx="100">
                  <c:v>2089.887104759714</c:v>
                </c:pt>
                <c:pt idx="101">
                  <c:v>2085.1731209364302</c:v>
                </c:pt>
                <c:pt idx="102">
                  <c:v>2080.4371385219711</c:v>
                </c:pt>
                <c:pt idx="103">
                  <c:v>2075.679054856244</c:v>
                </c:pt>
                <c:pt idx="104">
                  <c:v>2070.8987668000773</c:v>
                </c:pt>
                <c:pt idx="105">
                  <c:v>2066.096170732982</c:v>
                </c:pt>
                <c:pt idx="106">
                  <c:v>2061.2711625509069</c:v>
                </c:pt>
                <c:pt idx="107">
                  <c:v>2056.4236376639819</c:v>
                </c:pt>
                <c:pt idx="108">
                  <c:v>2051.5534909942512</c:v>
                </c:pt>
                <c:pt idx="109">
                  <c:v>2046.6606169733948</c:v>
                </c:pt>
                <c:pt idx="110">
                  <c:v>2039.4115762071081</c:v>
                </c:pt>
                <c:pt idx="111">
                  <c:v>2034.4620399172452</c:v>
                </c:pt>
                <c:pt idx="112">
                  <c:v>2029.4894057913632</c:v>
                </c:pt>
                <c:pt idx="113">
                  <c:v>2024.4935660395604</c:v>
                </c:pt>
                <c:pt idx="114">
                  <c:v>2019.4744123689156</c:v>
                </c:pt>
                <c:pt idx="115">
                  <c:v>2014.4318359811414</c:v>
                </c:pt>
                <c:pt idx="116">
                  <c:v>2009.3657275702242</c:v>
                </c:pt>
                <c:pt idx="117">
                  <c:v>2004.275977320056</c:v>
                </c:pt>
                <c:pt idx="118">
                  <c:v>1999.1624749020539</c:v>
                </c:pt>
                <c:pt idx="119">
                  <c:v>1994.0251094727676</c:v>
                </c:pt>
                <c:pt idx="120">
                  <c:v>1970.1971030048112</c:v>
                </c:pt>
                <c:pt idx="121">
                  <c:v>1964.9245658400043</c:v>
                </c:pt>
                <c:pt idx="122">
                  <c:v>1959.6274235017618</c:v>
                </c:pt>
                <c:pt idx="123">
                  <c:v>1954.3055611659408</c:v>
                </c:pt>
                <c:pt idx="124">
                  <c:v>1948.9588634725526</c:v>
                </c:pt>
                <c:pt idx="125">
                  <c:v>1943.5872145232618</c:v>
                </c:pt>
                <c:pt idx="126">
                  <c:v>1938.1904978788743</c:v>
                </c:pt>
                <c:pt idx="127">
                  <c:v>1932.7685965568132</c:v>
                </c:pt>
                <c:pt idx="128">
                  <c:v>1927.3213930285826</c:v>
                </c:pt>
                <c:pt idx="129">
                  <c:v>1921.84876921722</c:v>
                </c:pt>
                <c:pt idx="130">
                  <c:v>1914.0172731614043</c:v>
                </c:pt>
                <c:pt idx="131">
                  <c:v>1908.4825634573283</c:v>
                </c:pt>
                <c:pt idx="132">
                  <c:v>1902.9220251079669</c:v>
                </c:pt>
                <c:pt idx="133">
                  <c:v>1897.3355375796414</c:v>
                </c:pt>
                <c:pt idx="134">
                  <c:v>1891.7229797761838</c:v>
                </c:pt>
                <c:pt idx="135">
                  <c:v>1886.0842300363101</c:v>
                </c:pt>
                <c:pt idx="136">
                  <c:v>1880.4191661309835</c:v>
                </c:pt>
                <c:pt idx="137">
                  <c:v>1874.7276652607654</c:v>
                </c:pt>
                <c:pt idx="138">
                  <c:v>1869.0096040531532</c:v>
                </c:pt>
                <c:pt idx="139">
                  <c:v>1863.2648585599052</c:v>
                </c:pt>
                <c:pt idx="140">
                  <c:v>1822.4933042543555</c:v>
                </c:pt>
                <c:pt idx="141">
                  <c:v>1816.5314826953797</c:v>
                </c:pt>
                <c:pt idx="142">
                  <c:v>1810.5418393024622</c:v>
                </c:pt>
                <c:pt idx="143">
                  <c:v>1804.524244240378</c:v>
                </c:pt>
                <c:pt idx="144">
                  <c:v>1798.4785670680039</c:v>
                </c:pt>
                <c:pt idx="145">
                  <c:v>1792.4046767354921</c:v>
                </c:pt>
                <c:pt idx="146">
                  <c:v>1786.3024415814284</c:v>
                </c:pt>
                <c:pt idx="147">
                  <c:v>1780.1717293299789</c:v>
                </c:pt>
                <c:pt idx="148">
                  <c:v>1774.0124070880231</c:v>
                </c:pt>
                <c:pt idx="149">
                  <c:v>1767.8243413422713</c:v>
                </c:pt>
                <c:pt idx="150">
                  <c:v>1756.0073979563726</c:v>
                </c:pt>
                <c:pt idx="151">
                  <c:v>1749.7353088346731</c:v>
                </c:pt>
                <c:pt idx="152">
                  <c:v>1743.433949963739</c:v>
                </c:pt>
                <c:pt idx="153">
                  <c:v>1737.1031847514071</c:v>
                </c:pt>
                <c:pt idx="154">
                  <c:v>1730.7428759680845</c:v>
                </c:pt>
                <c:pt idx="155">
                  <c:v>1724.352885743773</c:v>
                </c:pt>
                <c:pt idx="156">
                  <c:v>1717.9330755650815</c:v>
                </c:pt>
                <c:pt idx="157">
                  <c:v>1711.4833062722228</c:v>
                </c:pt>
                <c:pt idx="158">
                  <c:v>1705.0034380559971</c:v>
                </c:pt>
                <c:pt idx="159">
                  <c:v>1698.4933304547626</c:v>
                </c:pt>
                <c:pt idx="160">
                  <c:v>1691.7195090180555</c:v>
                </c:pt>
                <c:pt idx="161">
                  <c:v>1685.1474097479772</c:v>
                </c:pt>
                <c:pt idx="162">
                  <c:v>1678.5446406813053</c:v>
                </c:pt>
                <c:pt idx="163">
                  <c:v>1671.9110586923221</c:v>
                </c:pt>
                <c:pt idx="164">
                  <c:v>1665.2465199873905</c:v>
                </c:pt>
                <c:pt idx="165">
                  <c:v>1658.5508801018357</c:v>
                </c:pt>
                <c:pt idx="166">
                  <c:v>1651.823993896815</c:v>
                </c:pt>
                <c:pt idx="167">
                  <c:v>1645.0657155561707</c:v>
                </c:pt>
                <c:pt idx="168">
                  <c:v>1638.2758985832702</c:v>
                </c:pt>
                <c:pt idx="169">
                  <c:v>1631.4543957978294</c:v>
                </c:pt>
                <c:pt idx="170">
                  <c:v>1623.4343926660567</c:v>
                </c:pt>
                <c:pt idx="171">
                  <c:v>1616.5436295196691</c:v>
                </c:pt>
                <c:pt idx="172">
                  <c:v>1609.6207094785982</c:v>
                </c:pt>
                <c:pt idx="173">
                  <c:v>1602.6654824773357</c:v>
                </c:pt>
                <c:pt idx="174">
                  <c:v>1595.6777977500676</c:v>
                </c:pt>
                <c:pt idx="175">
                  <c:v>1588.6575038274052</c:v>
                </c:pt>
                <c:pt idx="176">
                  <c:v>1581.6044485331038</c:v>
                </c:pt>
                <c:pt idx="177">
                  <c:v>1574.5184789807624</c:v>
                </c:pt>
                <c:pt idx="178">
                  <c:v>1567.3994415705101</c:v>
                </c:pt>
                <c:pt idx="179">
                  <c:v>1560.2471819856767</c:v>
                </c:pt>
                <c:pt idx="180">
                  <c:v>1550.7282118561138</c:v>
                </c:pt>
                <c:pt idx="181">
                  <c:v>1543.4981531992798</c:v>
                </c:pt>
                <c:pt idx="182">
                  <c:v>1536.234354268714</c:v>
                </c:pt>
                <c:pt idx="183">
                  <c:v>1528.9366576098053</c:v>
                </c:pt>
                <c:pt idx="184">
                  <c:v>1521.6049050331551</c:v>
                </c:pt>
                <c:pt idx="185">
                  <c:v>1514.2389376111473</c:v>
                </c:pt>
                <c:pt idx="186">
                  <c:v>1506.8385956745033</c:v>
                </c:pt>
                <c:pt idx="187">
                  <c:v>1499.4037188088218</c:v>
                </c:pt>
                <c:pt idx="188">
                  <c:v>1491.9341458511003</c:v>
                </c:pt>
                <c:pt idx="189">
                  <c:v>1484.4297148862427</c:v>
                </c:pt>
                <c:pt idx="190">
                  <c:v>1474.556929910216</c:v>
                </c:pt>
                <c:pt idx="191">
                  <c:v>1466.9714052709678</c:v>
                </c:pt>
                <c:pt idx="192">
                  <c:v>1459.3504815167366</c:v>
                </c:pt>
                <c:pt idx="193">
                  <c:v>1451.6939934516522</c:v>
                </c:pt>
                <c:pt idx="194">
                  <c:v>1444.0017751089308</c:v>
                </c:pt>
                <c:pt idx="195">
                  <c:v>1436.2736597472765</c:v>
                </c:pt>
                <c:pt idx="196">
                  <c:v>1428.509479847268</c:v>
                </c:pt>
                <c:pt idx="197">
                  <c:v>1420.709067107726</c:v>
                </c:pt>
                <c:pt idx="198">
                  <c:v>1412.8722524420662</c:v>
                </c:pt>
                <c:pt idx="199">
                  <c:v>1404.9988659746334</c:v>
                </c:pt>
                <c:pt idx="200">
                  <c:v>1394.7554037036857</c:v>
                </c:pt>
                <c:pt idx="201">
                  <c:v>1386.7974719421402</c:v>
                </c:pt>
                <c:pt idx="202">
                  <c:v>1378.8024031657078</c:v>
                </c:pt>
                <c:pt idx="203">
                  <c:v>1370.7700240683184</c:v>
                </c:pt>
                <c:pt idx="204">
                  <c:v>1362.7001605351413</c:v>
                </c:pt>
                <c:pt idx="205">
                  <c:v>1354.5926376388095</c:v>
                </c:pt>
                <c:pt idx="206">
                  <c:v>1346.4472796356281</c:v>
                </c:pt>
                <c:pt idx="207">
                  <c:v>1338.263909961765</c:v>
                </c:pt>
                <c:pt idx="208">
                  <c:v>1330.042351229424</c:v>
                </c:pt>
                <c:pt idx="209">
                  <c:v>1321.7824252229987</c:v>
                </c:pt>
                <c:pt idx="210">
                  <c:v>1309.98395289521</c:v>
                </c:pt>
                <c:pt idx="211">
                  <c:v>1301.6304210298917</c:v>
                </c:pt>
                <c:pt idx="212">
                  <c:v>1293.2379060158687</c:v>
                </c:pt>
                <c:pt idx="213">
                  <c:v>1284.8062259317801</c:v>
                </c:pt>
                <c:pt idx="214">
                  <c:v>1276.3351980072991</c:v>
                </c:pt>
                <c:pt idx="215">
                  <c:v>1267.8246386191706</c:v>
                </c:pt>
                <c:pt idx="216">
                  <c:v>1259.2743632872309</c:v>
                </c:pt>
                <c:pt idx="217">
                  <c:v>1250.6841866704085</c:v>
                </c:pt>
                <c:pt idx="218">
                  <c:v>1242.0539225627081</c:v>
                </c:pt>
                <c:pt idx="219">
                  <c:v>1233.3833838891715</c:v>
                </c:pt>
                <c:pt idx="220">
                  <c:v>1222.3390493684917</c:v>
                </c:pt>
                <c:pt idx="221">
                  <c:v>1213.5765079533821</c:v>
                </c:pt>
                <c:pt idx="222">
                  <c:v>1204.7730746783354</c:v>
                </c:pt>
                <c:pt idx="223">
                  <c:v>1195.9285587146717</c:v>
                </c:pt>
                <c:pt idx="224">
                  <c:v>1187.0427683431776</c:v>
                </c:pt>
                <c:pt idx="225">
                  <c:v>1178.1155109499498</c:v>
                </c:pt>
                <c:pt idx="226">
                  <c:v>1169.1465930222203</c:v>
                </c:pt>
                <c:pt idx="227">
                  <c:v>1160.1358201441615</c:v>
                </c:pt>
                <c:pt idx="228">
                  <c:v>1151.0829969926715</c:v>
                </c:pt>
                <c:pt idx="229">
                  <c:v>1141.9879273331414</c:v>
                </c:pt>
                <c:pt idx="230">
                  <c:v>1130.5170806818669</c:v>
                </c:pt>
                <c:pt idx="231">
                  <c:v>1121.3260367462196</c:v>
                </c:pt>
                <c:pt idx="232">
                  <c:v>1112.0921012722063</c:v>
                </c:pt>
                <c:pt idx="233">
                  <c:v>1102.815074099314</c:v>
                </c:pt>
                <c:pt idx="234">
                  <c:v>1093.4947541329482</c:v>
                </c:pt>
                <c:pt idx="235">
                  <c:v>1084.1309393400727</c:v>
                </c:pt>
                <c:pt idx="236">
                  <c:v>1074.7234267448305</c:v>
                </c:pt>
                <c:pt idx="237">
                  <c:v>1065.2720124241437</c:v>
                </c:pt>
                <c:pt idx="238">
                  <c:v>1055.7764915032938</c:v>
                </c:pt>
                <c:pt idx="239">
                  <c:v>1046.23665815148</c:v>
                </c:pt>
                <c:pt idx="240">
                  <c:v>1034.3189722440243</c:v>
                </c:pt>
                <c:pt idx="241">
                  <c:v>1024.6790038023339</c:v>
                </c:pt>
                <c:pt idx="242">
                  <c:v>1014.9940488412489</c:v>
                </c:pt>
                <c:pt idx="243">
                  <c:v>1005.2638974236788</c:v>
                </c:pt>
                <c:pt idx="244">
                  <c:v>995.48833863282675</c:v>
                </c:pt>
                <c:pt idx="245">
                  <c:v>985.66716056761732</c:v>
                </c:pt>
                <c:pt idx="246">
                  <c:v>975.80015033810366</c:v>
                </c:pt>
                <c:pt idx="247">
                  <c:v>965.88709406085229</c:v>
                </c:pt>
                <c:pt idx="248">
                  <c:v>955.92777685430701</c:v>
                </c:pt>
                <c:pt idx="249">
                  <c:v>945.9219828341312</c:v>
                </c:pt>
                <c:pt idx="250">
                  <c:v>933.5361617751945</c:v>
                </c:pt>
                <c:pt idx="251">
                  <c:v>923.42587355131616</c:v>
                </c:pt>
                <c:pt idx="252">
                  <c:v>913.26840398239301</c:v>
                </c:pt>
                <c:pt idx="253">
                  <c:v>903.06353288881496</c:v>
                </c:pt>
                <c:pt idx="254">
                  <c:v>892.81103906346686</c:v>
                </c:pt>
                <c:pt idx="255">
                  <c:v>882.51070026693378</c:v>
                </c:pt>
                <c:pt idx="256">
                  <c:v>872.16229322268362</c:v>
                </c:pt>
                <c:pt idx="257">
                  <c:v>861.76559361222689</c:v>
                </c:pt>
                <c:pt idx="258">
                  <c:v>851.32037607025484</c:v>
                </c:pt>
                <c:pt idx="259">
                  <c:v>840.82641417975344</c:v>
                </c:pt>
                <c:pt idx="260">
                  <c:v>827.95014713376304</c:v>
                </c:pt>
                <c:pt idx="261">
                  <c:v>817.34712417489141</c:v>
                </c:pt>
                <c:pt idx="262">
                  <c:v>806.69462044221166</c:v>
                </c:pt>
                <c:pt idx="263">
                  <c:v>795.99240502544615</c:v>
                </c:pt>
                <c:pt idx="264">
                  <c:v>785.24024593673562</c:v>
                </c:pt>
                <c:pt idx="265">
                  <c:v>774.43791010561119</c:v>
                </c:pt>
                <c:pt idx="266">
                  <c:v>763.58516337394155</c:v>
                </c:pt>
                <c:pt idx="267">
                  <c:v>752.68177049085739</c:v>
                </c:pt>
                <c:pt idx="268">
                  <c:v>741.7274951076522</c:v>
                </c:pt>
                <c:pt idx="269">
                  <c:v>730.72209977265857</c:v>
                </c:pt>
                <c:pt idx="270">
                  <c:v>717.33201259276836</c:v>
                </c:pt>
                <c:pt idx="271">
                  <c:v>706.21277167270546</c:v>
                </c:pt>
                <c:pt idx="272">
                  <c:v>695.04164096168222</c:v>
                </c:pt>
                <c:pt idx="273">
                  <c:v>683.81837830734071</c:v>
                </c:pt>
                <c:pt idx="274">
                  <c:v>672.54274042727911</c:v>
                </c:pt>
                <c:pt idx="275">
                  <c:v>661.21448290377714</c:v>
                </c:pt>
                <c:pt idx="276">
                  <c:v>649.83336017849899</c:v>
                </c:pt>
                <c:pt idx="277">
                  <c:v>638.39912554716943</c:v>
                </c:pt>
                <c:pt idx="278">
                  <c:v>626.91153115422696</c:v>
                </c:pt>
                <c:pt idx="279">
                  <c:v>615.37032798745076</c:v>
                </c:pt>
                <c:pt idx="280">
                  <c:v>601.44193253922958</c:v>
                </c:pt>
                <c:pt idx="281">
                  <c:v>589.78187124558349</c:v>
                </c:pt>
                <c:pt idx="282">
                  <c:v>578.06739633256689</c:v>
                </c:pt>
                <c:pt idx="283">
                  <c:v>566.2982538699564</c:v>
                </c:pt>
                <c:pt idx="284">
                  <c:v>554.47418874252025</c:v>
                </c:pt>
                <c:pt idx="285">
                  <c:v>542.59494464448949</c:v>
                </c:pt>
                <c:pt idx="286">
                  <c:v>530.66026407400125</c:v>
                </c:pt>
                <c:pt idx="287">
                  <c:v>518.66988832751736</c:v>
                </c:pt>
                <c:pt idx="288">
                  <c:v>506.62355749421647</c:v>
                </c:pt>
                <c:pt idx="289">
                  <c:v>494.52101045036022</c:v>
                </c:pt>
                <c:pt idx="290">
                  <c:v>482.36198485363263</c:v>
                </c:pt>
                <c:pt idx="291">
                  <c:v>470.14621713745373</c:v>
                </c:pt>
                <c:pt idx="292">
                  <c:v>457.87344250526593</c:v>
                </c:pt>
                <c:pt idx="293">
                  <c:v>445.5433949247946</c:v>
                </c:pt>
                <c:pt idx="294">
                  <c:v>433.15580712228109</c:v>
                </c:pt>
                <c:pt idx="295">
                  <c:v>411.37707724335587</c:v>
                </c:pt>
                <c:pt idx="296">
                  <c:v>398.83004662499559</c:v>
                </c:pt>
                <c:pt idx="297">
                  <c:v>386.22446319708303</c:v>
                </c:pt>
                <c:pt idx="298">
                  <c:v>373.56005371317355</c:v>
                </c:pt>
                <c:pt idx="299">
                  <c:v>360.8365436516724</c:v>
                </c:pt>
                <c:pt idx="300">
                  <c:v>341.05365720988431</c:v>
                </c:pt>
                <c:pt idx="301">
                  <c:v>328.17845063136781</c:v>
                </c:pt>
                <c:pt idx="302">
                  <c:v>315.24315975548501</c:v>
                </c:pt>
                <c:pt idx="303">
                  <c:v>302.24750418884804</c:v>
                </c:pt>
                <c:pt idx="304">
                  <c:v>289.19120222956678</c:v>
                </c:pt>
                <c:pt idx="305">
                  <c:v>276.07397086114219</c:v>
                </c:pt>
                <c:pt idx="306">
                  <c:v>262.8955257463316</c:v>
                </c:pt>
                <c:pt idx="307">
                  <c:v>249.65558122098523</c:v>
                </c:pt>
                <c:pt idx="308">
                  <c:v>236.35385028785393</c:v>
                </c:pt>
                <c:pt idx="309">
                  <c:v>222.99004461036802</c:v>
                </c:pt>
                <c:pt idx="310">
                  <c:v>209.56387450638718</c:v>
                </c:pt>
                <c:pt idx="311">
                  <c:v>196.07504894192107</c:v>
                </c:pt>
                <c:pt idx="312">
                  <c:v>182.5232755248208</c:v>
                </c:pt>
                <c:pt idx="313">
                  <c:v>168.90826049844071</c:v>
                </c:pt>
                <c:pt idx="314">
                  <c:v>155.22970873527086</c:v>
                </c:pt>
                <c:pt idx="315">
                  <c:v>141.48732373053954</c:v>
                </c:pt>
                <c:pt idx="316">
                  <c:v>127.68080759578618</c:v>
                </c:pt>
                <c:pt idx="317">
                  <c:v>113.80986105240393</c:v>
                </c:pt>
                <c:pt idx="318">
                  <c:v>99.87418342515258</c:v>
                </c:pt>
                <c:pt idx="319">
                  <c:v>85.873472635640709</c:v>
                </c:pt>
                <c:pt idx="320">
                  <c:v>71.807425195777796</c:v>
                </c:pt>
                <c:pt idx="321">
                  <c:v>57.675736201195519</c:v>
                </c:pt>
                <c:pt idx="322">
                  <c:v>43.478099324638521</c:v>
                </c:pt>
                <c:pt idx="323">
                  <c:v>29.214206809324267</c:v>
                </c:pt>
                <c:pt idx="324">
                  <c:v>14.883749462271874</c:v>
                </c:pt>
                <c:pt idx="325">
                  <c:v>0.48641664759990305</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numCache>
            </c:numRef>
          </c:val>
          <c:smooth val="0"/>
          <c:extLst>
            <c:ext xmlns:c16="http://schemas.microsoft.com/office/drawing/2014/chart" uri="{C3380CC4-5D6E-409C-BE32-E72D297353CC}">
              <c16:uniqueId val="{00000000-E16E-4C00-853D-219F657F5C7A}"/>
            </c:ext>
          </c:extLst>
        </c:ser>
        <c:ser>
          <c:idx val="1"/>
          <c:order val="1"/>
          <c:tx>
            <c:strRef>
              <c:f>'Monthly Amort. Sch.'!$O$17</c:f>
              <c:strCache>
                <c:ptCount val="1"/>
                <c:pt idx="0">
                  <c:v>Principal With Extra Principal Payments Visual</c:v>
                </c:pt>
              </c:strCache>
            </c:strRef>
          </c:tx>
          <c:spPr>
            <a:ln w="28575" cap="rnd">
              <a:solidFill>
                <a:schemeClr val="accent4">
                  <a:lumMod val="75000"/>
                </a:schemeClr>
              </a:solidFill>
              <a:round/>
            </a:ln>
            <a:effectLst/>
          </c:spPr>
          <c:marker>
            <c:symbol val="none"/>
          </c:marker>
          <c:cat>
            <c:numRef>
              <c:f>'Monthly Amort. Sch.'!$K$18:$K$377</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cat>
          <c:val>
            <c:numRef>
              <c:f>'Monthly Amort. Sch.'!$O$18:$O$377</c:f>
              <c:numCache>
                <c:formatCode>_("$"* #,##0.00_);_("$"* \(#,##0.00\);_("$"* "-"??_);_(@_)</c:formatCode>
                <c:ptCount val="360"/>
                <c:pt idx="0">
                  <c:v>580.02649546340808</c:v>
                </c:pt>
                <c:pt idx="1">
                  <c:v>582.73328577557049</c:v>
                </c:pt>
                <c:pt idx="2">
                  <c:v>585.4527077758562</c:v>
                </c:pt>
                <c:pt idx="3">
                  <c:v>588.18482041214384</c:v>
                </c:pt>
                <c:pt idx="4">
                  <c:v>590.92968290740055</c:v>
                </c:pt>
                <c:pt idx="5">
                  <c:v>593.68735476096845</c:v>
                </c:pt>
                <c:pt idx="6">
                  <c:v>596.45789574985292</c:v>
                </c:pt>
                <c:pt idx="7">
                  <c:v>599.24136593001913</c:v>
                </c:pt>
                <c:pt idx="8">
                  <c:v>602.03782563769255</c:v>
                </c:pt>
                <c:pt idx="9">
                  <c:v>604.84733549066868</c:v>
                </c:pt>
                <c:pt idx="10">
                  <c:v>610.00328972295802</c:v>
                </c:pt>
                <c:pt idx="11">
                  <c:v>612.84997174166529</c:v>
                </c:pt>
                <c:pt idx="12">
                  <c:v>615.70993827645998</c:v>
                </c:pt>
                <c:pt idx="13">
                  <c:v>618.58325132174969</c:v>
                </c:pt>
                <c:pt idx="14">
                  <c:v>621.4699731612518</c:v>
                </c:pt>
                <c:pt idx="15">
                  <c:v>624.37016636933731</c:v>
                </c:pt>
                <c:pt idx="16">
                  <c:v>627.28389381239458</c:v>
                </c:pt>
                <c:pt idx="17">
                  <c:v>630.21121865018586</c:v>
                </c:pt>
                <c:pt idx="18">
                  <c:v>633.15220433722016</c:v>
                </c:pt>
                <c:pt idx="19">
                  <c:v>636.10691462412706</c:v>
                </c:pt>
                <c:pt idx="20">
                  <c:v>641.40874689237307</c:v>
                </c:pt>
                <c:pt idx="21">
                  <c:v>644.40198771120367</c:v>
                </c:pt>
                <c:pt idx="22">
                  <c:v>647.40919698718926</c:v>
                </c:pt>
                <c:pt idx="23">
                  <c:v>650.43043990646311</c:v>
                </c:pt>
                <c:pt idx="24">
                  <c:v>653.4657819593599</c:v>
                </c:pt>
                <c:pt idx="25">
                  <c:v>656.51528894183684</c:v>
                </c:pt>
                <c:pt idx="26">
                  <c:v>659.57902695689882</c:v>
                </c:pt>
                <c:pt idx="27">
                  <c:v>662.65706241603129</c:v>
                </c:pt>
                <c:pt idx="28">
                  <c:v>665.74946204063917</c:v>
                </c:pt>
                <c:pt idx="29">
                  <c:v>668.85629286349558</c:v>
                </c:pt>
                <c:pt idx="30">
                  <c:v>674.31095556352511</c:v>
                </c:pt>
                <c:pt idx="31">
                  <c:v>677.45774002282178</c:v>
                </c:pt>
                <c:pt idx="32">
                  <c:v>680.6192094762614</c:v>
                </c:pt>
                <c:pt idx="33">
                  <c:v>683.79543245381728</c:v>
                </c:pt>
                <c:pt idx="34">
                  <c:v>686.98647780526835</c:v>
                </c:pt>
                <c:pt idx="35">
                  <c:v>690.192414701693</c:v>
                </c:pt>
                <c:pt idx="36">
                  <c:v>693.41331263696748</c:v>
                </c:pt>
                <c:pt idx="37">
                  <c:v>696.64924142927339</c:v>
                </c:pt>
                <c:pt idx="38">
                  <c:v>699.90027122260972</c:v>
                </c:pt>
                <c:pt idx="39">
                  <c:v>703.16647248831578</c:v>
                </c:pt>
                <c:pt idx="40">
                  <c:v>711.11458269326113</c:v>
                </c:pt>
                <c:pt idx="41">
                  <c:v>714.43311741249636</c:v>
                </c:pt>
                <c:pt idx="42">
                  <c:v>717.76713862708812</c:v>
                </c:pt>
                <c:pt idx="43">
                  <c:v>721.11671860734759</c:v>
                </c:pt>
                <c:pt idx="44">
                  <c:v>724.48192996084845</c:v>
                </c:pt>
                <c:pt idx="45">
                  <c:v>727.86284563399931</c:v>
                </c:pt>
                <c:pt idx="46">
                  <c:v>731.25953891362451</c:v>
                </c:pt>
                <c:pt idx="47">
                  <c:v>734.67208342855474</c:v>
                </c:pt>
                <c:pt idx="48">
                  <c:v>738.10055315122099</c:v>
                </c:pt>
                <c:pt idx="49">
                  <c:v>741.54502239926023</c:v>
                </c:pt>
                <c:pt idx="50">
                  <c:v>747.3388991704569</c:v>
                </c:pt>
                <c:pt idx="51">
                  <c:v>750.8264806999191</c:v>
                </c:pt>
                <c:pt idx="52">
                  <c:v>754.33033760985199</c:v>
                </c:pt>
                <c:pt idx="53">
                  <c:v>757.85054585203125</c:v>
                </c:pt>
                <c:pt idx="54">
                  <c:v>761.38718173267443</c:v>
                </c:pt>
                <c:pt idx="55">
                  <c:v>764.9403219140936</c:v>
                </c:pt>
                <c:pt idx="56">
                  <c:v>768.51004341635917</c:v>
                </c:pt>
                <c:pt idx="57">
                  <c:v>772.09642361896886</c:v>
                </c:pt>
                <c:pt idx="58">
                  <c:v>775.6995402625239</c:v>
                </c:pt>
                <c:pt idx="59">
                  <c:v>779.31947145041568</c:v>
                </c:pt>
                <c:pt idx="60">
                  <c:v>806.28962898385089</c:v>
                </c:pt>
                <c:pt idx="61">
                  <c:v>810.05231391910866</c:v>
                </c:pt>
                <c:pt idx="62">
                  <c:v>813.83255805073122</c:v>
                </c:pt>
                <c:pt idx="63">
                  <c:v>817.63044332163508</c:v>
                </c:pt>
                <c:pt idx="64">
                  <c:v>821.44605205713606</c:v>
                </c:pt>
                <c:pt idx="65">
                  <c:v>825.27946696673598</c:v>
                </c:pt>
                <c:pt idx="66">
                  <c:v>829.13077114591397</c:v>
                </c:pt>
                <c:pt idx="67">
                  <c:v>833.00004807792857</c:v>
                </c:pt>
                <c:pt idx="68">
                  <c:v>836.88738163562539</c:v>
                </c:pt>
                <c:pt idx="69">
                  <c:v>840.79285608325836</c:v>
                </c:pt>
                <c:pt idx="70">
                  <c:v>847.04988941164675</c:v>
                </c:pt>
                <c:pt idx="71">
                  <c:v>851.00278889556785</c:v>
                </c:pt>
                <c:pt idx="72">
                  <c:v>854.97413524374724</c:v>
                </c:pt>
                <c:pt idx="73">
                  <c:v>858.96401454155148</c:v>
                </c:pt>
                <c:pt idx="74">
                  <c:v>862.97251327607864</c:v>
                </c:pt>
                <c:pt idx="75">
                  <c:v>866.99971833803374</c:v>
                </c:pt>
                <c:pt idx="76">
                  <c:v>871.04571702361091</c:v>
                </c:pt>
                <c:pt idx="77">
                  <c:v>875.11059703638784</c:v>
                </c:pt>
                <c:pt idx="78">
                  <c:v>879.19444648922445</c:v>
                </c:pt>
                <c:pt idx="79">
                  <c:v>883.29735390617407</c:v>
                </c:pt>
                <c:pt idx="80">
                  <c:v>889.75274155773604</c:v>
                </c:pt>
                <c:pt idx="81">
                  <c:v>893.90492101833888</c:v>
                </c:pt>
                <c:pt idx="82">
                  <c:v>898.07647731642419</c:v>
                </c:pt>
                <c:pt idx="83">
                  <c:v>902.2675008772344</c:v>
                </c:pt>
                <c:pt idx="84">
                  <c:v>906.47808254799475</c:v>
                </c:pt>
                <c:pt idx="85">
                  <c:v>910.70831359988551</c:v>
                </c:pt>
                <c:pt idx="86">
                  <c:v>914.95828573001791</c:v>
                </c:pt>
                <c:pt idx="87">
                  <c:v>919.22809106342493</c:v>
                </c:pt>
                <c:pt idx="88">
                  <c:v>923.51782215505455</c:v>
                </c:pt>
                <c:pt idx="89">
                  <c:v>927.82757199177786</c:v>
                </c:pt>
                <c:pt idx="90">
                  <c:v>950.82410066107286</c:v>
                </c:pt>
                <c:pt idx="91">
                  <c:v>955.26127979749117</c:v>
                </c:pt>
                <c:pt idx="92">
                  <c:v>959.71916576987951</c:v>
                </c:pt>
                <c:pt idx="93">
                  <c:v>964.19785521013864</c:v>
                </c:pt>
                <c:pt idx="94">
                  <c:v>968.69744520111954</c:v>
                </c:pt>
                <c:pt idx="95">
                  <c:v>973.21803327872476</c:v>
                </c:pt>
                <c:pt idx="96">
                  <c:v>977.75971743402533</c:v>
                </c:pt>
                <c:pt idx="97">
                  <c:v>982.32259611538393</c:v>
                </c:pt>
                <c:pt idx="98">
                  <c:v>986.90676823058948</c:v>
                </c:pt>
                <c:pt idx="99">
                  <c:v>991.51233314899901</c:v>
                </c:pt>
                <c:pt idx="100">
                  <c:v>1010.1393907036941</c:v>
                </c:pt>
                <c:pt idx="101">
                  <c:v>1014.8533745269779</c:v>
                </c:pt>
                <c:pt idx="102">
                  <c:v>1019.589356941437</c:v>
                </c:pt>
                <c:pt idx="103">
                  <c:v>1024.3474406071641</c:v>
                </c:pt>
                <c:pt idx="104">
                  <c:v>1029.1277286633308</c:v>
                </c:pt>
                <c:pt idx="105">
                  <c:v>1033.930324730426</c:v>
                </c:pt>
                <c:pt idx="106">
                  <c:v>1038.7553329125012</c:v>
                </c:pt>
                <c:pt idx="107">
                  <c:v>1043.6028577994261</c:v>
                </c:pt>
                <c:pt idx="108">
                  <c:v>1048.4730044691569</c:v>
                </c:pt>
                <c:pt idx="109">
                  <c:v>1053.3658784900133</c:v>
                </c:pt>
                <c:pt idx="110">
                  <c:v>1060.6149192563</c:v>
                </c:pt>
                <c:pt idx="111">
                  <c:v>1065.5644555461629</c:v>
                </c:pt>
                <c:pt idx="112">
                  <c:v>1070.5370896720449</c:v>
                </c:pt>
                <c:pt idx="113">
                  <c:v>1075.5329294238477</c:v>
                </c:pt>
                <c:pt idx="114">
                  <c:v>1080.5520830944924</c:v>
                </c:pt>
                <c:pt idx="115">
                  <c:v>1085.5946594822667</c:v>
                </c:pt>
                <c:pt idx="116">
                  <c:v>1090.6607678931839</c:v>
                </c:pt>
                <c:pt idx="117">
                  <c:v>1095.7505181433521</c:v>
                </c:pt>
                <c:pt idx="118">
                  <c:v>1100.8640205613542</c:v>
                </c:pt>
                <c:pt idx="119">
                  <c:v>1106.0013859906405</c:v>
                </c:pt>
                <c:pt idx="120">
                  <c:v>1129.8293924585969</c:v>
                </c:pt>
                <c:pt idx="121">
                  <c:v>1135.1019296234037</c:v>
                </c:pt>
                <c:pt idx="122">
                  <c:v>1140.3990719616463</c:v>
                </c:pt>
                <c:pt idx="123">
                  <c:v>1145.7209342974672</c:v>
                </c:pt>
                <c:pt idx="124">
                  <c:v>1151.0676319908555</c:v>
                </c:pt>
                <c:pt idx="125">
                  <c:v>1156.4392809401463</c:v>
                </c:pt>
                <c:pt idx="126">
                  <c:v>1161.8359975845337</c:v>
                </c:pt>
                <c:pt idx="127">
                  <c:v>1167.2578989065948</c:v>
                </c:pt>
                <c:pt idx="128">
                  <c:v>1172.7051024348254</c:v>
                </c:pt>
                <c:pt idx="129">
                  <c:v>1178.1777262461881</c:v>
                </c:pt>
                <c:pt idx="130">
                  <c:v>1186.0092223020038</c:v>
                </c:pt>
                <c:pt idx="131">
                  <c:v>1191.5439320060798</c:v>
                </c:pt>
                <c:pt idx="132">
                  <c:v>1197.1044703554412</c:v>
                </c:pt>
                <c:pt idx="133">
                  <c:v>1202.6909578837667</c:v>
                </c:pt>
                <c:pt idx="134">
                  <c:v>1208.3035156872243</c:v>
                </c:pt>
                <c:pt idx="135">
                  <c:v>1213.9422654270979</c:v>
                </c:pt>
                <c:pt idx="136">
                  <c:v>1219.6073293324246</c:v>
                </c:pt>
                <c:pt idx="137">
                  <c:v>1225.2988302026426</c:v>
                </c:pt>
                <c:pt idx="138">
                  <c:v>1231.0168914102549</c:v>
                </c:pt>
                <c:pt idx="139">
                  <c:v>1236.7616369035029</c:v>
                </c:pt>
                <c:pt idx="140">
                  <c:v>1277.5331912090526</c:v>
                </c:pt>
                <c:pt idx="141">
                  <c:v>1283.4950127680283</c:v>
                </c:pt>
                <c:pt idx="142">
                  <c:v>1289.4846561609459</c:v>
                </c:pt>
                <c:pt idx="143">
                  <c:v>1295.50225122303</c:v>
                </c:pt>
                <c:pt idx="144">
                  <c:v>1301.5479283954041</c:v>
                </c:pt>
                <c:pt idx="145">
                  <c:v>1307.621818727916</c:v>
                </c:pt>
                <c:pt idx="146">
                  <c:v>1313.7240538819797</c:v>
                </c:pt>
                <c:pt idx="147">
                  <c:v>1319.8547661334292</c:v>
                </c:pt>
                <c:pt idx="148">
                  <c:v>1326.014088375385</c:v>
                </c:pt>
                <c:pt idx="149">
                  <c:v>1332.2021541211368</c:v>
                </c:pt>
                <c:pt idx="150">
                  <c:v>1344.0190975070354</c:v>
                </c:pt>
                <c:pt idx="151">
                  <c:v>1350.291186628735</c:v>
                </c:pt>
                <c:pt idx="152">
                  <c:v>1356.5925454996691</c:v>
                </c:pt>
                <c:pt idx="153">
                  <c:v>1362.923310712001</c:v>
                </c:pt>
                <c:pt idx="154">
                  <c:v>1369.2836194953236</c:v>
                </c:pt>
                <c:pt idx="155">
                  <c:v>1375.6736097196351</c:v>
                </c:pt>
                <c:pt idx="156">
                  <c:v>1382.0934198983266</c:v>
                </c:pt>
                <c:pt idx="157">
                  <c:v>1388.5431891911853</c:v>
                </c:pt>
                <c:pt idx="158">
                  <c:v>1395.023057407411</c:v>
                </c:pt>
                <c:pt idx="159">
                  <c:v>1401.5331650086455</c:v>
                </c:pt>
                <c:pt idx="160">
                  <c:v>1408.3069864453525</c:v>
                </c:pt>
                <c:pt idx="161">
                  <c:v>1414.8790857154308</c:v>
                </c:pt>
                <c:pt idx="162">
                  <c:v>1421.4818547821028</c:v>
                </c:pt>
                <c:pt idx="163">
                  <c:v>1428.115436771086</c:v>
                </c:pt>
                <c:pt idx="164">
                  <c:v>1434.7799754760176</c:v>
                </c:pt>
                <c:pt idx="165">
                  <c:v>1441.4756153615724</c:v>
                </c:pt>
                <c:pt idx="166">
                  <c:v>1448.2025015665931</c:v>
                </c:pt>
                <c:pt idx="167">
                  <c:v>1454.9607799072373</c:v>
                </c:pt>
                <c:pt idx="168">
                  <c:v>1461.7505968801379</c:v>
                </c:pt>
                <c:pt idx="169">
                  <c:v>1468.5720996655787</c:v>
                </c:pt>
                <c:pt idx="170">
                  <c:v>1476.5921027973513</c:v>
                </c:pt>
                <c:pt idx="171">
                  <c:v>1483.4828659437389</c:v>
                </c:pt>
                <c:pt idx="172">
                  <c:v>1490.4057859848099</c:v>
                </c:pt>
                <c:pt idx="173">
                  <c:v>1497.3610129860724</c:v>
                </c:pt>
                <c:pt idx="174">
                  <c:v>1504.3486977133405</c:v>
                </c:pt>
                <c:pt idx="175">
                  <c:v>1511.3689916360029</c:v>
                </c:pt>
                <c:pt idx="176">
                  <c:v>1518.4220469303043</c:v>
                </c:pt>
                <c:pt idx="177">
                  <c:v>1525.5080164826456</c:v>
                </c:pt>
                <c:pt idx="178">
                  <c:v>1532.6270538928979</c:v>
                </c:pt>
                <c:pt idx="179">
                  <c:v>1539.7793134777314</c:v>
                </c:pt>
                <c:pt idx="180">
                  <c:v>1549.2982836072943</c:v>
                </c:pt>
                <c:pt idx="181">
                  <c:v>1556.5283422641282</c:v>
                </c:pt>
                <c:pt idx="182">
                  <c:v>1563.7921411946941</c:v>
                </c:pt>
                <c:pt idx="183">
                  <c:v>1571.0898378536028</c:v>
                </c:pt>
                <c:pt idx="184">
                  <c:v>1578.421590430253</c:v>
                </c:pt>
                <c:pt idx="185">
                  <c:v>1585.7875578522608</c:v>
                </c:pt>
                <c:pt idx="186">
                  <c:v>1593.1878997889048</c:v>
                </c:pt>
                <c:pt idx="187">
                  <c:v>1600.6227766545862</c:v>
                </c:pt>
                <c:pt idx="188">
                  <c:v>1608.0923496123078</c:v>
                </c:pt>
                <c:pt idx="189">
                  <c:v>1615.5967805771654</c:v>
                </c:pt>
                <c:pt idx="190">
                  <c:v>1625.4695655531921</c:v>
                </c:pt>
                <c:pt idx="191">
                  <c:v>1633.0550901924403</c:v>
                </c:pt>
                <c:pt idx="192">
                  <c:v>1640.6760139466714</c:v>
                </c:pt>
                <c:pt idx="193">
                  <c:v>1648.3325020117559</c:v>
                </c:pt>
                <c:pt idx="194">
                  <c:v>1656.0247203544773</c:v>
                </c:pt>
                <c:pt idx="195">
                  <c:v>1663.7528357161316</c:v>
                </c:pt>
                <c:pt idx="196">
                  <c:v>1671.51701561614</c:v>
                </c:pt>
                <c:pt idx="197">
                  <c:v>1679.3174283556821</c:v>
                </c:pt>
                <c:pt idx="198">
                  <c:v>1687.1542430213419</c:v>
                </c:pt>
                <c:pt idx="199">
                  <c:v>1695.0276294887747</c:v>
                </c:pt>
                <c:pt idx="200">
                  <c:v>1705.2710917597224</c:v>
                </c:pt>
                <c:pt idx="201">
                  <c:v>1713.2290235212679</c:v>
                </c:pt>
                <c:pt idx="202">
                  <c:v>1721.2240922977003</c:v>
                </c:pt>
                <c:pt idx="203">
                  <c:v>1729.2564713950896</c:v>
                </c:pt>
                <c:pt idx="204">
                  <c:v>1737.3263349282668</c:v>
                </c:pt>
                <c:pt idx="205">
                  <c:v>1745.4338578245986</c:v>
                </c:pt>
                <c:pt idx="206">
                  <c:v>1753.57921582778</c:v>
                </c:pt>
                <c:pt idx="207">
                  <c:v>1761.7625855016431</c:v>
                </c:pt>
                <c:pt idx="208">
                  <c:v>1769.9841442339841</c:v>
                </c:pt>
                <c:pt idx="209">
                  <c:v>1778.2440702404094</c:v>
                </c:pt>
                <c:pt idx="210">
                  <c:v>1790.0425425681981</c:v>
                </c:pt>
                <c:pt idx="211">
                  <c:v>1798.3960744335163</c:v>
                </c:pt>
                <c:pt idx="212">
                  <c:v>1806.7885894475394</c:v>
                </c:pt>
                <c:pt idx="213">
                  <c:v>1815.220269531628</c:v>
                </c:pt>
                <c:pt idx="214">
                  <c:v>1823.6912974561089</c:v>
                </c:pt>
                <c:pt idx="215">
                  <c:v>1832.2018568442375</c:v>
                </c:pt>
                <c:pt idx="216">
                  <c:v>1840.7521321761772</c:v>
                </c:pt>
                <c:pt idx="217">
                  <c:v>1849.3423087929996</c:v>
                </c:pt>
                <c:pt idx="218">
                  <c:v>1857.9725729007</c:v>
                </c:pt>
                <c:pt idx="219">
                  <c:v>1866.6431115742366</c:v>
                </c:pt>
                <c:pt idx="220">
                  <c:v>1877.6874460949164</c:v>
                </c:pt>
                <c:pt idx="221">
                  <c:v>1886.4499875100259</c:v>
                </c:pt>
                <c:pt idx="222">
                  <c:v>1895.2534207850726</c:v>
                </c:pt>
                <c:pt idx="223">
                  <c:v>1904.0979367487364</c:v>
                </c:pt>
                <c:pt idx="224">
                  <c:v>1912.9837271202305</c:v>
                </c:pt>
                <c:pt idx="225">
                  <c:v>1921.9109845134583</c:v>
                </c:pt>
                <c:pt idx="226">
                  <c:v>1930.8799024411878</c:v>
                </c:pt>
                <c:pt idx="227">
                  <c:v>1939.8906753192466</c:v>
                </c:pt>
                <c:pt idx="228">
                  <c:v>1948.9434984707366</c:v>
                </c:pt>
                <c:pt idx="229">
                  <c:v>1958.0385681302666</c:v>
                </c:pt>
                <c:pt idx="230">
                  <c:v>1969.5094147815412</c:v>
                </c:pt>
                <c:pt idx="231">
                  <c:v>1978.7004587171884</c:v>
                </c:pt>
                <c:pt idx="232">
                  <c:v>1987.9343941912018</c:v>
                </c:pt>
                <c:pt idx="233">
                  <c:v>1997.2114213640941</c:v>
                </c:pt>
                <c:pt idx="234">
                  <c:v>2006.5317413304599</c:v>
                </c:pt>
                <c:pt idx="235">
                  <c:v>2015.8955561233354</c:v>
                </c:pt>
                <c:pt idx="236">
                  <c:v>2025.3030687185776</c:v>
                </c:pt>
                <c:pt idx="237">
                  <c:v>2034.7544830392644</c:v>
                </c:pt>
                <c:pt idx="238">
                  <c:v>2044.2500039601143</c:v>
                </c:pt>
                <c:pt idx="239">
                  <c:v>2053.7898373119278</c:v>
                </c:pt>
                <c:pt idx="240">
                  <c:v>2065.7075232193838</c:v>
                </c:pt>
                <c:pt idx="241">
                  <c:v>2075.3474916610739</c:v>
                </c:pt>
                <c:pt idx="242">
                  <c:v>2085.0324466221591</c:v>
                </c:pt>
                <c:pt idx="243">
                  <c:v>2094.7625980397293</c:v>
                </c:pt>
                <c:pt idx="244">
                  <c:v>2104.5381568305811</c:v>
                </c:pt>
                <c:pt idx="245">
                  <c:v>2114.3593348957907</c:v>
                </c:pt>
                <c:pt idx="246">
                  <c:v>2124.2263451253043</c:v>
                </c:pt>
                <c:pt idx="247">
                  <c:v>2134.1394014025559</c:v>
                </c:pt>
                <c:pt idx="248">
                  <c:v>2144.0987186091011</c:v>
                </c:pt>
                <c:pt idx="249">
                  <c:v>2154.104512629277</c:v>
                </c:pt>
                <c:pt idx="250">
                  <c:v>2166.4903336882135</c:v>
                </c:pt>
                <c:pt idx="251">
                  <c:v>2176.6006219120918</c:v>
                </c:pt>
                <c:pt idx="252">
                  <c:v>2186.7580914810151</c:v>
                </c:pt>
                <c:pt idx="253">
                  <c:v>2196.9629625745929</c:v>
                </c:pt>
                <c:pt idx="254">
                  <c:v>2207.2154563999411</c:v>
                </c:pt>
                <c:pt idx="255">
                  <c:v>2217.5157951964743</c:v>
                </c:pt>
                <c:pt idx="256">
                  <c:v>2227.8642022407244</c:v>
                </c:pt>
                <c:pt idx="257">
                  <c:v>2238.2609018511812</c:v>
                </c:pt>
                <c:pt idx="258">
                  <c:v>2248.7061193931531</c:v>
                </c:pt>
                <c:pt idx="259">
                  <c:v>2259.2000812836545</c:v>
                </c:pt>
                <c:pt idx="260">
                  <c:v>2272.076348329645</c:v>
                </c:pt>
                <c:pt idx="261">
                  <c:v>2282.6793712885164</c:v>
                </c:pt>
                <c:pt idx="262">
                  <c:v>2293.3318750211965</c:v>
                </c:pt>
                <c:pt idx="263">
                  <c:v>2304.0340904379618</c:v>
                </c:pt>
                <c:pt idx="264">
                  <c:v>2314.7862495266727</c:v>
                </c:pt>
                <c:pt idx="265">
                  <c:v>2325.588585357797</c:v>
                </c:pt>
                <c:pt idx="266">
                  <c:v>2336.4413320894664</c:v>
                </c:pt>
                <c:pt idx="267">
                  <c:v>2347.3447249725505</c:v>
                </c:pt>
                <c:pt idx="268">
                  <c:v>2358.2990003557561</c:v>
                </c:pt>
                <c:pt idx="269">
                  <c:v>2369.3043956907495</c:v>
                </c:pt>
                <c:pt idx="270">
                  <c:v>2382.6944828706396</c:v>
                </c:pt>
                <c:pt idx="271">
                  <c:v>2393.8137237907026</c:v>
                </c:pt>
                <c:pt idx="272">
                  <c:v>2404.9848545017257</c:v>
                </c:pt>
                <c:pt idx="273">
                  <c:v>2416.2081171560676</c:v>
                </c:pt>
                <c:pt idx="274">
                  <c:v>2427.483755036129</c:v>
                </c:pt>
                <c:pt idx="275">
                  <c:v>2438.8120125596311</c:v>
                </c:pt>
                <c:pt idx="276">
                  <c:v>2450.1931352849092</c:v>
                </c:pt>
                <c:pt idx="277">
                  <c:v>2461.6273699162384</c:v>
                </c:pt>
                <c:pt idx="278">
                  <c:v>2473.1149643091812</c:v>
                </c:pt>
                <c:pt idx="279">
                  <c:v>2484.6561674759573</c:v>
                </c:pt>
                <c:pt idx="280">
                  <c:v>2498.5845629241785</c:v>
                </c:pt>
                <c:pt idx="281">
                  <c:v>2510.2446242178248</c:v>
                </c:pt>
                <c:pt idx="282">
                  <c:v>2521.9590991308414</c:v>
                </c:pt>
                <c:pt idx="283">
                  <c:v>2533.7282415934515</c:v>
                </c:pt>
                <c:pt idx="284">
                  <c:v>2545.5523067208878</c:v>
                </c:pt>
                <c:pt idx="285">
                  <c:v>2557.4315508189184</c:v>
                </c:pt>
                <c:pt idx="286">
                  <c:v>2569.3662313894069</c:v>
                </c:pt>
                <c:pt idx="287">
                  <c:v>2581.356607135891</c:v>
                </c:pt>
                <c:pt idx="288">
                  <c:v>2593.4029379691915</c:v>
                </c:pt>
                <c:pt idx="289">
                  <c:v>2605.5054850130477</c:v>
                </c:pt>
                <c:pt idx="290">
                  <c:v>2617.6645106097753</c:v>
                </c:pt>
                <c:pt idx="291">
                  <c:v>2629.8802783259544</c:v>
                </c:pt>
                <c:pt idx="292">
                  <c:v>2642.1530529581423</c:v>
                </c:pt>
                <c:pt idx="293">
                  <c:v>2654.4831005386136</c:v>
                </c:pt>
                <c:pt idx="294">
                  <c:v>2666.8706883411269</c:v>
                </c:pt>
                <c:pt idx="295">
                  <c:v>2688.6494182200522</c:v>
                </c:pt>
                <c:pt idx="296">
                  <c:v>2701.1964488384124</c:v>
                </c:pt>
                <c:pt idx="297">
                  <c:v>2713.8020322663251</c:v>
                </c:pt>
                <c:pt idx="298">
                  <c:v>2726.4664417502345</c:v>
                </c:pt>
                <c:pt idx="299">
                  <c:v>2739.1899518117357</c:v>
                </c:pt>
                <c:pt idx="300">
                  <c:v>2758.9728382535236</c:v>
                </c:pt>
                <c:pt idx="301">
                  <c:v>2771.8480448320402</c:v>
                </c:pt>
                <c:pt idx="302">
                  <c:v>2784.783335707923</c:v>
                </c:pt>
                <c:pt idx="303">
                  <c:v>2797.7789912745602</c:v>
                </c:pt>
                <c:pt idx="304">
                  <c:v>2810.8352932338412</c:v>
                </c:pt>
                <c:pt idx="305">
                  <c:v>2823.9525246022658</c:v>
                </c:pt>
                <c:pt idx="306">
                  <c:v>2837.1309697170764</c:v>
                </c:pt>
                <c:pt idx="307">
                  <c:v>2850.3709142424227</c:v>
                </c:pt>
                <c:pt idx="308">
                  <c:v>2863.672645175554</c:v>
                </c:pt>
                <c:pt idx="309">
                  <c:v>2877.0364508530402</c:v>
                </c:pt>
                <c:pt idx="310">
                  <c:v>2890.462620957021</c:v>
                </c:pt>
                <c:pt idx="311">
                  <c:v>2903.951446521487</c:v>
                </c:pt>
                <c:pt idx="312">
                  <c:v>2917.5032199385873</c:v>
                </c:pt>
                <c:pt idx="313">
                  <c:v>2931.1182349649675</c:v>
                </c:pt>
                <c:pt idx="314">
                  <c:v>2944.7967867281372</c:v>
                </c:pt>
                <c:pt idx="315">
                  <c:v>2958.5391717328685</c:v>
                </c:pt>
                <c:pt idx="316">
                  <c:v>2972.345687867622</c:v>
                </c:pt>
                <c:pt idx="317">
                  <c:v>2986.2166344110042</c:v>
                </c:pt>
                <c:pt idx="318">
                  <c:v>3000.1523120382553</c:v>
                </c:pt>
                <c:pt idx="319">
                  <c:v>3014.1530228277675</c:v>
                </c:pt>
                <c:pt idx="320">
                  <c:v>3028.2190702676303</c:v>
                </c:pt>
                <c:pt idx="321">
                  <c:v>3042.3507592622127</c:v>
                </c:pt>
                <c:pt idx="322">
                  <c:v>3056.5483961387695</c:v>
                </c:pt>
                <c:pt idx="323">
                  <c:v>3070.8122886540837</c:v>
                </c:pt>
                <c:pt idx="324">
                  <c:v>3085.1427460011364</c:v>
                </c:pt>
                <c:pt idx="325">
                  <c:v>3099.5400788158081</c:v>
                </c:pt>
                <c:pt idx="326">
                  <c:v>0</c:v>
                </c:pt>
                <c:pt idx="327">
                  <c:v>0</c:v>
                </c:pt>
                <c:pt idx="328">
                  <c:v>0</c:v>
                </c:pt>
                <c:pt idx="329">
                  <c:v>0</c:v>
                </c:pt>
                <c:pt idx="330">
                  <c:v>0</c:v>
                </c:pt>
                <c:pt idx="331">
                  <c:v>0</c:v>
                </c:pt>
                <c:pt idx="332">
                  <c:v>0</c:v>
                </c:pt>
                <c:pt idx="333">
                  <c:v>0</c:v>
                </c:pt>
                <c:pt idx="334">
                  <c:v>0</c:v>
                </c:pt>
                <c:pt idx="335">
                  <c:v>0</c:v>
                </c:pt>
                <c:pt idx="336">
                  <c:v>0</c:v>
                </c:pt>
                <c:pt idx="337">
                  <c:v>0</c:v>
                </c:pt>
                <c:pt idx="338">
                  <c:v>0</c:v>
                </c:pt>
                <c:pt idx="339">
                  <c:v>0</c:v>
                </c:pt>
                <c:pt idx="340">
                  <c:v>0</c:v>
                </c:pt>
                <c:pt idx="341">
                  <c:v>0</c:v>
                </c:pt>
                <c:pt idx="342">
                  <c:v>0</c:v>
                </c:pt>
                <c:pt idx="343">
                  <c:v>0</c:v>
                </c:pt>
                <c:pt idx="344">
                  <c:v>0</c:v>
                </c:pt>
                <c:pt idx="345">
                  <c:v>0</c:v>
                </c:pt>
                <c:pt idx="346">
                  <c:v>0</c:v>
                </c:pt>
                <c:pt idx="347">
                  <c:v>0</c:v>
                </c:pt>
                <c:pt idx="348">
                  <c:v>0</c:v>
                </c:pt>
                <c:pt idx="349">
                  <c:v>0</c:v>
                </c:pt>
                <c:pt idx="350">
                  <c:v>0</c:v>
                </c:pt>
                <c:pt idx="351">
                  <c:v>0</c:v>
                </c:pt>
                <c:pt idx="352">
                  <c:v>0</c:v>
                </c:pt>
                <c:pt idx="353">
                  <c:v>0</c:v>
                </c:pt>
                <c:pt idx="354">
                  <c:v>0</c:v>
                </c:pt>
                <c:pt idx="355">
                  <c:v>0</c:v>
                </c:pt>
                <c:pt idx="356">
                  <c:v>0</c:v>
                </c:pt>
                <c:pt idx="357">
                  <c:v>0</c:v>
                </c:pt>
                <c:pt idx="358">
                  <c:v>0</c:v>
                </c:pt>
                <c:pt idx="359">
                  <c:v>0</c:v>
                </c:pt>
              </c:numCache>
            </c:numRef>
          </c:val>
          <c:smooth val="0"/>
          <c:extLst>
            <c:ext xmlns:c16="http://schemas.microsoft.com/office/drawing/2014/chart" uri="{C3380CC4-5D6E-409C-BE32-E72D297353CC}">
              <c16:uniqueId val="{00000001-E16E-4C00-853D-219F657F5C7A}"/>
            </c:ext>
          </c:extLst>
        </c:ser>
        <c:ser>
          <c:idx val="2"/>
          <c:order val="2"/>
          <c:tx>
            <c:strRef>
              <c:f>'Monthly Amort. Sch.'!$P$17</c:f>
              <c:strCache>
                <c:ptCount val="1"/>
                <c:pt idx="0">
                  <c:v>Interest Without Extra Principal Payments Visual</c:v>
                </c:pt>
              </c:strCache>
            </c:strRef>
          </c:tx>
          <c:spPr>
            <a:ln w="28575" cap="rnd">
              <a:solidFill>
                <a:schemeClr val="tx2"/>
              </a:solidFill>
              <a:round/>
            </a:ln>
            <a:effectLst/>
          </c:spPr>
          <c:marker>
            <c:symbol val="none"/>
          </c:marker>
          <c:cat>
            <c:numRef>
              <c:f>'Monthly Amort. Sch.'!$K$18:$K$377</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cat>
          <c:val>
            <c:numRef>
              <c:f>'Monthly Amort. Sch.'!$P$18:$P$377</c:f>
              <c:numCache>
                <c:formatCode>_("$"* #,##0.00_);_("$"* \(#,##0.00\);_("$"* "-"??_);_(@_)</c:formatCode>
                <c:ptCount val="360"/>
                <c:pt idx="0">
                  <c:v>2520</c:v>
                </c:pt>
                <c:pt idx="1">
                  <c:v>2517.2932096878376</c:v>
                </c:pt>
                <c:pt idx="2">
                  <c:v>2514.5737876875519</c:v>
                </c:pt>
                <c:pt idx="3">
                  <c:v>2511.8416750512642</c:v>
                </c:pt>
                <c:pt idx="4">
                  <c:v>2509.0968125560075</c:v>
                </c:pt>
                <c:pt idx="5">
                  <c:v>2506.3391407024396</c:v>
                </c:pt>
                <c:pt idx="6">
                  <c:v>2503.5685997135552</c:v>
                </c:pt>
                <c:pt idx="7">
                  <c:v>2500.785129533389</c:v>
                </c:pt>
                <c:pt idx="8">
                  <c:v>2497.9886698257155</c:v>
                </c:pt>
                <c:pt idx="9">
                  <c:v>2495.1791599727394</c:v>
                </c:pt>
                <c:pt idx="10">
                  <c:v>2492.3565390737831</c:v>
                </c:pt>
                <c:pt idx="11">
                  <c:v>2489.5207459439653</c:v>
                </c:pt>
                <c:pt idx="12">
                  <c:v>2486.6717191128741</c:v>
                </c:pt>
                <c:pt idx="13">
                  <c:v>2483.8093968232383</c:v>
                </c:pt>
                <c:pt idx="14">
                  <c:v>2480.9337170295844</c:v>
                </c:pt>
                <c:pt idx="15">
                  <c:v>2478.044617396893</c:v>
                </c:pt>
                <c:pt idx="16">
                  <c:v>2475.1420352992495</c:v>
                </c:pt>
                <c:pt idx="17">
                  <c:v>2472.2259078184834</c:v>
                </c:pt>
                <c:pt idx="18">
                  <c:v>2469.296171742807</c:v>
                </c:pt>
                <c:pt idx="19">
                  <c:v>2466.3527635654445</c:v>
                </c:pt>
                <c:pt idx="20">
                  <c:v>2463.395619483254</c:v>
                </c:pt>
                <c:pt idx="21">
                  <c:v>2460.4246753953466</c:v>
                </c:pt>
                <c:pt idx="22">
                  <c:v>2457.4398669016955</c:v>
                </c:pt>
                <c:pt idx="23">
                  <c:v>2454.4411293017411</c:v>
                </c:pt>
                <c:pt idx="24">
                  <c:v>2451.4283975929866</c:v>
                </c:pt>
                <c:pt idx="25">
                  <c:v>2448.4016064695907</c:v>
                </c:pt>
                <c:pt idx="26">
                  <c:v>2445.3606903209529</c:v>
                </c:pt>
                <c:pt idx="27">
                  <c:v>2442.3055832302884</c:v>
                </c:pt>
                <c:pt idx="28">
                  <c:v>2439.2362189732007</c:v>
                </c:pt>
                <c:pt idx="29">
                  <c:v>2436.1525310162465</c:v>
                </c:pt>
                <c:pt idx="30">
                  <c:v>2433.0544525154928</c:v>
                </c:pt>
                <c:pt idx="31">
                  <c:v>2429.9419163150692</c:v>
                </c:pt>
                <c:pt idx="32">
                  <c:v>2426.8148549457105</c:v>
                </c:pt>
                <c:pt idx="33">
                  <c:v>2423.6732006232946</c:v>
                </c:pt>
                <c:pt idx="34">
                  <c:v>2420.5168852473739</c:v>
                </c:pt>
                <c:pt idx="35">
                  <c:v>2417.3458403996992</c:v>
                </c:pt>
                <c:pt idx="36">
                  <c:v>2414.1599973427351</c:v>
                </c:pt>
                <c:pt idx="37">
                  <c:v>2410.9592870181723</c:v>
                </c:pt>
                <c:pt idx="38">
                  <c:v>2407.7436400454276</c:v>
                </c:pt>
                <c:pt idx="39">
                  <c:v>2404.512986720144</c:v>
                </c:pt>
                <c:pt idx="40">
                  <c:v>2401.2672570126751</c:v>
                </c:pt>
                <c:pt idx="41">
                  <c:v>2398.0063805665718</c:v>
                </c:pt>
                <c:pt idx="42">
                  <c:v>2394.7302866970535</c:v>
                </c:pt>
                <c:pt idx="43">
                  <c:v>2391.4389043894771</c:v>
                </c:pt>
                <c:pt idx="44">
                  <c:v>2388.1321622977985</c:v>
                </c:pt>
                <c:pt idx="45">
                  <c:v>2384.8099887430258</c:v>
                </c:pt>
                <c:pt idx="46">
                  <c:v>2381.4723117116641</c:v>
                </c:pt>
                <c:pt idx="47">
                  <c:v>2378.1190588541558</c:v>
                </c:pt>
                <c:pt idx="48">
                  <c:v>2374.7501574833127</c:v>
                </c:pt>
                <c:pt idx="49">
                  <c:v>2371.3655345727389</c:v>
                </c:pt>
                <c:pt idx="50">
                  <c:v>2367.9651167552488</c:v>
                </c:pt>
                <c:pt idx="51">
                  <c:v>2364.5488303212774</c:v>
                </c:pt>
                <c:pt idx="52">
                  <c:v>2361.1166012172807</c:v>
                </c:pt>
                <c:pt idx="53">
                  <c:v>2357.6683550441321</c:v>
                </c:pt>
                <c:pt idx="54">
                  <c:v>2354.2040170555088</c:v>
                </c:pt>
                <c:pt idx="55">
                  <c:v>2350.7235121562721</c:v>
                </c:pt>
                <c:pt idx="56">
                  <c:v>2347.2267649008386</c:v>
                </c:pt>
                <c:pt idx="57">
                  <c:v>2343.7136994915468</c:v>
                </c:pt>
                <c:pt idx="58">
                  <c:v>2340.1842397770115</c:v>
                </c:pt>
                <c:pt idx="59">
                  <c:v>2336.6383092504748</c:v>
                </c:pt>
                <c:pt idx="60">
                  <c:v>2333.0758310481478</c:v>
                </c:pt>
                <c:pt idx="61">
                  <c:v>2329.4967279475431</c:v>
                </c:pt>
                <c:pt idx="62">
                  <c:v>2325.9009223658027</c:v>
                </c:pt>
                <c:pt idx="63">
                  <c:v>2322.288336358014</c:v>
                </c:pt>
                <c:pt idx="64">
                  <c:v>2318.658891615522</c:v>
                </c:pt>
                <c:pt idx="65">
                  <c:v>2315.0125094642317</c:v>
                </c:pt>
                <c:pt idx="66">
                  <c:v>2311.3491108629023</c:v>
                </c:pt>
                <c:pt idx="67">
                  <c:v>2307.6686164014332</c:v>
                </c:pt>
                <c:pt idx="68">
                  <c:v>2303.9709462991441</c:v>
                </c:pt>
                <c:pt idx="69">
                  <c:v>2300.2560204030442</c:v>
                </c:pt>
                <c:pt idx="70">
                  <c:v>2296.5237581860961</c:v>
                </c:pt>
                <c:pt idx="71">
                  <c:v>2292.7740787454686</c:v>
                </c:pt>
                <c:pt idx="72">
                  <c:v>2289.0069008007849</c:v>
                </c:pt>
                <c:pt idx="73">
                  <c:v>2285.2221426923593</c:v>
                </c:pt>
                <c:pt idx="74">
                  <c:v>2281.4197223794276</c:v>
                </c:pt>
                <c:pt idx="75">
                  <c:v>2277.5995574383692</c:v>
                </c:pt>
                <c:pt idx="76">
                  <c:v>2273.7615650609191</c:v>
                </c:pt>
                <c:pt idx="77">
                  <c:v>2269.9056620523738</c:v>
                </c:pt>
                <c:pt idx="78">
                  <c:v>2266.0317648297892</c:v>
                </c:pt>
                <c:pt idx="79">
                  <c:v>2262.1397894201655</c:v>
                </c:pt>
                <c:pt idx="80">
                  <c:v>2258.2296514586301</c:v>
                </c:pt>
                <c:pt idx="81">
                  <c:v>2254.3012661866078</c:v>
                </c:pt>
                <c:pt idx="82">
                  <c:v>2250.3545484499828</c:v>
                </c:pt>
                <c:pt idx="83">
                  <c:v>2246.3894126972536</c:v>
                </c:pt>
                <c:pt idx="84">
                  <c:v>2242.4057729776782</c:v>
                </c:pt>
                <c:pt idx="85">
                  <c:v>2238.4035429394116</c:v>
                </c:pt>
                <c:pt idx="86">
                  <c:v>2234.3826358276328</c:v>
                </c:pt>
                <c:pt idx="87">
                  <c:v>2230.342964482666</c:v>
                </c:pt>
                <c:pt idx="88">
                  <c:v>2226.2844413380894</c:v>
                </c:pt>
                <c:pt idx="89">
                  <c:v>2222.2069784188379</c:v>
                </c:pt>
                <c:pt idx="90">
                  <c:v>2218.1104873392965</c:v>
                </c:pt>
                <c:pt idx="91">
                  <c:v>2213.9948793013841</c:v>
                </c:pt>
                <c:pt idx="92">
                  <c:v>2209.8600650926278</c:v>
                </c:pt>
                <c:pt idx="93">
                  <c:v>2205.7059550842309</c:v>
                </c:pt>
                <c:pt idx="94">
                  <c:v>2201.5324592291281</c:v>
                </c:pt>
                <c:pt idx="95">
                  <c:v>2197.339487060035</c:v>
                </c:pt>
                <c:pt idx="96">
                  <c:v>2193.1269476874859</c:v>
                </c:pt>
                <c:pt idx="97">
                  <c:v>2188.8947497978647</c:v>
                </c:pt>
                <c:pt idx="98">
                  <c:v>2184.6428016514255</c:v>
                </c:pt>
                <c:pt idx="99">
                  <c:v>2180.3710110803027</c:v>
                </c:pt>
                <c:pt idx="100">
                  <c:v>2176.0792854865149</c:v>
                </c:pt>
                <c:pt idx="101">
                  <c:v>2171.7675318399561</c:v>
                </c:pt>
                <c:pt idx="102">
                  <c:v>2167.4356566763799</c:v>
                </c:pt>
                <c:pt idx="103">
                  <c:v>2163.083566095374</c:v>
                </c:pt>
                <c:pt idx="104">
                  <c:v>2158.7111657583232</c:v>
                </c:pt>
                <c:pt idx="105">
                  <c:v>2154.318360886366</c:v>
                </c:pt>
                <c:pt idx="106">
                  <c:v>2149.9050562583398</c:v>
                </c:pt>
                <c:pt idx="107">
                  <c:v>2145.4711562087164</c:v>
                </c:pt>
                <c:pt idx="108">
                  <c:v>2141.0165646255277</c:v>
                </c:pt>
                <c:pt idx="109">
                  <c:v>2136.5411849482844</c:v>
                </c:pt>
                <c:pt idx="110">
                  <c:v>2132.0449201658803</c:v>
                </c:pt>
                <c:pt idx="111">
                  <c:v>2127.5276728144918</c:v>
                </c:pt>
                <c:pt idx="112">
                  <c:v>2122.9893449754636</c:v>
                </c:pt>
                <c:pt idx="113">
                  <c:v>2118.4298382731868</c:v>
                </c:pt>
                <c:pt idx="114">
                  <c:v>2113.8490538729657</c:v>
                </c:pt>
                <c:pt idx="115">
                  <c:v>2109.2468924788768</c:v>
                </c:pt>
                <c:pt idx="116">
                  <c:v>2104.6232543316155</c:v>
                </c:pt>
                <c:pt idx="117">
                  <c:v>2099.9780392063335</c:v>
                </c:pt>
                <c:pt idx="118">
                  <c:v>2095.3111464104672</c:v>
                </c:pt>
                <c:pt idx="119">
                  <c:v>2090.6224747815536</c:v>
                </c:pt>
                <c:pt idx="120">
                  <c:v>2085.9119226850385</c:v>
                </c:pt>
                <c:pt idx="121">
                  <c:v>2081.1793880120726</c:v>
                </c:pt>
                <c:pt idx="122">
                  <c:v>2076.4247681772999</c:v>
                </c:pt>
                <c:pt idx="123">
                  <c:v>2071.6479601166311</c:v>
                </c:pt>
                <c:pt idx="124">
                  <c:v>2066.848860285013</c:v>
                </c:pt>
                <c:pt idx="125">
                  <c:v>2062.0273646541805</c:v>
                </c:pt>
                <c:pt idx="126">
                  <c:v>2057.183368710404</c:v>
                </c:pt>
                <c:pt idx="127">
                  <c:v>2052.3167674522233</c:v>
                </c:pt>
                <c:pt idx="128">
                  <c:v>2047.4274553881714</c:v>
                </c:pt>
                <c:pt idx="129">
                  <c:v>2042.5153265344868</c:v>
                </c:pt>
                <c:pt idx="130">
                  <c:v>2037.5802744128184</c:v>
                </c:pt>
                <c:pt idx="131">
                  <c:v>2032.6221920479159</c:v>
                </c:pt>
                <c:pt idx="132">
                  <c:v>2027.6409719653102</c:v>
                </c:pt>
                <c:pt idx="133">
                  <c:v>2022.6365061889855</c:v>
                </c:pt>
                <c:pt idx="134">
                  <c:v>2017.6086862390382</c:v>
                </c:pt>
                <c:pt idx="135">
                  <c:v>2012.5574031293243</c:v>
                </c:pt>
                <c:pt idx="136">
                  <c:v>2007.4825473650985</c:v>
                </c:pt>
                <c:pt idx="137">
                  <c:v>2002.3840089406397</c:v>
                </c:pt>
                <c:pt idx="138">
                  <c:v>1997.2616773368668</c:v>
                </c:pt>
                <c:pt idx="139">
                  <c:v>1992.1154415189428</c:v>
                </c:pt>
                <c:pt idx="140">
                  <c:v>1986.9451899338687</c:v>
                </c:pt>
                <c:pt idx="141">
                  <c:v>1981.7508105080642</c:v>
                </c:pt>
                <c:pt idx="142">
                  <c:v>1976.5321906449394</c:v>
                </c:pt>
                <c:pt idx="143">
                  <c:v>1971.2892172224533</c:v>
                </c:pt>
                <c:pt idx="144">
                  <c:v>1966.0217765906621</c:v>
                </c:pt>
                <c:pt idx="145">
                  <c:v>1960.7297545692561</c:v>
                </c:pt>
                <c:pt idx="146">
                  <c:v>1955.4130364450834</c:v>
                </c:pt>
                <c:pt idx="147">
                  <c:v>1950.0715069696644</c:v>
                </c:pt>
                <c:pt idx="148">
                  <c:v>1944.7050503566934</c:v>
                </c:pt>
                <c:pt idx="149">
                  <c:v>1939.313550279529</c:v>
                </c:pt>
                <c:pt idx="150">
                  <c:v>1933.896889868671</c:v>
                </c:pt>
                <c:pt idx="151">
                  <c:v>1928.4549517092289</c:v>
                </c:pt>
                <c:pt idx="152">
                  <c:v>1922.9876178383759</c:v>
                </c:pt>
                <c:pt idx="153">
                  <c:v>1917.4947697427924</c:v>
                </c:pt>
                <c:pt idx="154">
                  <c:v>1911.9762883560963</c:v>
                </c:pt>
                <c:pt idx="155">
                  <c:v>1906.4320540562621</c:v>
                </c:pt>
                <c:pt idx="156">
                  <c:v>1900.8619466630289</c:v>
                </c:pt>
                <c:pt idx="157">
                  <c:v>1895.2658454352936</c:v>
                </c:pt>
                <c:pt idx="158">
                  <c:v>1889.6436290684958</c:v>
                </c:pt>
                <c:pt idx="159">
                  <c:v>1883.9951756919861</c:v>
                </c:pt>
                <c:pt idx="160">
                  <c:v>1878.3203628663859</c:v>
                </c:pt>
                <c:pt idx="161">
                  <c:v>1872.6190675809335</c:v>
                </c:pt>
                <c:pt idx="162">
                  <c:v>1866.8911662508151</c:v>
                </c:pt>
                <c:pt idx="163">
                  <c:v>1861.1365347144897</c:v>
                </c:pt>
                <c:pt idx="164">
                  <c:v>1855.355048230995</c:v>
                </c:pt>
                <c:pt idx="165">
                  <c:v>1849.5465814772435</c:v>
                </c:pt>
                <c:pt idx="166">
                  <c:v>1843.711008545308</c:v>
                </c:pt>
                <c:pt idx="167">
                  <c:v>1837.8482029396903</c:v>
                </c:pt>
                <c:pt idx="168">
                  <c:v>1831.9580375745795</c:v>
                </c:pt>
                <c:pt idx="169">
                  <c:v>1826.0403847710984</c:v>
                </c:pt>
                <c:pt idx="170">
                  <c:v>1820.0951162545341</c:v>
                </c:pt>
                <c:pt idx="171">
                  <c:v>1814.1221031515595</c:v>
                </c:pt>
                <c:pt idx="172">
                  <c:v>1808.1212159874374</c:v>
                </c:pt>
                <c:pt idx="173">
                  <c:v>1802.0923246832162</c:v>
                </c:pt>
                <c:pt idx="174">
                  <c:v>1796.0352985529087</c:v>
                </c:pt>
                <c:pt idx="175">
                  <c:v>1789.9500063006597</c:v>
                </c:pt>
                <c:pt idx="176">
                  <c:v>1783.8363160179003</c:v>
                </c:pt>
                <c:pt idx="177">
                  <c:v>1777.6940951804879</c:v>
                </c:pt>
                <c:pt idx="178">
                  <c:v>1771.5232106458343</c:v>
                </c:pt>
                <c:pt idx="179">
                  <c:v>1765.3235286500192</c:v>
                </c:pt>
                <c:pt idx="180">
                  <c:v>1759.0949148048899</c:v>
                </c:pt>
                <c:pt idx="181">
                  <c:v>1752.8372340951501</c:v>
                </c:pt>
                <c:pt idx="182">
                  <c:v>1746.5503508754316</c:v>
                </c:pt>
                <c:pt idx="183">
                  <c:v>1740.2341288673545</c:v>
                </c:pt>
                <c:pt idx="184">
                  <c:v>1733.8884311565728</c:v>
                </c:pt>
                <c:pt idx="185">
                  <c:v>1727.5131201898078</c:v>
                </c:pt>
                <c:pt idx="186">
                  <c:v>1721.1080577718642</c:v>
                </c:pt>
                <c:pt idx="187">
                  <c:v>1714.673105062637</c:v>
                </c:pt>
                <c:pt idx="188">
                  <c:v>1708.2081225741001</c:v>
                </c:pt>
                <c:pt idx="189">
                  <c:v>1701.7129701672834</c:v>
                </c:pt>
                <c:pt idx="190">
                  <c:v>1695.1875070492349</c:v>
                </c:pt>
                <c:pt idx="191">
                  <c:v>1688.6315917699687</c:v>
                </c:pt>
                <c:pt idx="192">
                  <c:v>1682.0450822193993</c:v>
                </c:pt>
                <c:pt idx="193">
                  <c:v>1675.4278356242605</c:v>
                </c:pt>
                <c:pt idx="194">
                  <c:v>1668.7797085450113</c:v>
                </c:pt>
                <c:pt idx="195">
                  <c:v>1662.1005568727255</c:v>
                </c:pt>
                <c:pt idx="196">
                  <c:v>1655.3902358259691</c:v>
                </c:pt>
                <c:pt idx="197">
                  <c:v>1648.6485999476611</c:v>
                </c:pt>
                <c:pt idx="198">
                  <c:v>1641.8755031019209</c:v>
                </c:pt>
                <c:pt idx="199">
                  <c:v>1635.0707984709006</c:v>
                </c:pt>
                <c:pt idx="200">
                  <c:v>1628.2343385516021</c:v>
                </c:pt>
                <c:pt idx="201">
                  <c:v>1621.3659751526804</c:v>
                </c:pt>
                <c:pt idx="202">
                  <c:v>1614.4655593912303</c:v>
                </c:pt>
                <c:pt idx="203">
                  <c:v>1607.5329416895599</c:v>
                </c:pt>
                <c:pt idx="204">
                  <c:v>1600.5679717719488</c:v>
                </c:pt>
                <c:pt idx="205">
                  <c:v>1593.5704986613887</c:v>
                </c:pt>
                <c:pt idx="206">
                  <c:v>1586.5403706763125</c:v>
                </c:pt>
                <c:pt idx="207">
                  <c:v>1579.4774354273061</c:v>
                </c:pt>
                <c:pt idx="208">
                  <c:v>1572.3815398138045</c:v>
                </c:pt>
                <c:pt idx="209">
                  <c:v>1565.2525300207728</c:v>
                </c:pt>
                <c:pt idx="210">
                  <c:v>1558.0902515153741</c:v>
                </c:pt>
                <c:pt idx="211">
                  <c:v>1550.8945490436165</c:v>
                </c:pt>
                <c:pt idx="212">
                  <c:v>1543.6652666269908</c:v>
                </c:pt>
                <c:pt idx="213">
                  <c:v>1536.4022475590875</c:v>
                </c:pt>
                <c:pt idx="214">
                  <c:v>1529.1053344022007</c:v>
                </c:pt>
                <c:pt idx="215">
                  <c:v>1521.7743689839149</c:v>
                </c:pt>
                <c:pt idx="216">
                  <c:v>1514.4091923936771</c:v>
                </c:pt>
                <c:pt idx="217">
                  <c:v>1507.0096449793518</c:v>
                </c:pt>
                <c:pt idx="218">
                  <c:v>1499.5755663437594</c:v>
                </c:pt>
                <c:pt idx="219">
                  <c:v>1492.106795341201</c:v>
                </c:pt>
                <c:pt idx="220">
                  <c:v>1484.6031700739641</c:v>
                </c:pt>
                <c:pt idx="221">
                  <c:v>1477.0645278888132</c:v>
                </c:pt>
                <c:pt idx="222">
                  <c:v>1469.4907053734651</c:v>
                </c:pt>
                <c:pt idx="223">
                  <c:v>1461.8815383530455</c:v>
                </c:pt>
                <c:pt idx="224">
                  <c:v>1454.2368618865305</c:v>
                </c:pt>
                <c:pt idx="225">
                  <c:v>1446.5565102631717</c:v>
                </c:pt>
                <c:pt idx="226">
                  <c:v>1438.8403169989042</c:v>
                </c:pt>
                <c:pt idx="227">
                  <c:v>1431.0881148327364</c:v>
                </c:pt>
                <c:pt idx="228">
                  <c:v>1423.2997357231266</c:v>
                </c:pt>
                <c:pt idx="229">
                  <c:v>1415.4750108443386</c:v>
                </c:pt>
                <c:pt idx="230">
                  <c:v>1407.613770582783</c:v>
                </c:pt>
                <c:pt idx="231">
                  <c:v>1399.71584453334</c:v>
                </c:pt>
                <c:pt idx="232">
                  <c:v>1391.7810614956666</c:v>
                </c:pt>
                <c:pt idx="233">
                  <c:v>1383.8092494704838</c:v>
                </c:pt>
                <c:pt idx="234">
                  <c:v>1375.8002356558502</c:v>
                </c:pt>
                <c:pt idx="235">
                  <c:v>1367.7538464434149</c:v>
                </c:pt>
                <c:pt idx="236">
                  <c:v>1359.669907414655</c:v>
                </c:pt>
                <c:pt idx="237">
                  <c:v>1351.5482433370942</c:v>
                </c:pt>
                <c:pt idx="238">
                  <c:v>1343.3886781605047</c:v>
                </c:pt>
                <c:pt idx="239">
                  <c:v>1335.1910350130911</c:v>
                </c:pt>
                <c:pt idx="240">
                  <c:v>1326.9551361976562</c:v>
                </c:pt>
                <c:pt idx="241">
                  <c:v>1318.6808031877495</c:v>
                </c:pt>
                <c:pt idx="242">
                  <c:v>1310.3678566237963</c:v>
                </c:pt>
                <c:pt idx="243">
                  <c:v>1302.0161163092114</c:v>
                </c:pt>
                <c:pt idx="244">
                  <c:v>1293.6254012064919</c:v>
                </c:pt>
                <c:pt idx="245">
                  <c:v>1285.1955294332931</c:v>
                </c:pt>
                <c:pt idx="246">
                  <c:v>1276.7263182584857</c:v>
                </c:pt>
                <c:pt idx="247">
                  <c:v>1268.2175840981961</c:v>
                </c:pt>
                <c:pt idx="248">
                  <c:v>1259.6691425118249</c:v>
                </c:pt>
                <c:pt idx="249">
                  <c:v>1251.0808081980508</c:v>
                </c:pt>
                <c:pt idx="250">
                  <c:v>1242.4523949908125</c:v>
                </c:pt>
                <c:pt idx="251">
                  <c:v>1233.7837158552736</c:v>
                </c:pt>
                <c:pt idx="252">
                  <c:v>1225.0745828837689</c:v>
                </c:pt>
                <c:pt idx="253">
                  <c:v>1216.3248072917306</c:v>
                </c:pt>
                <c:pt idx="254">
                  <c:v>1207.5341994135961</c:v>
                </c:pt>
                <c:pt idx="255">
                  <c:v>1198.702568698697</c:v>
                </c:pt>
                <c:pt idx="256">
                  <c:v>1189.8297237071283</c:v>
                </c:pt>
                <c:pt idx="257">
                  <c:v>1180.9154721055991</c:v>
                </c:pt>
                <c:pt idx="258">
                  <c:v>1171.9596206632625</c:v>
                </c:pt>
                <c:pt idx="259">
                  <c:v>1162.9619752475287</c:v>
                </c:pt>
                <c:pt idx="260">
                  <c:v>1153.9223408198545</c:v>
                </c:pt>
                <c:pt idx="261">
                  <c:v>1144.840521431518</c:v>
                </c:pt>
                <c:pt idx="262">
                  <c:v>1135.7163202193692</c:v>
                </c:pt>
                <c:pt idx="263">
                  <c:v>1126.5495394015636</c:v>
                </c:pt>
                <c:pt idx="264">
                  <c:v>1117.3399802732752</c:v>
                </c:pt>
                <c:pt idx="265">
                  <c:v>1108.0874432023877</c:v>
                </c:pt>
                <c:pt idx="266">
                  <c:v>1098.7917276251696</c:v>
                </c:pt>
                <c:pt idx="267">
                  <c:v>1089.4526320419245</c:v>
                </c:pt>
                <c:pt idx="268">
                  <c:v>1080.0699540126243</c:v>
                </c:pt>
                <c:pt idx="269">
                  <c:v>1070.6434901525206</c:v>
                </c:pt>
                <c:pt idx="270">
                  <c:v>1061.1730361277364</c:v>
                </c:pt>
                <c:pt idx="271">
                  <c:v>1051.6583866508367</c:v>
                </c:pt>
                <c:pt idx="272">
                  <c:v>1042.099335476378</c:v>
                </c:pt>
                <c:pt idx="273">
                  <c:v>1032.4956753964384</c:v>
                </c:pt>
                <c:pt idx="274">
                  <c:v>1022.8471982361259</c:v>
                </c:pt>
                <c:pt idx="275">
                  <c:v>1013.1536948490652</c:v>
                </c:pt>
                <c:pt idx="276">
                  <c:v>1003.414955112865</c:v>
                </c:pt>
                <c:pt idx="277">
                  <c:v>993.63076792456241</c:v>
                </c:pt>
                <c:pt idx="278">
                  <c:v>983.80092119604774</c:v>
                </c:pt>
                <c:pt idx="279">
                  <c:v>973.92520184946682</c:v>
                </c:pt>
                <c:pt idx="280">
                  <c:v>964.00339581260175</c:v>
                </c:pt>
                <c:pt idx="281">
                  <c:v>954.03528801423136</c:v>
                </c:pt>
                <c:pt idx="282">
                  <c:v>944.02066237946849</c:v>
                </c:pt>
                <c:pt idx="283">
                  <c:v>933.95930182507686</c:v>
                </c:pt>
                <c:pt idx="284">
                  <c:v>923.85098825476462</c:v>
                </c:pt>
                <c:pt idx="285">
                  <c:v>913.69550255445756</c:v>
                </c:pt>
                <c:pt idx="286">
                  <c:v>903.49262458754913</c:v>
                </c:pt>
                <c:pt idx="287">
                  <c:v>893.24213319012847</c:v>
                </c:pt>
                <c:pt idx="288">
                  <c:v>882.94380616618639</c:v>
                </c:pt>
                <c:pt idx="289">
                  <c:v>872.59742028279948</c:v>
                </c:pt>
                <c:pt idx="290">
                  <c:v>862.20275126528998</c:v>
                </c:pt>
                <c:pt idx="291">
                  <c:v>851.75957379236547</c:v>
                </c:pt>
                <c:pt idx="292">
                  <c:v>841.26766149123387</c:v>
                </c:pt>
                <c:pt idx="293">
                  <c:v>830.726786932697</c:v>
                </c:pt>
                <c:pt idx="294">
                  <c:v>820.13672162622038</c:v>
                </c:pt>
                <c:pt idx="295">
                  <c:v>809.49723601498022</c:v>
                </c:pt>
                <c:pt idx="296">
                  <c:v>798.80809947088756</c:v>
                </c:pt>
                <c:pt idx="297">
                  <c:v>788.06908028958901</c:v>
                </c:pt>
                <c:pt idx="298">
                  <c:v>777.27994568544455</c:v>
                </c:pt>
                <c:pt idx="299">
                  <c:v>766.44046178648068</c:v>
                </c:pt>
                <c:pt idx="300">
                  <c:v>755.55039362932166</c:v>
                </c:pt>
                <c:pt idx="301">
                  <c:v>744.60950515409593</c:v>
                </c:pt>
                <c:pt idx="302">
                  <c:v>733.61755919931909</c:v>
                </c:pt>
                <c:pt idx="303">
                  <c:v>722.57431749675334</c:v>
                </c:pt>
                <c:pt idx="304">
                  <c:v>711.47954066624231</c:v>
                </c:pt>
                <c:pt idx="305">
                  <c:v>700.33298821052222</c:v>
                </c:pt>
                <c:pt idx="306">
                  <c:v>689.1344185100088</c:v>
                </c:pt>
                <c:pt idx="307">
                  <c:v>677.8835888175596</c:v>
                </c:pt>
                <c:pt idx="308">
                  <c:v>666.58025525321239</c:v>
                </c:pt>
                <c:pt idx="309">
                  <c:v>655.22417279889805</c:v>
                </c:pt>
                <c:pt idx="310">
                  <c:v>643.8150952931303</c:v>
                </c:pt>
                <c:pt idx="311">
                  <c:v>632.35277542566905</c:v>
                </c:pt>
                <c:pt idx="312">
                  <c:v>620.83696473215957</c:v>
                </c:pt>
                <c:pt idx="313">
                  <c:v>609.2674135887471</c:v>
                </c:pt>
                <c:pt idx="314">
                  <c:v>597.64387120666527</c:v>
                </c:pt>
                <c:pt idx="315">
                  <c:v>585.96608562680046</c:v>
                </c:pt>
                <c:pt idx="316">
                  <c:v>574.23380371422968</c:v>
                </c:pt>
                <c:pt idx="317">
                  <c:v>562.44677115273339</c:v>
                </c:pt>
                <c:pt idx="318">
                  <c:v>550.60473243928357</c:v>
                </c:pt>
                <c:pt idx="319">
                  <c:v>538.7074308785044</c:v>
                </c:pt>
                <c:pt idx="320">
                  <c:v>526.75460857710812</c:v>
                </c:pt>
                <c:pt idx="321">
                  <c:v>514.74600643830536</c:v>
                </c:pt>
                <c:pt idx="322">
                  <c:v>502.68136415618829</c:v>
                </c:pt>
                <c:pt idx="323">
                  <c:v>490.56042021008795</c:v>
                </c:pt>
                <c:pt idx="324">
                  <c:v>478.38291185890574</c:v>
                </c:pt>
                <c:pt idx="325">
                  <c:v>466.14857513541807</c:v>
                </c:pt>
                <c:pt idx="326">
                  <c:v>453.85714484055416</c:v>
                </c:pt>
                <c:pt idx="327">
                  <c:v>441.50835453764756</c:v>
                </c:pt>
                <c:pt idx="328">
                  <c:v>429.10193654666062</c:v>
                </c:pt>
                <c:pt idx="329">
                  <c:v>416.63762193838255</c:v>
                </c:pt>
                <c:pt idx="330">
                  <c:v>404.11514052859911</c:v>
                </c:pt>
                <c:pt idx="331">
                  <c:v>391.53422087223663</c:v>
                </c:pt>
                <c:pt idx="332">
                  <c:v>378.89459025747783</c:v>
                </c:pt>
                <c:pt idx="333">
                  <c:v>366.19597469985018</c:v>
                </c:pt>
                <c:pt idx="334">
                  <c:v>353.43809893628691</c:v>
                </c:pt>
                <c:pt idx="335">
                  <c:v>340.62068641916034</c:v>
                </c:pt>
                <c:pt idx="336">
                  <c:v>327.74345931028722</c:v>
                </c:pt>
                <c:pt idx="337">
                  <c:v>314.80613847490594</c:v>
                </c:pt>
                <c:pt idx="338">
                  <c:v>301.80844347562629</c:v>
                </c:pt>
                <c:pt idx="339">
                  <c:v>288.75009256634996</c:v>
                </c:pt>
                <c:pt idx="340">
                  <c:v>275.63080268616369</c:v>
                </c:pt>
                <c:pt idx="341">
                  <c:v>262.45028945320325</c:v>
                </c:pt>
                <c:pt idx="342">
                  <c:v>249.20826715848892</c:v>
                </c:pt>
                <c:pt idx="343">
                  <c:v>235.90444875973265</c:v>
                </c:pt>
                <c:pt idx="344">
                  <c:v>222.53854587511549</c:v>
                </c:pt>
                <c:pt idx="345">
                  <c:v>209.11026877703679</c:v>
                </c:pt>
                <c:pt idx="346">
                  <c:v>195.61932638583372</c:v>
                </c:pt>
                <c:pt idx="347">
                  <c:v>182.06542626347172</c:v>
                </c:pt>
                <c:pt idx="348">
                  <c:v>168.44827460720535</c:v>
                </c:pt>
                <c:pt idx="349">
                  <c:v>154.76757624320976</c:v>
                </c:pt>
                <c:pt idx="350">
                  <c:v>141.02303462018216</c:v>
                </c:pt>
                <c:pt idx="351">
                  <c:v>127.21435180291377</c:v>
                </c:pt>
                <c:pt idx="352">
                  <c:v>113.34122846583146</c:v>
                </c:pt>
                <c:pt idx="353">
                  <c:v>99.403363886509439</c:v>
                </c:pt>
                <c:pt idx="354">
                  <c:v>85.400455939150561</c:v>
                </c:pt>
                <c:pt idx="355">
                  <c:v>71.332201088037365</c:v>
                </c:pt>
                <c:pt idx="356">
                  <c:v>57.198294380952298</c:v>
                </c:pt>
                <c:pt idx="357">
                  <c:v>42.998429442567506</c:v>
                </c:pt>
                <c:pt idx="358">
                  <c:v>28.732298467803581</c:v>
                </c:pt>
                <c:pt idx="359">
                  <c:v>14.399592215157426</c:v>
                </c:pt>
              </c:numCache>
            </c:numRef>
          </c:val>
          <c:smooth val="0"/>
          <c:extLst>
            <c:ext xmlns:c16="http://schemas.microsoft.com/office/drawing/2014/chart" uri="{C3380CC4-5D6E-409C-BE32-E72D297353CC}">
              <c16:uniqueId val="{00000002-E16E-4C00-853D-219F657F5C7A}"/>
            </c:ext>
          </c:extLst>
        </c:ser>
        <c:ser>
          <c:idx val="3"/>
          <c:order val="3"/>
          <c:tx>
            <c:strRef>
              <c:f>'Monthly Amort. Sch.'!$Q$17</c:f>
              <c:strCache>
                <c:ptCount val="1"/>
                <c:pt idx="0">
                  <c:v>Principal Without Extra Principal Payments Visual</c:v>
                </c:pt>
              </c:strCache>
            </c:strRef>
          </c:tx>
          <c:spPr>
            <a:ln w="28575" cap="rnd">
              <a:solidFill>
                <a:schemeClr val="accent2">
                  <a:lumMod val="60000"/>
                  <a:lumOff val="40000"/>
                </a:schemeClr>
              </a:solidFill>
              <a:round/>
            </a:ln>
            <a:effectLst/>
          </c:spPr>
          <c:marker>
            <c:symbol val="none"/>
          </c:marker>
          <c:cat>
            <c:numRef>
              <c:f>'Monthly Amort. Sch.'!$K$18:$K$377</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cat>
          <c:val>
            <c:numRef>
              <c:f>'Monthly Amort. Sch.'!$Q$18:$Q$377</c:f>
              <c:numCache>
                <c:formatCode>_("$"* #,##0.00_);_("$"* \(#,##0.00\);_("$"* "-"??_);_(@_)</c:formatCode>
                <c:ptCount val="360"/>
                <c:pt idx="0">
                  <c:v>580.02649546340808</c:v>
                </c:pt>
                <c:pt idx="1">
                  <c:v>582.73328577557049</c:v>
                </c:pt>
                <c:pt idx="2">
                  <c:v>585.4527077758562</c:v>
                </c:pt>
                <c:pt idx="3">
                  <c:v>588.18482041214384</c:v>
                </c:pt>
                <c:pt idx="4">
                  <c:v>590.92968290740055</c:v>
                </c:pt>
                <c:pt idx="5">
                  <c:v>593.68735476096845</c:v>
                </c:pt>
                <c:pt idx="6">
                  <c:v>596.45789574985292</c:v>
                </c:pt>
                <c:pt idx="7">
                  <c:v>599.24136593001913</c:v>
                </c:pt>
                <c:pt idx="8">
                  <c:v>602.03782563769255</c:v>
                </c:pt>
                <c:pt idx="9">
                  <c:v>604.84733549066868</c:v>
                </c:pt>
                <c:pt idx="10">
                  <c:v>607.66995638962499</c:v>
                </c:pt>
                <c:pt idx="11">
                  <c:v>610.50574951944282</c:v>
                </c:pt>
                <c:pt idx="12">
                  <c:v>613.35477635053394</c:v>
                </c:pt>
                <c:pt idx="13">
                  <c:v>616.21709864016975</c:v>
                </c:pt>
                <c:pt idx="14">
                  <c:v>619.0927784338237</c:v>
                </c:pt>
                <c:pt idx="15">
                  <c:v>621.98187806651504</c:v>
                </c:pt>
                <c:pt idx="16">
                  <c:v>624.88446016415855</c:v>
                </c:pt>
                <c:pt idx="17">
                  <c:v>627.80058764492469</c:v>
                </c:pt>
                <c:pt idx="18">
                  <c:v>630.73032372060106</c:v>
                </c:pt>
                <c:pt idx="19">
                  <c:v>633.67373189796353</c:v>
                </c:pt>
                <c:pt idx="20">
                  <c:v>636.63087598015409</c:v>
                </c:pt>
                <c:pt idx="21">
                  <c:v>639.60182006806144</c:v>
                </c:pt>
                <c:pt idx="22">
                  <c:v>642.58662856171259</c:v>
                </c:pt>
                <c:pt idx="23">
                  <c:v>645.58536616166703</c:v>
                </c:pt>
                <c:pt idx="24">
                  <c:v>648.5980978704215</c:v>
                </c:pt>
                <c:pt idx="25">
                  <c:v>651.62488899381742</c:v>
                </c:pt>
                <c:pt idx="26">
                  <c:v>654.66580514245516</c:v>
                </c:pt>
                <c:pt idx="27">
                  <c:v>657.72091223311963</c:v>
                </c:pt>
                <c:pt idx="28">
                  <c:v>660.79027649020736</c:v>
                </c:pt>
                <c:pt idx="29">
                  <c:v>663.8739644471616</c:v>
                </c:pt>
                <c:pt idx="30">
                  <c:v>666.97204294791527</c:v>
                </c:pt>
                <c:pt idx="31">
                  <c:v>670.08457914833889</c:v>
                </c:pt>
                <c:pt idx="32">
                  <c:v>673.21164051769756</c:v>
                </c:pt>
                <c:pt idx="33">
                  <c:v>676.35329484011345</c:v>
                </c:pt>
                <c:pt idx="34">
                  <c:v>679.50961021603416</c:v>
                </c:pt>
                <c:pt idx="35">
                  <c:v>682.68065506370885</c:v>
                </c:pt>
                <c:pt idx="36">
                  <c:v>685.86649812067299</c:v>
                </c:pt>
                <c:pt idx="37">
                  <c:v>689.06720844523579</c:v>
                </c:pt>
                <c:pt idx="38">
                  <c:v>692.2828554179805</c:v>
                </c:pt>
                <c:pt idx="39">
                  <c:v>695.51350874326408</c:v>
                </c:pt>
                <c:pt idx="40">
                  <c:v>698.75923845073294</c:v>
                </c:pt>
                <c:pt idx="41">
                  <c:v>702.02011489683628</c:v>
                </c:pt>
                <c:pt idx="42">
                  <c:v>705.29620876635454</c:v>
                </c:pt>
                <c:pt idx="43">
                  <c:v>708.58759107393098</c:v>
                </c:pt>
                <c:pt idx="44">
                  <c:v>711.89433316560962</c:v>
                </c:pt>
                <c:pt idx="45">
                  <c:v>715.21650672038231</c:v>
                </c:pt>
                <c:pt idx="46">
                  <c:v>718.55418375174395</c:v>
                </c:pt>
                <c:pt idx="47">
                  <c:v>721.90743660925227</c:v>
                </c:pt>
                <c:pt idx="48">
                  <c:v>725.27633798009538</c:v>
                </c:pt>
                <c:pt idx="49">
                  <c:v>728.66096089066923</c:v>
                </c:pt>
                <c:pt idx="50">
                  <c:v>732.06137870815928</c:v>
                </c:pt>
                <c:pt idx="51">
                  <c:v>735.47766514213072</c:v>
                </c:pt>
                <c:pt idx="52">
                  <c:v>738.90989424612735</c:v>
                </c:pt>
                <c:pt idx="53">
                  <c:v>742.35814041927597</c:v>
                </c:pt>
                <c:pt idx="54">
                  <c:v>745.82247840789933</c:v>
                </c:pt>
                <c:pt idx="55">
                  <c:v>749.30298330713595</c:v>
                </c:pt>
                <c:pt idx="56">
                  <c:v>752.79973056256949</c:v>
                </c:pt>
                <c:pt idx="57">
                  <c:v>756.31279597186131</c:v>
                </c:pt>
                <c:pt idx="58">
                  <c:v>759.84225568639658</c:v>
                </c:pt>
                <c:pt idx="59">
                  <c:v>763.38818621293331</c:v>
                </c:pt>
                <c:pt idx="60">
                  <c:v>766.95066441526023</c:v>
                </c:pt>
                <c:pt idx="61">
                  <c:v>770.52976751586493</c:v>
                </c:pt>
                <c:pt idx="62">
                  <c:v>774.12557309760541</c:v>
                </c:pt>
                <c:pt idx="63">
                  <c:v>777.73815910539406</c:v>
                </c:pt>
                <c:pt idx="64">
                  <c:v>781.36760384788613</c:v>
                </c:pt>
                <c:pt idx="65">
                  <c:v>785.01398599917638</c:v>
                </c:pt>
                <c:pt idx="66">
                  <c:v>788.67738460050577</c:v>
                </c:pt>
                <c:pt idx="67">
                  <c:v>792.35787906197493</c:v>
                </c:pt>
                <c:pt idx="68">
                  <c:v>796.05554916426399</c:v>
                </c:pt>
                <c:pt idx="69">
                  <c:v>799.77047506036388</c:v>
                </c:pt>
                <c:pt idx="70">
                  <c:v>803.50273727731201</c:v>
                </c:pt>
                <c:pt idx="71">
                  <c:v>807.25241671793947</c:v>
                </c:pt>
                <c:pt idx="72">
                  <c:v>811.01959466262315</c:v>
                </c:pt>
                <c:pt idx="73">
                  <c:v>814.8043527710488</c:v>
                </c:pt>
                <c:pt idx="74">
                  <c:v>818.60677308398044</c:v>
                </c:pt>
                <c:pt idx="75">
                  <c:v>822.42693802503891</c:v>
                </c:pt>
                <c:pt idx="76">
                  <c:v>826.26493040248897</c:v>
                </c:pt>
                <c:pt idx="77">
                  <c:v>830.12083341103425</c:v>
                </c:pt>
                <c:pt idx="78">
                  <c:v>833.99473063361893</c:v>
                </c:pt>
                <c:pt idx="79">
                  <c:v>837.88670604324261</c:v>
                </c:pt>
                <c:pt idx="80">
                  <c:v>841.79684400477799</c:v>
                </c:pt>
                <c:pt idx="81">
                  <c:v>845.72522927680029</c:v>
                </c:pt>
                <c:pt idx="82">
                  <c:v>849.67194701342532</c:v>
                </c:pt>
                <c:pt idx="83">
                  <c:v>853.63708276615444</c:v>
                </c:pt>
                <c:pt idx="84">
                  <c:v>857.62072248572986</c:v>
                </c:pt>
                <c:pt idx="85">
                  <c:v>861.62295252399645</c:v>
                </c:pt>
                <c:pt idx="86">
                  <c:v>865.64385963577524</c:v>
                </c:pt>
                <c:pt idx="87">
                  <c:v>869.68353098074203</c:v>
                </c:pt>
                <c:pt idx="88">
                  <c:v>873.74205412531865</c:v>
                </c:pt>
                <c:pt idx="89">
                  <c:v>877.81951704457015</c:v>
                </c:pt>
                <c:pt idx="90">
                  <c:v>881.91600812411161</c:v>
                </c:pt>
                <c:pt idx="91">
                  <c:v>886.03161616202397</c:v>
                </c:pt>
                <c:pt idx="92">
                  <c:v>890.16643037078029</c:v>
                </c:pt>
                <c:pt idx="93">
                  <c:v>894.32054037917715</c:v>
                </c:pt>
                <c:pt idx="94">
                  <c:v>898.49403623427997</c:v>
                </c:pt>
                <c:pt idx="95">
                  <c:v>902.68700840337306</c:v>
                </c:pt>
                <c:pt idx="96">
                  <c:v>906.8995477759222</c:v>
                </c:pt>
                <c:pt idx="97">
                  <c:v>911.13174566554335</c:v>
                </c:pt>
                <c:pt idx="98">
                  <c:v>915.38369381198254</c:v>
                </c:pt>
                <c:pt idx="99">
                  <c:v>919.65548438310543</c:v>
                </c:pt>
                <c:pt idx="100">
                  <c:v>923.94720997689319</c:v>
                </c:pt>
                <c:pt idx="101">
                  <c:v>928.25896362345202</c:v>
                </c:pt>
                <c:pt idx="102">
                  <c:v>932.59083878702813</c:v>
                </c:pt>
                <c:pt idx="103">
                  <c:v>936.94292936803413</c:v>
                </c:pt>
                <c:pt idx="104">
                  <c:v>941.31532970508488</c:v>
                </c:pt>
                <c:pt idx="105">
                  <c:v>945.70813457704207</c:v>
                </c:pt>
                <c:pt idx="106">
                  <c:v>950.12143920506833</c:v>
                </c:pt>
                <c:pt idx="107">
                  <c:v>954.55533925469172</c:v>
                </c:pt>
                <c:pt idx="108">
                  <c:v>959.00993083788035</c:v>
                </c:pt>
                <c:pt idx="109">
                  <c:v>963.48531051512373</c:v>
                </c:pt>
                <c:pt idx="110">
                  <c:v>967.9815752975278</c:v>
                </c:pt>
                <c:pt idx="111">
                  <c:v>972.4988226489163</c:v>
                </c:pt>
                <c:pt idx="112">
                  <c:v>977.03715048794447</c:v>
                </c:pt>
                <c:pt idx="113">
                  <c:v>981.59665719022132</c:v>
                </c:pt>
                <c:pt idx="114">
                  <c:v>986.17744159044241</c:v>
                </c:pt>
                <c:pt idx="115">
                  <c:v>990.77960298453127</c:v>
                </c:pt>
                <c:pt idx="116">
                  <c:v>995.40324113179258</c:v>
                </c:pt>
                <c:pt idx="117">
                  <c:v>1000.0484562570746</c:v>
                </c:pt>
                <c:pt idx="118">
                  <c:v>1004.7153490529408</c:v>
                </c:pt>
                <c:pt idx="119">
                  <c:v>1009.4040206818545</c:v>
                </c:pt>
                <c:pt idx="120">
                  <c:v>1014.1145727783696</c:v>
                </c:pt>
                <c:pt idx="121">
                  <c:v>1018.8471074513354</c:v>
                </c:pt>
                <c:pt idx="122">
                  <c:v>1023.6017272861081</c:v>
                </c:pt>
                <c:pt idx="123">
                  <c:v>1028.378535346777</c:v>
                </c:pt>
                <c:pt idx="124">
                  <c:v>1033.1776351783951</c:v>
                </c:pt>
                <c:pt idx="125">
                  <c:v>1037.9991308092276</c:v>
                </c:pt>
                <c:pt idx="126">
                  <c:v>1042.8431267530041</c:v>
                </c:pt>
                <c:pt idx="127">
                  <c:v>1047.7097280111848</c:v>
                </c:pt>
                <c:pt idx="128">
                  <c:v>1052.5990400752366</c:v>
                </c:pt>
                <c:pt idx="129">
                  <c:v>1057.5111689289213</c:v>
                </c:pt>
                <c:pt idx="130">
                  <c:v>1062.4462210505897</c:v>
                </c:pt>
                <c:pt idx="131">
                  <c:v>1067.4043034154922</c:v>
                </c:pt>
                <c:pt idx="132">
                  <c:v>1072.3855234980979</c:v>
                </c:pt>
                <c:pt idx="133">
                  <c:v>1077.3899892744225</c:v>
                </c:pt>
                <c:pt idx="134">
                  <c:v>1082.4178092243699</c:v>
                </c:pt>
                <c:pt idx="135">
                  <c:v>1087.4690923340838</c:v>
                </c:pt>
                <c:pt idx="136">
                  <c:v>1092.5439480983096</c:v>
                </c:pt>
                <c:pt idx="137">
                  <c:v>1097.6424865227684</c:v>
                </c:pt>
                <c:pt idx="138">
                  <c:v>1102.7648181265413</c:v>
                </c:pt>
                <c:pt idx="139">
                  <c:v>1107.9110539444653</c:v>
                </c:pt>
                <c:pt idx="140">
                  <c:v>1113.0813055295393</c:v>
                </c:pt>
                <c:pt idx="141">
                  <c:v>1118.2756849553439</c:v>
                </c:pt>
                <c:pt idx="142">
                  <c:v>1123.4943048184687</c:v>
                </c:pt>
                <c:pt idx="143">
                  <c:v>1128.7372782409548</c:v>
                </c:pt>
                <c:pt idx="144">
                  <c:v>1134.004718872746</c:v>
                </c:pt>
                <c:pt idx="145">
                  <c:v>1139.296740894152</c:v>
                </c:pt>
                <c:pt idx="146">
                  <c:v>1144.6134590183246</c:v>
                </c:pt>
                <c:pt idx="147">
                  <c:v>1149.9549884937437</c:v>
                </c:pt>
                <c:pt idx="148">
                  <c:v>1155.3214451067147</c:v>
                </c:pt>
                <c:pt idx="149">
                  <c:v>1160.7129451838791</c:v>
                </c:pt>
                <c:pt idx="150">
                  <c:v>1166.1296055947371</c:v>
                </c:pt>
                <c:pt idx="151">
                  <c:v>1171.5715437541792</c:v>
                </c:pt>
                <c:pt idx="152">
                  <c:v>1177.0388776250322</c:v>
                </c:pt>
                <c:pt idx="153">
                  <c:v>1182.5317257206157</c:v>
                </c:pt>
                <c:pt idx="154">
                  <c:v>1188.0502071073117</c:v>
                </c:pt>
                <c:pt idx="155">
                  <c:v>1193.594441407146</c:v>
                </c:pt>
                <c:pt idx="156">
                  <c:v>1199.1645488003792</c:v>
                </c:pt>
                <c:pt idx="157">
                  <c:v>1204.7606500281145</c:v>
                </c:pt>
                <c:pt idx="158">
                  <c:v>1210.3828663949123</c:v>
                </c:pt>
                <c:pt idx="159">
                  <c:v>1216.031319771422</c:v>
                </c:pt>
                <c:pt idx="160">
                  <c:v>1221.7061325970221</c:v>
                </c:pt>
                <c:pt idx="161">
                  <c:v>1227.4074278824746</c:v>
                </c:pt>
                <c:pt idx="162">
                  <c:v>1233.135329212593</c:v>
                </c:pt>
                <c:pt idx="163">
                  <c:v>1238.8899607489184</c:v>
                </c:pt>
                <c:pt idx="164">
                  <c:v>1244.6714472324131</c:v>
                </c:pt>
                <c:pt idx="165">
                  <c:v>1250.4799139861645</c:v>
                </c:pt>
                <c:pt idx="166">
                  <c:v>1256.3154869181001</c:v>
                </c:pt>
                <c:pt idx="167">
                  <c:v>1262.1782925237178</c:v>
                </c:pt>
                <c:pt idx="168">
                  <c:v>1268.0684578888286</c:v>
                </c:pt>
                <c:pt idx="169">
                  <c:v>1273.9861106923097</c:v>
                </c:pt>
                <c:pt idx="170">
                  <c:v>1279.931379208874</c:v>
                </c:pt>
                <c:pt idx="171">
                  <c:v>1285.9043923118486</c:v>
                </c:pt>
                <c:pt idx="172">
                  <c:v>1291.9052794759707</c:v>
                </c:pt>
                <c:pt idx="173">
                  <c:v>1297.9341707801918</c:v>
                </c:pt>
                <c:pt idx="174">
                  <c:v>1303.9911969104994</c:v>
                </c:pt>
                <c:pt idx="175">
                  <c:v>1310.0764891627484</c:v>
                </c:pt>
                <c:pt idx="176">
                  <c:v>1316.1901794455077</c:v>
                </c:pt>
                <c:pt idx="177">
                  <c:v>1322.3324002829202</c:v>
                </c:pt>
                <c:pt idx="178">
                  <c:v>1328.5032848175738</c:v>
                </c:pt>
                <c:pt idx="179">
                  <c:v>1334.7029668133889</c:v>
                </c:pt>
                <c:pt idx="180">
                  <c:v>1340.9315806585182</c:v>
                </c:pt>
                <c:pt idx="181">
                  <c:v>1347.189261368258</c:v>
                </c:pt>
                <c:pt idx="182">
                  <c:v>1353.4761445879765</c:v>
                </c:pt>
                <c:pt idx="183">
                  <c:v>1359.7923665960536</c:v>
                </c:pt>
                <c:pt idx="184">
                  <c:v>1366.1380643068353</c:v>
                </c:pt>
                <c:pt idx="185">
                  <c:v>1372.5133752736003</c:v>
                </c:pt>
                <c:pt idx="186">
                  <c:v>1378.9184376915439</c:v>
                </c:pt>
                <c:pt idx="187">
                  <c:v>1385.3533904007711</c:v>
                </c:pt>
                <c:pt idx="188">
                  <c:v>1391.818372889308</c:v>
                </c:pt>
                <c:pt idx="189">
                  <c:v>1398.3135252961247</c:v>
                </c:pt>
                <c:pt idx="190">
                  <c:v>1404.8389884141732</c:v>
                </c:pt>
                <c:pt idx="191">
                  <c:v>1411.3949036934393</c:v>
                </c:pt>
                <c:pt idx="192">
                  <c:v>1417.9814132440088</c:v>
                </c:pt>
                <c:pt idx="193">
                  <c:v>1424.5986598391476</c:v>
                </c:pt>
                <c:pt idx="194">
                  <c:v>1431.2467869183968</c:v>
                </c:pt>
                <c:pt idx="195">
                  <c:v>1437.9259385906826</c:v>
                </c:pt>
                <c:pt idx="196">
                  <c:v>1444.636259637439</c:v>
                </c:pt>
                <c:pt idx="197">
                  <c:v>1451.377895515747</c:v>
                </c:pt>
                <c:pt idx="198">
                  <c:v>1458.1509923614872</c:v>
                </c:pt>
                <c:pt idx="199">
                  <c:v>1464.9556969925075</c:v>
                </c:pt>
                <c:pt idx="200">
                  <c:v>1471.7921569118059</c:v>
                </c:pt>
                <c:pt idx="201">
                  <c:v>1478.6605203107276</c:v>
                </c:pt>
                <c:pt idx="202">
                  <c:v>1485.5609360721778</c:v>
                </c:pt>
                <c:pt idx="203">
                  <c:v>1492.4935537738481</c:v>
                </c:pt>
                <c:pt idx="204">
                  <c:v>1499.4585236914593</c:v>
                </c:pt>
                <c:pt idx="205">
                  <c:v>1506.4559968020194</c:v>
                </c:pt>
                <c:pt idx="206">
                  <c:v>1513.4861247870956</c:v>
                </c:pt>
                <c:pt idx="207">
                  <c:v>1520.549060036102</c:v>
                </c:pt>
                <c:pt idx="208">
                  <c:v>1527.6449556496036</c:v>
                </c:pt>
                <c:pt idx="209">
                  <c:v>1534.7739654426352</c:v>
                </c:pt>
                <c:pt idx="210">
                  <c:v>1541.936243948034</c:v>
                </c:pt>
                <c:pt idx="211">
                  <c:v>1549.1319464197916</c:v>
                </c:pt>
                <c:pt idx="212">
                  <c:v>1556.3612288364172</c:v>
                </c:pt>
                <c:pt idx="213">
                  <c:v>1563.6242479043206</c:v>
                </c:pt>
                <c:pt idx="214">
                  <c:v>1570.9211610612074</c:v>
                </c:pt>
                <c:pt idx="215">
                  <c:v>1578.2521264794932</c:v>
                </c:pt>
                <c:pt idx="216">
                  <c:v>1585.617303069731</c:v>
                </c:pt>
                <c:pt idx="217">
                  <c:v>1593.0168504840562</c:v>
                </c:pt>
                <c:pt idx="218">
                  <c:v>1600.4509291196487</c:v>
                </c:pt>
                <c:pt idx="219">
                  <c:v>1607.9197001222071</c:v>
                </c:pt>
                <c:pt idx="220">
                  <c:v>1615.423325389444</c:v>
                </c:pt>
                <c:pt idx="221">
                  <c:v>1622.9619675745948</c:v>
                </c:pt>
                <c:pt idx="222">
                  <c:v>1630.535790089943</c:v>
                </c:pt>
                <c:pt idx="223">
                  <c:v>1638.1449571103626</c:v>
                </c:pt>
                <c:pt idx="224">
                  <c:v>1645.7896335768776</c:v>
                </c:pt>
                <c:pt idx="225">
                  <c:v>1653.4699852002364</c:v>
                </c:pt>
                <c:pt idx="226">
                  <c:v>1661.1861784645039</c:v>
                </c:pt>
                <c:pt idx="227">
                  <c:v>1668.9383806306716</c:v>
                </c:pt>
                <c:pt idx="228">
                  <c:v>1676.7267597402815</c:v>
                </c:pt>
                <c:pt idx="229">
                  <c:v>1684.5514846190695</c:v>
                </c:pt>
                <c:pt idx="230">
                  <c:v>1692.4127248806251</c:v>
                </c:pt>
                <c:pt idx="231">
                  <c:v>1700.3106509300681</c:v>
                </c:pt>
                <c:pt idx="232">
                  <c:v>1708.2454339677415</c:v>
                </c:pt>
                <c:pt idx="233">
                  <c:v>1716.2172459929243</c:v>
                </c:pt>
                <c:pt idx="234">
                  <c:v>1724.2262598075579</c:v>
                </c:pt>
                <c:pt idx="235">
                  <c:v>1732.2726490199932</c:v>
                </c:pt>
                <c:pt idx="236">
                  <c:v>1740.3565880487531</c:v>
                </c:pt>
                <c:pt idx="237">
                  <c:v>1748.4782521263139</c:v>
                </c:pt>
                <c:pt idx="238">
                  <c:v>1756.6378173029034</c:v>
                </c:pt>
                <c:pt idx="239">
                  <c:v>1764.835460450317</c:v>
                </c:pt>
                <c:pt idx="240">
                  <c:v>1773.0713592657519</c:v>
                </c:pt>
                <c:pt idx="241">
                  <c:v>1781.3456922756586</c:v>
                </c:pt>
                <c:pt idx="242">
                  <c:v>1789.6586388396117</c:v>
                </c:pt>
                <c:pt idx="243">
                  <c:v>1798.0103791541967</c:v>
                </c:pt>
                <c:pt idx="244">
                  <c:v>1806.4010942569162</c:v>
                </c:pt>
                <c:pt idx="245">
                  <c:v>1814.830966030115</c:v>
                </c:pt>
                <c:pt idx="246">
                  <c:v>1823.3001772049224</c:v>
                </c:pt>
                <c:pt idx="247">
                  <c:v>1831.808911365212</c:v>
                </c:pt>
                <c:pt idx="248">
                  <c:v>1840.3573529515832</c:v>
                </c:pt>
                <c:pt idx="249">
                  <c:v>1848.9456872653573</c:v>
                </c:pt>
                <c:pt idx="250">
                  <c:v>1857.5741004725955</c:v>
                </c:pt>
                <c:pt idx="251">
                  <c:v>1866.2427796081345</c:v>
                </c:pt>
                <c:pt idx="252">
                  <c:v>1874.9519125796392</c:v>
                </c:pt>
                <c:pt idx="253">
                  <c:v>1883.7016881716775</c:v>
                </c:pt>
                <c:pt idx="254">
                  <c:v>1892.492296049812</c:v>
                </c:pt>
                <c:pt idx="255">
                  <c:v>1901.3239267647111</c:v>
                </c:pt>
                <c:pt idx="256">
                  <c:v>1910.1967717562798</c:v>
                </c:pt>
                <c:pt idx="257">
                  <c:v>1919.111023357809</c:v>
                </c:pt>
                <c:pt idx="258">
                  <c:v>1928.0668748001456</c:v>
                </c:pt>
                <c:pt idx="259">
                  <c:v>1937.0645202158794</c:v>
                </c:pt>
                <c:pt idx="260">
                  <c:v>1946.1041546435536</c:v>
                </c:pt>
                <c:pt idx="261">
                  <c:v>1955.1859740318901</c:v>
                </c:pt>
                <c:pt idx="262">
                  <c:v>1964.3101752440389</c:v>
                </c:pt>
                <c:pt idx="263">
                  <c:v>1973.4769560618445</c:v>
                </c:pt>
                <c:pt idx="264">
                  <c:v>1982.6865151901329</c:v>
                </c:pt>
                <c:pt idx="265">
                  <c:v>1991.9390522610204</c:v>
                </c:pt>
                <c:pt idx="266">
                  <c:v>2001.2347678382384</c:v>
                </c:pt>
                <c:pt idx="267">
                  <c:v>2010.5738634214836</c:v>
                </c:pt>
                <c:pt idx="268">
                  <c:v>2019.9565414507838</c:v>
                </c:pt>
                <c:pt idx="269">
                  <c:v>2029.3830053108875</c:v>
                </c:pt>
                <c:pt idx="270">
                  <c:v>2038.8534593356717</c:v>
                </c:pt>
                <c:pt idx="271">
                  <c:v>2048.3681088125713</c:v>
                </c:pt>
                <c:pt idx="272">
                  <c:v>2057.9271599870299</c:v>
                </c:pt>
                <c:pt idx="273">
                  <c:v>2067.5308200669697</c:v>
                </c:pt>
                <c:pt idx="274">
                  <c:v>2077.1792972272824</c:v>
                </c:pt>
                <c:pt idx="275">
                  <c:v>2086.8728006143429</c:v>
                </c:pt>
                <c:pt idx="276">
                  <c:v>2096.6115403505432</c:v>
                </c:pt>
                <c:pt idx="277">
                  <c:v>2106.3957275388457</c:v>
                </c:pt>
                <c:pt idx="278">
                  <c:v>2116.2255742673606</c:v>
                </c:pt>
                <c:pt idx="279">
                  <c:v>2126.1012936139414</c:v>
                </c:pt>
                <c:pt idx="280">
                  <c:v>2136.0230996508062</c:v>
                </c:pt>
                <c:pt idx="281">
                  <c:v>2145.9912074491767</c:v>
                </c:pt>
                <c:pt idx="282">
                  <c:v>2156.0058330839397</c:v>
                </c:pt>
                <c:pt idx="283">
                  <c:v>2166.0671936383314</c:v>
                </c:pt>
                <c:pt idx="284">
                  <c:v>2176.1755072086435</c:v>
                </c:pt>
                <c:pt idx="285">
                  <c:v>2186.3309929089505</c:v>
                </c:pt>
                <c:pt idx="286">
                  <c:v>2196.5338708758591</c:v>
                </c:pt>
                <c:pt idx="287">
                  <c:v>2206.7843622732798</c:v>
                </c:pt>
                <c:pt idx="288">
                  <c:v>2217.0826892972218</c:v>
                </c:pt>
                <c:pt idx="289">
                  <c:v>2227.4290751806084</c:v>
                </c:pt>
                <c:pt idx="290">
                  <c:v>2237.8237441981182</c:v>
                </c:pt>
                <c:pt idx="291">
                  <c:v>2248.2669216710428</c:v>
                </c:pt>
                <c:pt idx="292">
                  <c:v>2258.7588339721742</c:v>
                </c:pt>
                <c:pt idx="293">
                  <c:v>2269.2997085307111</c:v>
                </c:pt>
                <c:pt idx="294">
                  <c:v>2279.8897738371879</c:v>
                </c:pt>
                <c:pt idx="295">
                  <c:v>2290.5292594484281</c:v>
                </c:pt>
                <c:pt idx="296">
                  <c:v>2301.2183959925205</c:v>
                </c:pt>
                <c:pt idx="297">
                  <c:v>2311.9574151738188</c:v>
                </c:pt>
                <c:pt idx="298">
                  <c:v>2322.7465497779635</c:v>
                </c:pt>
                <c:pt idx="299">
                  <c:v>2333.5860336769274</c:v>
                </c:pt>
                <c:pt idx="300">
                  <c:v>2344.4761018340864</c:v>
                </c:pt>
                <c:pt idx="301">
                  <c:v>2355.416990309312</c:v>
                </c:pt>
                <c:pt idx="302">
                  <c:v>2366.4089362640889</c:v>
                </c:pt>
                <c:pt idx="303">
                  <c:v>2377.4521779666547</c:v>
                </c:pt>
                <c:pt idx="304">
                  <c:v>2388.5469547971657</c:v>
                </c:pt>
                <c:pt idx="305">
                  <c:v>2399.6935072528859</c:v>
                </c:pt>
                <c:pt idx="306">
                  <c:v>2410.8920769533993</c:v>
                </c:pt>
                <c:pt idx="307">
                  <c:v>2422.1429066458486</c:v>
                </c:pt>
                <c:pt idx="308">
                  <c:v>2433.4462402101958</c:v>
                </c:pt>
                <c:pt idx="309">
                  <c:v>2444.80232266451</c:v>
                </c:pt>
                <c:pt idx="310">
                  <c:v>2456.2114001702776</c:v>
                </c:pt>
                <c:pt idx="311">
                  <c:v>2467.6737200377393</c:v>
                </c:pt>
                <c:pt idx="312">
                  <c:v>2479.1895307312484</c:v>
                </c:pt>
                <c:pt idx="313">
                  <c:v>2490.7590818746612</c:v>
                </c:pt>
                <c:pt idx="314">
                  <c:v>2502.3826242567429</c:v>
                </c:pt>
                <c:pt idx="315">
                  <c:v>2514.0604098366075</c:v>
                </c:pt>
                <c:pt idx="316">
                  <c:v>2525.7926917491786</c:v>
                </c:pt>
                <c:pt idx="317">
                  <c:v>2537.5797243106745</c:v>
                </c:pt>
                <c:pt idx="318">
                  <c:v>2549.4217630241246</c:v>
                </c:pt>
                <c:pt idx="319">
                  <c:v>2561.3190645849036</c:v>
                </c:pt>
                <c:pt idx="320">
                  <c:v>2573.2718868862999</c:v>
                </c:pt>
                <c:pt idx="321">
                  <c:v>2585.2804890251027</c:v>
                </c:pt>
                <c:pt idx="322">
                  <c:v>2597.3451313072196</c:v>
                </c:pt>
                <c:pt idx="323">
                  <c:v>2609.46607525332</c:v>
                </c:pt>
                <c:pt idx="324">
                  <c:v>2621.6435836045025</c:v>
                </c:pt>
                <c:pt idx="325">
                  <c:v>2633.8779203279901</c:v>
                </c:pt>
                <c:pt idx="326">
                  <c:v>2646.1693506228539</c:v>
                </c:pt>
                <c:pt idx="327">
                  <c:v>2658.5181409257607</c:v>
                </c:pt>
                <c:pt idx="328">
                  <c:v>2670.9245589167476</c:v>
                </c:pt>
                <c:pt idx="329">
                  <c:v>2683.3888735250257</c:v>
                </c:pt>
                <c:pt idx="330">
                  <c:v>2695.911354934809</c:v>
                </c:pt>
                <c:pt idx="331">
                  <c:v>2708.4922745911713</c:v>
                </c:pt>
                <c:pt idx="332">
                  <c:v>2721.1319052059303</c:v>
                </c:pt>
                <c:pt idx="333">
                  <c:v>2733.8305207635581</c:v>
                </c:pt>
                <c:pt idx="334">
                  <c:v>2746.5883965271214</c:v>
                </c:pt>
                <c:pt idx="335">
                  <c:v>2759.4058090442477</c:v>
                </c:pt>
                <c:pt idx="336">
                  <c:v>2772.283036153121</c:v>
                </c:pt>
                <c:pt idx="337">
                  <c:v>2785.2203569885023</c:v>
                </c:pt>
                <c:pt idx="338">
                  <c:v>2798.218051987782</c:v>
                </c:pt>
                <c:pt idx="339">
                  <c:v>2811.2764028970582</c:v>
                </c:pt>
                <c:pt idx="340">
                  <c:v>2824.3956927772442</c:v>
                </c:pt>
                <c:pt idx="341">
                  <c:v>2837.5762060102047</c:v>
                </c:pt>
                <c:pt idx="342">
                  <c:v>2850.8182283049191</c:v>
                </c:pt>
                <c:pt idx="343">
                  <c:v>2864.1220467036756</c:v>
                </c:pt>
                <c:pt idx="344">
                  <c:v>2877.4879495882924</c:v>
                </c:pt>
                <c:pt idx="345">
                  <c:v>2890.9162266863714</c:v>
                </c:pt>
                <c:pt idx="346">
                  <c:v>2904.4071690775745</c:v>
                </c:pt>
                <c:pt idx="347">
                  <c:v>2917.9610691999364</c:v>
                </c:pt>
                <c:pt idx="348">
                  <c:v>2931.5782208562027</c:v>
                </c:pt>
                <c:pt idx="349">
                  <c:v>2945.2589192201985</c:v>
                </c:pt>
                <c:pt idx="350">
                  <c:v>2959.0034608432261</c:v>
                </c:pt>
                <c:pt idx="351">
                  <c:v>2972.8121436604943</c:v>
                </c:pt>
                <c:pt idx="352">
                  <c:v>2986.6852669975765</c:v>
                </c:pt>
                <c:pt idx="353">
                  <c:v>3000.6231315768987</c:v>
                </c:pt>
                <c:pt idx="354">
                  <c:v>3014.6260395242575</c:v>
                </c:pt>
                <c:pt idx="355">
                  <c:v>3028.6942943753706</c:v>
                </c:pt>
                <c:pt idx="356">
                  <c:v>3042.828201082456</c:v>
                </c:pt>
                <c:pt idx="357">
                  <c:v>3057.0280660208405</c:v>
                </c:pt>
                <c:pt idx="358">
                  <c:v>3071.2941969956046</c:v>
                </c:pt>
                <c:pt idx="359">
                  <c:v>3085.6269032482505</c:v>
                </c:pt>
              </c:numCache>
            </c:numRef>
          </c:val>
          <c:smooth val="0"/>
          <c:extLst>
            <c:ext xmlns:c16="http://schemas.microsoft.com/office/drawing/2014/chart" uri="{C3380CC4-5D6E-409C-BE32-E72D297353CC}">
              <c16:uniqueId val="{00000003-E16E-4C00-853D-219F657F5C7A}"/>
            </c:ext>
          </c:extLst>
        </c:ser>
        <c:dLbls>
          <c:showLegendKey val="0"/>
          <c:showVal val="0"/>
          <c:showCatName val="0"/>
          <c:showSerName val="0"/>
          <c:showPercent val="0"/>
          <c:showBubbleSize val="0"/>
        </c:dLbls>
        <c:smooth val="0"/>
        <c:axId val="729236920"/>
        <c:axId val="729227560"/>
      </c:lineChart>
      <c:dateAx>
        <c:axId val="72923692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Months</a:t>
                </a:r>
                <a:r>
                  <a:rPr lang="en-US" baseline="0"/>
                  <a:t> (Loan Payment #)</a:t>
                </a:r>
                <a:endParaRPr lang="en-US"/>
              </a:p>
            </c:rich>
          </c:tx>
          <c:layout>
            <c:manualLayout>
              <c:xMode val="edge"/>
              <c:yMode val="edge"/>
              <c:x val="0.37332001140845594"/>
              <c:y val="0.6717792814709779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9227560"/>
        <c:crosses val="autoZero"/>
        <c:auto val="0"/>
        <c:lblOffset val="100"/>
        <c:baseTimeUnit val="days"/>
      </c:dateAx>
      <c:valAx>
        <c:axId val="729227560"/>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9236920"/>
        <c:crosses val="autoZero"/>
        <c:crossBetween val="between"/>
      </c:valAx>
      <c:spPr>
        <a:noFill/>
        <a:ln>
          <a:noFill/>
        </a:ln>
        <a:effectLst/>
      </c:spPr>
    </c:plotArea>
    <c:legend>
      <c:legendPos val="b"/>
      <c:layout>
        <c:manualLayout>
          <c:xMode val="edge"/>
          <c:yMode val="edge"/>
          <c:x val="0.22711972466949948"/>
          <c:y val="0.76756673941854103"/>
          <c:w val="0.54561830850053006"/>
          <c:h val="0.1626386542483018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50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Cumulative Principal With</a:t>
            </a:r>
            <a:r>
              <a:rPr lang="en-US" baseline="0"/>
              <a:t> &amp; Without </a:t>
            </a:r>
          </a:p>
          <a:p>
            <a:pPr>
              <a:defRPr/>
            </a:pPr>
            <a:r>
              <a:rPr lang="en-US" baseline="0"/>
              <a:t>Extra Principal Payments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'Monthly Amort. Sch.'!$U$17</c:f>
              <c:strCache>
                <c:ptCount val="1"/>
                <c:pt idx="0">
                  <c:v>Cumulative Principal With Extra Principal Payments Visual</c:v>
                </c:pt>
              </c:strCache>
            </c:strRef>
          </c:tx>
          <c:spPr>
            <a:ln w="28575" cap="rnd">
              <a:solidFill>
                <a:schemeClr val="tx2"/>
              </a:solidFill>
              <a:round/>
            </a:ln>
            <a:effectLst/>
          </c:spPr>
          <c:marker>
            <c:symbol val="none"/>
          </c:marker>
          <c:cat>
            <c:numRef>
              <c:f>'Monthly Amort. Sch.'!$K$18:$K$377</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cat>
          <c:val>
            <c:numRef>
              <c:f>'Monthly Amort. Sch.'!$U$18:$U$377</c:f>
              <c:numCache>
                <c:formatCode>_("$"* #,##0.00_);_("$"* \(#,##0.00\);_("$"* "-"??_);_(@_)</c:formatCode>
                <c:ptCount val="360"/>
                <c:pt idx="0">
                  <c:v>580.02649546340808</c:v>
                </c:pt>
                <c:pt idx="1">
                  <c:v>1162.7597812389786</c:v>
                </c:pt>
                <c:pt idx="2">
                  <c:v>1748.2124890148348</c:v>
                </c:pt>
                <c:pt idx="3">
                  <c:v>2336.3973094269786</c:v>
                </c:pt>
                <c:pt idx="4">
                  <c:v>2927.3269923343792</c:v>
                </c:pt>
                <c:pt idx="5">
                  <c:v>3521.0143470953476</c:v>
                </c:pt>
                <c:pt idx="6">
                  <c:v>4117.4722428452005</c:v>
                </c:pt>
                <c:pt idx="7">
                  <c:v>4716.7136087752197</c:v>
                </c:pt>
                <c:pt idx="8">
                  <c:v>5318.7514344129122</c:v>
                </c:pt>
                <c:pt idx="9">
                  <c:v>6423.5987699035813</c:v>
                </c:pt>
                <c:pt idx="10">
                  <c:v>7033.6020596265389</c:v>
                </c:pt>
                <c:pt idx="11">
                  <c:v>7646.4520313682042</c:v>
                </c:pt>
                <c:pt idx="12">
                  <c:v>8262.1619696446651</c:v>
                </c:pt>
                <c:pt idx="13">
                  <c:v>8880.7452209664152</c:v>
                </c:pt>
                <c:pt idx="14">
                  <c:v>9502.2151941276679</c:v>
                </c:pt>
                <c:pt idx="15">
                  <c:v>10126.585360497005</c:v>
                </c:pt>
                <c:pt idx="16">
                  <c:v>10753.8692543094</c:v>
                </c:pt>
                <c:pt idx="17">
                  <c:v>11384.080472959586</c:v>
                </c:pt>
                <c:pt idx="18">
                  <c:v>12017.232677296806</c:v>
                </c:pt>
                <c:pt idx="19">
                  <c:v>13153.339591920932</c:v>
                </c:pt>
                <c:pt idx="20">
                  <c:v>13794.748338813306</c:v>
                </c:pt>
                <c:pt idx="21">
                  <c:v>14439.15032652451</c:v>
                </c:pt>
                <c:pt idx="22">
                  <c:v>15086.5595235117</c:v>
                </c:pt>
                <c:pt idx="23">
                  <c:v>15736.989963418164</c:v>
                </c:pt>
                <c:pt idx="24">
                  <c:v>16390.455745377523</c:v>
                </c:pt>
                <c:pt idx="25">
                  <c:v>17046.971034319358</c:v>
                </c:pt>
                <c:pt idx="26">
                  <c:v>17706.550061276255</c:v>
                </c:pt>
                <c:pt idx="27">
                  <c:v>18369.207123692286</c:v>
                </c:pt>
                <c:pt idx="28">
                  <c:v>19034.956585732925</c:v>
                </c:pt>
                <c:pt idx="29">
                  <c:v>20203.812878596422</c:v>
                </c:pt>
                <c:pt idx="30">
                  <c:v>20878.123834159946</c:v>
                </c:pt>
                <c:pt idx="31">
                  <c:v>21555.581574182768</c:v>
                </c:pt>
                <c:pt idx="32">
                  <c:v>22236.200783659031</c:v>
                </c:pt>
                <c:pt idx="33">
                  <c:v>22919.99621611285</c:v>
                </c:pt>
                <c:pt idx="34">
                  <c:v>23606.982693918118</c:v>
                </c:pt>
                <c:pt idx="35">
                  <c:v>24297.175108619813</c:v>
                </c:pt>
                <c:pt idx="36">
                  <c:v>24990.58842125678</c:v>
                </c:pt>
                <c:pt idx="37">
                  <c:v>25687.237662686053</c:v>
                </c:pt>
                <c:pt idx="38">
                  <c:v>26387.137933908663</c:v>
                </c:pt>
                <c:pt idx="39">
                  <c:v>28090.304406396979</c:v>
                </c:pt>
                <c:pt idx="40">
                  <c:v>28801.418989090242</c:v>
                </c:pt>
                <c:pt idx="41">
                  <c:v>29515.852106502738</c:v>
                </c:pt>
                <c:pt idx="42">
                  <c:v>30233.619245129827</c:v>
                </c:pt>
                <c:pt idx="43">
                  <c:v>30954.735963737174</c:v>
                </c:pt>
                <c:pt idx="44">
                  <c:v>31679.217893698024</c:v>
                </c:pt>
                <c:pt idx="45">
                  <c:v>32407.080739332021</c:v>
                </c:pt>
                <c:pt idx="46">
                  <c:v>33138.340278245647</c:v>
                </c:pt>
                <c:pt idx="47">
                  <c:v>33873.012361674198</c:v>
                </c:pt>
                <c:pt idx="48">
                  <c:v>34611.112914825419</c:v>
                </c:pt>
                <c:pt idx="49">
                  <c:v>35852.657937224678</c:v>
                </c:pt>
                <c:pt idx="50">
                  <c:v>36599.996836395134</c:v>
                </c:pt>
                <c:pt idx="51">
                  <c:v>37350.823317095055</c:v>
                </c:pt>
                <c:pt idx="52">
                  <c:v>38105.153654704904</c:v>
                </c:pt>
                <c:pt idx="53">
                  <c:v>38863.004200556934</c:v>
                </c:pt>
                <c:pt idx="54">
                  <c:v>39624.391382289607</c:v>
                </c:pt>
                <c:pt idx="55">
                  <c:v>40389.331704203702</c:v>
                </c:pt>
                <c:pt idx="56">
                  <c:v>41157.841747620063</c:v>
                </c:pt>
                <c:pt idx="57">
                  <c:v>41929.938171239031</c:v>
                </c:pt>
                <c:pt idx="58">
                  <c:v>42705.637711501557</c:v>
                </c:pt>
                <c:pt idx="59">
                  <c:v>48484.95718295197</c:v>
                </c:pt>
                <c:pt idx="60">
                  <c:v>49291.246811935824</c:v>
                </c:pt>
                <c:pt idx="61">
                  <c:v>50101.29912585493</c:v>
                </c:pt>
                <c:pt idx="62">
                  <c:v>50915.13168390566</c:v>
                </c:pt>
                <c:pt idx="63">
                  <c:v>51732.762127227295</c:v>
                </c:pt>
                <c:pt idx="64">
                  <c:v>52554.208179284433</c:v>
                </c:pt>
                <c:pt idx="65">
                  <c:v>53379.487646251167</c:v>
                </c:pt>
                <c:pt idx="66">
                  <c:v>54208.618417397083</c:v>
                </c:pt>
                <c:pt idx="67">
                  <c:v>55041.61846547501</c:v>
                </c:pt>
                <c:pt idx="68">
                  <c:v>55878.505847110639</c:v>
                </c:pt>
                <c:pt idx="69">
                  <c:v>57219.298703193897</c:v>
                </c:pt>
                <c:pt idx="70">
                  <c:v>58066.348592605544</c:v>
                </c:pt>
                <c:pt idx="71">
                  <c:v>58917.35138150111</c:v>
                </c:pt>
                <c:pt idx="72">
                  <c:v>59772.325516744859</c:v>
                </c:pt>
                <c:pt idx="73">
                  <c:v>60631.289531286413</c:v>
                </c:pt>
                <c:pt idx="74">
                  <c:v>61494.262044562493</c:v>
                </c:pt>
                <c:pt idx="75">
                  <c:v>62361.261762900525</c:v>
                </c:pt>
                <c:pt idx="76">
                  <c:v>63232.307479924137</c:v>
                </c:pt>
                <c:pt idx="77">
                  <c:v>64107.418076960523</c:v>
                </c:pt>
                <c:pt idx="78">
                  <c:v>64986.612523449745</c:v>
                </c:pt>
                <c:pt idx="79">
                  <c:v>66369.909877355924</c:v>
                </c:pt>
                <c:pt idx="80">
                  <c:v>67259.662618913659</c:v>
                </c:pt>
                <c:pt idx="81">
                  <c:v>68153.567539932003</c:v>
                </c:pt>
                <c:pt idx="82">
                  <c:v>69051.644017248429</c:v>
                </c:pt>
                <c:pt idx="83">
                  <c:v>69953.911518125664</c:v>
                </c:pt>
                <c:pt idx="84">
                  <c:v>70860.389600673661</c:v>
                </c:pt>
                <c:pt idx="85">
                  <c:v>71771.097914273545</c:v>
                </c:pt>
                <c:pt idx="86">
                  <c:v>72686.056200003557</c:v>
                </c:pt>
                <c:pt idx="87">
                  <c:v>73605.284291066986</c:v>
                </c:pt>
                <c:pt idx="88">
                  <c:v>74528.802113222046</c:v>
                </c:pt>
                <c:pt idx="89">
                  <c:v>79456.629685213818</c:v>
                </c:pt>
                <c:pt idx="90">
                  <c:v>80407.453785874895</c:v>
                </c:pt>
                <c:pt idx="91">
                  <c:v>81362.715065672382</c:v>
                </c:pt>
                <c:pt idx="92">
                  <c:v>82322.434231442268</c:v>
                </c:pt>
                <c:pt idx="93">
                  <c:v>83286.632086652404</c:v>
                </c:pt>
                <c:pt idx="94">
                  <c:v>84255.329531853524</c:v>
                </c:pt>
                <c:pt idx="95">
                  <c:v>85228.547565132249</c:v>
                </c:pt>
                <c:pt idx="96">
                  <c:v>86206.307282566268</c:v>
                </c:pt>
                <c:pt idx="97">
                  <c:v>87188.629878681648</c:v>
                </c:pt>
                <c:pt idx="98">
                  <c:v>88175.536646912238</c:v>
                </c:pt>
                <c:pt idx="99">
                  <c:v>92167.048980061241</c:v>
                </c:pt>
                <c:pt idx="100">
                  <c:v>93177.188370764939</c:v>
                </c:pt>
                <c:pt idx="101">
                  <c:v>94192.041745291921</c:v>
                </c:pt>
                <c:pt idx="102">
                  <c:v>95211.631102233354</c:v>
                </c:pt>
                <c:pt idx="103">
                  <c:v>96235.978542840516</c:v>
                </c:pt>
                <c:pt idx="104">
                  <c:v>97265.106271503842</c:v>
                </c:pt>
                <c:pt idx="105">
                  <c:v>98299.036596234262</c:v>
                </c:pt>
                <c:pt idx="106">
                  <c:v>99337.79192914677</c:v>
                </c:pt>
                <c:pt idx="107">
                  <c:v>100381.3947869462</c:v>
                </c:pt>
                <c:pt idx="108">
                  <c:v>101429.86779141535</c:v>
                </c:pt>
                <c:pt idx="109">
                  <c:v>102983.23366990537</c:v>
                </c:pt>
                <c:pt idx="110">
                  <c:v>104043.84858916167</c:v>
                </c:pt>
                <c:pt idx="111">
                  <c:v>105109.41304470784</c:v>
                </c:pt>
                <c:pt idx="112">
                  <c:v>106179.95013437988</c:v>
                </c:pt>
                <c:pt idx="113">
                  <c:v>107255.48306380372</c:v>
                </c:pt>
                <c:pt idx="114">
                  <c:v>108336.03514689821</c:v>
                </c:pt>
                <c:pt idx="115">
                  <c:v>109421.62980638047</c:v>
                </c:pt>
                <c:pt idx="116">
                  <c:v>110512.29057427366</c:v>
                </c:pt>
                <c:pt idx="117">
                  <c:v>111608.04109241701</c:v>
                </c:pt>
                <c:pt idx="118">
                  <c:v>112708.90511297836</c:v>
                </c:pt>
                <c:pt idx="119">
                  <c:v>117814.90649896901</c:v>
                </c:pt>
                <c:pt idx="120">
                  <c:v>118944.73589142761</c:v>
                </c:pt>
                <c:pt idx="121">
                  <c:v>120079.83782105101</c:v>
                </c:pt>
                <c:pt idx="122">
                  <c:v>121220.23689301265</c:v>
                </c:pt>
                <c:pt idx="123">
                  <c:v>122365.95782731012</c:v>
                </c:pt>
                <c:pt idx="124">
                  <c:v>123517.02545930097</c:v>
                </c:pt>
                <c:pt idx="125">
                  <c:v>124673.46474024112</c:v>
                </c:pt>
                <c:pt idx="126">
                  <c:v>125835.30073782566</c:v>
                </c:pt>
                <c:pt idx="127">
                  <c:v>127002.55863673225</c:v>
                </c:pt>
                <c:pt idx="128">
                  <c:v>128175.26373916707</c:v>
                </c:pt>
                <c:pt idx="129">
                  <c:v>129853.44146541326</c:v>
                </c:pt>
                <c:pt idx="130">
                  <c:v>131039.45068771526</c:v>
                </c:pt>
                <c:pt idx="131">
                  <c:v>132230.99461972134</c:v>
                </c:pt>
                <c:pt idx="132">
                  <c:v>133428.09909007678</c:v>
                </c:pt>
                <c:pt idx="133">
                  <c:v>134630.79004796056</c:v>
                </c:pt>
                <c:pt idx="134">
                  <c:v>135839.0935636478</c:v>
                </c:pt>
                <c:pt idx="135">
                  <c:v>137053.03582907488</c:v>
                </c:pt>
                <c:pt idx="136">
                  <c:v>138272.6431584073</c:v>
                </c:pt>
                <c:pt idx="137">
                  <c:v>139497.94198860993</c:v>
                </c:pt>
                <c:pt idx="138">
                  <c:v>140728.95888002019</c:v>
                </c:pt>
                <c:pt idx="139">
                  <c:v>149465.7205169237</c:v>
                </c:pt>
                <c:pt idx="140">
                  <c:v>150743.25370813275</c:v>
                </c:pt>
                <c:pt idx="141">
                  <c:v>152026.74872090077</c:v>
                </c:pt>
                <c:pt idx="142">
                  <c:v>153316.23337706173</c:v>
                </c:pt>
                <c:pt idx="143">
                  <c:v>154611.73562828475</c:v>
                </c:pt>
                <c:pt idx="144">
                  <c:v>155913.28355668014</c:v>
                </c:pt>
                <c:pt idx="145">
                  <c:v>157220.90537540807</c:v>
                </c:pt>
                <c:pt idx="146">
                  <c:v>158534.62942929004</c:v>
                </c:pt>
                <c:pt idx="147">
                  <c:v>159854.48419542346</c:v>
                </c:pt>
                <c:pt idx="148">
                  <c:v>161180.49828379884</c:v>
                </c:pt>
                <c:pt idx="149">
                  <c:v>163712.70043791996</c:v>
                </c:pt>
                <c:pt idx="150">
                  <c:v>165056.71953542699</c:v>
                </c:pt>
                <c:pt idx="151">
                  <c:v>166407.01072205574</c:v>
                </c:pt>
                <c:pt idx="152">
                  <c:v>167763.60326755542</c:v>
                </c:pt>
                <c:pt idx="153">
                  <c:v>169126.52657826743</c:v>
                </c:pt>
                <c:pt idx="154">
                  <c:v>170495.81019776274</c:v>
                </c:pt>
                <c:pt idx="155">
                  <c:v>171871.48380748238</c:v>
                </c:pt>
                <c:pt idx="156">
                  <c:v>173253.57722738071</c:v>
                </c:pt>
                <c:pt idx="157">
                  <c:v>174642.12041657188</c:v>
                </c:pt>
                <c:pt idx="158">
                  <c:v>176037.14347397929</c:v>
                </c:pt>
                <c:pt idx="159">
                  <c:v>177488.67663898793</c:v>
                </c:pt>
                <c:pt idx="160">
                  <c:v>178896.98362543329</c:v>
                </c:pt>
                <c:pt idx="161">
                  <c:v>180311.86271114871</c:v>
                </c:pt>
                <c:pt idx="162">
                  <c:v>181733.34456593081</c:v>
                </c:pt>
                <c:pt idx="163">
                  <c:v>183161.4600027019</c:v>
                </c:pt>
                <c:pt idx="164">
                  <c:v>184596.23997817791</c:v>
                </c:pt>
                <c:pt idx="165">
                  <c:v>186037.71559353947</c:v>
                </c:pt>
                <c:pt idx="166">
                  <c:v>187485.91809510606</c:v>
                </c:pt>
                <c:pt idx="167">
                  <c:v>188940.8788750133</c:v>
                </c:pt>
                <c:pt idx="168">
                  <c:v>190402.62947189342</c:v>
                </c:pt>
                <c:pt idx="169">
                  <c:v>192121.20157155901</c:v>
                </c:pt>
                <c:pt idx="170">
                  <c:v>193597.79367435636</c:v>
                </c:pt>
                <c:pt idx="171">
                  <c:v>195081.27654030011</c:v>
                </c:pt>
                <c:pt idx="172">
                  <c:v>196571.68232628491</c:v>
                </c:pt>
                <c:pt idx="173">
                  <c:v>198069.04333927098</c:v>
                </c:pt>
                <c:pt idx="174">
                  <c:v>199573.39203698433</c:v>
                </c:pt>
                <c:pt idx="175">
                  <c:v>201084.76102862033</c:v>
                </c:pt>
                <c:pt idx="176">
                  <c:v>202603.18307555062</c:v>
                </c:pt>
                <c:pt idx="177">
                  <c:v>204128.69109203326</c:v>
                </c:pt>
                <c:pt idx="178">
                  <c:v>205661.31814592617</c:v>
                </c:pt>
                <c:pt idx="179">
                  <c:v>207701.09745940391</c:v>
                </c:pt>
                <c:pt idx="180">
                  <c:v>209250.39574301121</c:v>
                </c:pt>
                <c:pt idx="181">
                  <c:v>210806.92408527533</c:v>
                </c:pt>
                <c:pt idx="182">
                  <c:v>212370.71622647002</c:v>
                </c:pt>
                <c:pt idx="183">
                  <c:v>213941.80606432361</c:v>
                </c:pt>
                <c:pt idx="184">
                  <c:v>215520.22765475386</c:v>
                </c:pt>
                <c:pt idx="185">
                  <c:v>217106.01521260611</c:v>
                </c:pt>
                <c:pt idx="186">
                  <c:v>218699.20311239501</c:v>
                </c:pt>
                <c:pt idx="187">
                  <c:v>220299.82588904959</c:v>
                </c:pt>
                <c:pt idx="188">
                  <c:v>221907.91823866189</c:v>
                </c:pt>
                <c:pt idx="189">
                  <c:v>224023.51501923907</c:v>
                </c:pt>
                <c:pt idx="190">
                  <c:v>225648.98458479226</c:v>
                </c:pt>
                <c:pt idx="191">
                  <c:v>227282.0396749847</c:v>
                </c:pt>
                <c:pt idx="192">
                  <c:v>228922.71568893138</c:v>
                </c:pt>
                <c:pt idx="193">
                  <c:v>230571.04819094314</c:v>
                </c:pt>
                <c:pt idx="194">
                  <c:v>232227.07291129761</c:v>
                </c:pt>
                <c:pt idx="195">
                  <c:v>233890.82574701373</c:v>
                </c:pt>
                <c:pt idx="196">
                  <c:v>235562.34276262988</c:v>
                </c:pt>
                <c:pt idx="197">
                  <c:v>237241.66019098557</c:v>
                </c:pt>
                <c:pt idx="198">
                  <c:v>238928.8144340069</c:v>
                </c:pt>
                <c:pt idx="199">
                  <c:v>241123.84206349569</c:v>
                </c:pt>
                <c:pt idx="200">
                  <c:v>242829.11315525541</c:v>
                </c:pt>
                <c:pt idx="201">
                  <c:v>244542.34217877669</c:v>
                </c:pt>
                <c:pt idx="202">
                  <c:v>246263.56627107438</c:v>
                </c:pt>
                <c:pt idx="203">
                  <c:v>247992.82274246946</c:v>
                </c:pt>
                <c:pt idx="204">
                  <c:v>249730.14907739774</c:v>
                </c:pt>
                <c:pt idx="205">
                  <c:v>251475.58293522234</c:v>
                </c:pt>
                <c:pt idx="206">
                  <c:v>253229.16215105011</c:v>
                </c:pt>
                <c:pt idx="207">
                  <c:v>254990.92473655177</c:v>
                </c:pt>
                <c:pt idx="208">
                  <c:v>256760.90888078575</c:v>
                </c:pt>
                <c:pt idx="209">
                  <c:v>259289.15295102616</c:v>
                </c:pt>
                <c:pt idx="210">
                  <c:v>261079.19549359436</c:v>
                </c:pt>
                <c:pt idx="211">
                  <c:v>262877.59156802786</c:v>
                </c:pt>
                <c:pt idx="212">
                  <c:v>264684.38015747542</c:v>
                </c:pt>
                <c:pt idx="213">
                  <c:v>266499.60042700707</c:v>
                </c:pt>
                <c:pt idx="214">
                  <c:v>268323.29172446317</c:v>
                </c:pt>
                <c:pt idx="215">
                  <c:v>270155.49358130741</c:v>
                </c:pt>
                <c:pt idx="216">
                  <c:v>271996.2457134836</c:v>
                </c:pt>
                <c:pt idx="217">
                  <c:v>273845.58802227658</c:v>
                </c:pt>
                <c:pt idx="218">
                  <c:v>275703.56059517729</c:v>
                </c:pt>
                <c:pt idx="219">
                  <c:v>278070.20370675152</c:v>
                </c:pt>
                <c:pt idx="220">
                  <c:v>279947.89115284645</c:v>
                </c:pt>
                <c:pt idx="221">
                  <c:v>281834.3411403565</c:v>
                </c:pt>
                <c:pt idx="222">
                  <c:v>283729.59456114157</c:v>
                </c:pt>
                <c:pt idx="223">
                  <c:v>285633.69249789033</c:v>
                </c:pt>
                <c:pt idx="224">
                  <c:v>287546.67622501054</c:v>
                </c:pt>
                <c:pt idx="225">
                  <c:v>289468.587209524</c:v>
                </c:pt>
                <c:pt idx="226">
                  <c:v>291399.46711196518</c:v>
                </c:pt>
                <c:pt idx="227">
                  <c:v>293339.35778728442</c:v>
                </c:pt>
                <c:pt idx="228">
                  <c:v>295288.30128575518</c:v>
                </c:pt>
                <c:pt idx="229">
                  <c:v>297746.33985388547</c:v>
                </c:pt>
                <c:pt idx="230">
                  <c:v>299715.84926866699</c:v>
                </c:pt>
                <c:pt idx="231">
                  <c:v>301694.54972738418</c:v>
                </c:pt>
                <c:pt idx="232">
                  <c:v>303682.48412157537</c:v>
                </c:pt>
                <c:pt idx="233">
                  <c:v>305679.69554293947</c:v>
                </c:pt>
                <c:pt idx="234">
                  <c:v>307686.22728426993</c:v>
                </c:pt>
                <c:pt idx="235">
                  <c:v>309702.12284039328</c:v>
                </c:pt>
                <c:pt idx="236">
                  <c:v>311727.42590911186</c:v>
                </c:pt>
                <c:pt idx="237">
                  <c:v>313762.18039215112</c:v>
                </c:pt>
                <c:pt idx="238">
                  <c:v>315806.43039611122</c:v>
                </c:pt>
                <c:pt idx="239">
                  <c:v>318360.22023342317</c:v>
                </c:pt>
                <c:pt idx="240">
                  <c:v>320425.92775664257</c:v>
                </c:pt>
                <c:pt idx="241">
                  <c:v>322501.27524830366</c:v>
                </c:pt>
                <c:pt idx="242">
                  <c:v>324586.30769492581</c:v>
                </c:pt>
                <c:pt idx="243">
                  <c:v>326681.07029296557</c:v>
                </c:pt>
                <c:pt idx="244">
                  <c:v>328785.60844979616</c:v>
                </c:pt>
                <c:pt idx="245">
                  <c:v>330899.96778469195</c:v>
                </c:pt>
                <c:pt idx="246">
                  <c:v>333024.19412981725</c:v>
                </c:pt>
                <c:pt idx="247">
                  <c:v>335158.3335312198</c:v>
                </c:pt>
                <c:pt idx="248">
                  <c:v>337302.43224982888</c:v>
                </c:pt>
                <c:pt idx="249">
                  <c:v>339956.53676245816</c:v>
                </c:pt>
                <c:pt idx="250">
                  <c:v>342123.02709614637</c:v>
                </c:pt>
                <c:pt idx="251">
                  <c:v>344299.62771805847</c:v>
                </c:pt>
                <c:pt idx="252">
                  <c:v>346486.38580953947</c:v>
                </c:pt>
                <c:pt idx="253">
                  <c:v>348683.34877211408</c:v>
                </c:pt>
                <c:pt idx="254">
                  <c:v>350890.56422851403</c:v>
                </c:pt>
                <c:pt idx="255">
                  <c:v>353108.0800237105</c:v>
                </c:pt>
                <c:pt idx="256">
                  <c:v>355335.94422595121</c:v>
                </c:pt>
                <c:pt idx="257">
                  <c:v>357574.20512780239</c:v>
                </c:pt>
                <c:pt idx="258">
                  <c:v>359822.91124719556</c:v>
                </c:pt>
                <c:pt idx="259">
                  <c:v>362582.11132847919</c:v>
                </c:pt>
                <c:pt idx="260">
                  <c:v>364854.18767680886</c:v>
                </c:pt>
                <c:pt idx="261">
                  <c:v>367136.86704809737</c:v>
                </c:pt>
                <c:pt idx="262">
                  <c:v>369430.19892311859</c:v>
                </c:pt>
                <c:pt idx="263">
                  <c:v>371734.23301355657</c:v>
                </c:pt>
                <c:pt idx="264">
                  <c:v>374049.01926308323</c:v>
                </c:pt>
                <c:pt idx="265">
                  <c:v>376374.60784844105</c:v>
                </c:pt>
                <c:pt idx="266">
                  <c:v>378711.04918053054</c:v>
                </c:pt>
                <c:pt idx="267">
                  <c:v>381058.39390550309</c:v>
                </c:pt>
                <c:pt idx="268">
                  <c:v>383416.69290585886</c:v>
                </c:pt>
                <c:pt idx="269">
                  <c:v>386285.99730154959</c:v>
                </c:pt>
                <c:pt idx="270">
                  <c:v>388668.69178442023</c:v>
                </c:pt>
                <c:pt idx="271">
                  <c:v>391062.50550821092</c:v>
                </c:pt>
                <c:pt idx="272">
                  <c:v>393467.49036271265</c:v>
                </c:pt>
                <c:pt idx="273">
                  <c:v>395883.6984798687</c:v>
                </c:pt>
                <c:pt idx="274">
                  <c:v>398311.18223490485</c:v>
                </c:pt>
                <c:pt idx="275">
                  <c:v>400749.99424746446</c:v>
                </c:pt>
                <c:pt idx="276">
                  <c:v>403200.1873827494</c:v>
                </c:pt>
                <c:pt idx="277">
                  <c:v>405661.81475266564</c:v>
                </c:pt>
                <c:pt idx="278">
                  <c:v>408134.92971697485</c:v>
                </c:pt>
                <c:pt idx="279">
                  <c:v>411119.58588445082</c:v>
                </c:pt>
                <c:pt idx="280">
                  <c:v>413618.17044737499</c:v>
                </c:pt>
                <c:pt idx="281">
                  <c:v>416128.41507159278</c:v>
                </c:pt>
                <c:pt idx="282">
                  <c:v>418650.3741707236</c:v>
                </c:pt>
                <c:pt idx="283">
                  <c:v>421184.10241231706</c:v>
                </c:pt>
                <c:pt idx="284">
                  <c:v>423729.65471903794</c:v>
                </c:pt>
                <c:pt idx="285">
                  <c:v>426287.08626985684</c:v>
                </c:pt>
                <c:pt idx="286">
                  <c:v>428856.45250124624</c:v>
                </c:pt>
                <c:pt idx="287">
                  <c:v>431437.80910838215</c:v>
                </c:pt>
                <c:pt idx="288">
                  <c:v>434031.21204635134</c:v>
                </c:pt>
                <c:pt idx="289">
                  <c:v>436636.71753136441</c:v>
                </c:pt>
                <c:pt idx="290">
                  <c:v>439254.38204197417</c:v>
                </c:pt>
                <c:pt idx="291">
                  <c:v>441884.2623203001</c:v>
                </c:pt>
                <c:pt idx="292">
                  <c:v>444526.41537325823</c:v>
                </c:pt>
                <c:pt idx="293">
                  <c:v>447180.89847379684</c:v>
                </c:pt>
                <c:pt idx="294">
                  <c:v>451847.76916213799</c:v>
                </c:pt>
                <c:pt idx="295">
                  <c:v>454536.41858035803</c:v>
                </c:pt>
                <c:pt idx="296">
                  <c:v>457237.61502919643</c:v>
                </c:pt>
                <c:pt idx="297">
                  <c:v>459951.41706146277</c:v>
                </c:pt>
                <c:pt idx="298">
                  <c:v>462677.883503213</c:v>
                </c:pt>
                <c:pt idx="299">
                  <c:v>466917.07345502474</c:v>
                </c:pt>
                <c:pt idx="300">
                  <c:v>469676.04629327828</c:v>
                </c:pt>
                <c:pt idx="301">
                  <c:v>472447.89433811035</c:v>
                </c:pt>
                <c:pt idx="302">
                  <c:v>475232.67767381825</c:v>
                </c:pt>
                <c:pt idx="303">
                  <c:v>478030.45666509279</c:v>
                </c:pt>
                <c:pt idx="304">
                  <c:v>480841.29195832665</c:v>
                </c:pt>
                <c:pt idx="305">
                  <c:v>483665.24448292889</c:v>
                </c:pt>
                <c:pt idx="306">
                  <c:v>486502.37545264594</c:v>
                </c:pt>
                <c:pt idx="307">
                  <c:v>489352.74636688834</c:v>
                </c:pt>
                <c:pt idx="308">
                  <c:v>492216.41901206388</c:v>
                </c:pt>
                <c:pt idx="309">
                  <c:v>495093.45546291693</c:v>
                </c:pt>
                <c:pt idx="310">
                  <c:v>497983.91808387393</c:v>
                </c:pt>
                <c:pt idx="311">
                  <c:v>500887.86953039543</c:v>
                </c:pt>
                <c:pt idx="312">
                  <c:v>503805.37275033403</c:v>
                </c:pt>
                <c:pt idx="313">
                  <c:v>506736.49098529899</c:v>
                </c:pt>
                <c:pt idx="314">
                  <c:v>509681.28777202714</c:v>
                </c:pt>
                <c:pt idx="315">
                  <c:v>512639.82694375998</c:v>
                </c:pt>
                <c:pt idx="316">
                  <c:v>515612.17263162759</c:v>
                </c:pt>
                <c:pt idx="317">
                  <c:v>518598.3892660386</c:v>
                </c:pt>
                <c:pt idx="318">
                  <c:v>521598.54157807684</c:v>
                </c:pt>
                <c:pt idx="319">
                  <c:v>524612.69460090459</c:v>
                </c:pt>
                <c:pt idx="320">
                  <c:v>527640.91367117222</c:v>
                </c:pt>
                <c:pt idx="321">
                  <c:v>530683.26443043444</c:v>
                </c:pt>
                <c:pt idx="322">
                  <c:v>533739.81282657327</c:v>
                </c:pt>
                <c:pt idx="323">
                  <c:v>536810.6251152273</c:v>
                </c:pt>
                <c:pt idx="324">
                  <c:v>539895.76786122844</c:v>
                </c:pt>
                <c:pt idx="325">
                  <c:v>542995.30794004421</c:v>
                </c:pt>
                <c:pt idx="326">
                  <c:v>542995.30794004421</c:v>
                </c:pt>
                <c:pt idx="327">
                  <c:v>542995.30794004421</c:v>
                </c:pt>
                <c:pt idx="328">
                  <c:v>542995.30794004421</c:v>
                </c:pt>
                <c:pt idx="329">
                  <c:v>542995.30794004421</c:v>
                </c:pt>
                <c:pt idx="330">
                  <c:v>542995.30794004421</c:v>
                </c:pt>
                <c:pt idx="331">
                  <c:v>542995.30794004421</c:v>
                </c:pt>
                <c:pt idx="332">
                  <c:v>542995.30794004421</c:v>
                </c:pt>
                <c:pt idx="333">
                  <c:v>542995.30794004421</c:v>
                </c:pt>
                <c:pt idx="334">
                  <c:v>542995.30794004421</c:v>
                </c:pt>
                <c:pt idx="335">
                  <c:v>542995.30794004421</c:v>
                </c:pt>
                <c:pt idx="336">
                  <c:v>542995.30794004421</c:v>
                </c:pt>
                <c:pt idx="337">
                  <c:v>542995.30794004421</c:v>
                </c:pt>
                <c:pt idx="338">
                  <c:v>542995.30794004421</c:v>
                </c:pt>
                <c:pt idx="339">
                  <c:v>542995.30794004421</c:v>
                </c:pt>
                <c:pt idx="340">
                  <c:v>542995.30794004421</c:v>
                </c:pt>
                <c:pt idx="341">
                  <c:v>542995.30794004421</c:v>
                </c:pt>
                <c:pt idx="342">
                  <c:v>542995.30794004421</c:v>
                </c:pt>
                <c:pt idx="343">
                  <c:v>542995.30794004421</c:v>
                </c:pt>
                <c:pt idx="344">
                  <c:v>542995.30794004421</c:v>
                </c:pt>
                <c:pt idx="345">
                  <c:v>542995.30794004421</c:v>
                </c:pt>
                <c:pt idx="346">
                  <c:v>542995.30794004421</c:v>
                </c:pt>
                <c:pt idx="347">
                  <c:v>542995.30794004421</c:v>
                </c:pt>
                <c:pt idx="348">
                  <c:v>542995.30794004421</c:v>
                </c:pt>
                <c:pt idx="349">
                  <c:v>542995.30794004421</c:v>
                </c:pt>
                <c:pt idx="350">
                  <c:v>542995.30794004421</c:v>
                </c:pt>
                <c:pt idx="351">
                  <c:v>542995.30794004421</c:v>
                </c:pt>
                <c:pt idx="352">
                  <c:v>542995.30794004421</c:v>
                </c:pt>
                <c:pt idx="353">
                  <c:v>542995.30794004421</c:v>
                </c:pt>
                <c:pt idx="354">
                  <c:v>542995.30794004421</c:v>
                </c:pt>
                <c:pt idx="355">
                  <c:v>542995.30794004421</c:v>
                </c:pt>
                <c:pt idx="356">
                  <c:v>542995.30794004421</c:v>
                </c:pt>
                <c:pt idx="357">
                  <c:v>542995.30794004421</c:v>
                </c:pt>
                <c:pt idx="358">
                  <c:v>542995.30794004421</c:v>
                </c:pt>
                <c:pt idx="359">
                  <c:v>542995.30794004421</c:v>
                </c:pt>
              </c:numCache>
            </c:numRef>
          </c:val>
          <c:smooth val="0"/>
          <c:extLst>
            <c:ext xmlns:c16="http://schemas.microsoft.com/office/drawing/2014/chart" uri="{C3380CC4-5D6E-409C-BE32-E72D297353CC}">
              <c16:uniqueId val="{00000000-E2E0-4539-AEDE-898A4F5ED6B9}"/>
            </c:ext>
          </c:extLst>
        </c:ser>
        <c:ser>
          <c:idx val="1"/>
          <c:order val="1"/>
          <c:tx>
            <c:strRef>
              <c:f>'Monthly Amort. Sch.'!$V$17</c:f>
              <c:strCache>
                <c:ptCount val="1"/>
                <c:pt idx="0">
                  <c:v>Cumulative Principal Without Extra Principal Payments Visual</c:v>
                </c:pt>
              </c:strCache>
            </c:strRef>
          </c:tx>
          <c:spPr>
            <a:ln w="28575" cap="rnd">
              <a:solidFill>
                <a:schemeClr val="accent4">
                  <a:lumMod val="75000"/>
                </a:schemeClr>
              </a:solidFill>
              <a:round/>
            </a:ln>
            <a:effectLst/>
          </c:spPr>
          <c:marker>
            <c:symbol val="none"/>
          </c:marker>
          <c:cat>
            <c:numRef>
              <c:f>'Monthly Amort. Sch.'!$K$18:$K$377</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cat>
          <c:val>
            <c:numRef>
              <c:f>'Monthly Amort. Sch.'!$V$18:$V$377</c:f>
              <c:numCache>
                <c:formatCode>_("$"* #,##0.00_);_("$"* \(#,##0.00\);_("$"* "-"??_);_(@_)</c:formatCode>
                <c:ptCount val="360"/>
                <c:pt idx="0">
                  <c:v>580.02649546340808</c:v>
                </c:pt>
                <c:pt idx="1">
                  <c:v>1162.7597812389786</c:v>
                </c:pt>
                <c:pt idx="2">
                  <c:v>1748.2124890148348</c:v>
                </c:pt>
                <c:pt idx="3">
                  <c:v>2336.3973094269786</c:v>
                </c:pt>
                <c:pt idx="4">
                  <c:v>2927.3269923343792</c:v>
                </c:pt>
                <c:pt idx="5">
                  <c:v>3521.0143470953476</c:v>
                </c:pt>
                <c:pt idx="6">
                  <c:v>4117.4722428452005</c:v>
                </c:pt>
                <c:pt idx="7">
                  <c:v>4716.7136087752197</c:v>
                </c:pt>
                <c:pt idx="8">
                  <c:v>5318.7514344129122</c:v>
                </c:pt>
                <c:pt idx="9">
                  <c:v>5923.5987699035813</c:v>
                </c:pt>
                <c:pt idx="10">
                  <c:v>6531.2687262932068</c:v>
                </c:pt>
                <c:pt idx="11">
                  <c:v>7141.7744758126501</c:v>
                </c:pt>
                <c:pt idx="12">
                  <c:v>7755.129252163184</c:v>
                </c:pt>
                <c:pt idx="13">
                  <c:v>8371.3463508033528</c:v>
                </c:pt>
                <c:pt idx="14">
                  <c:v>8990.4391292371765</c:v>
                </c:pt>
                <c:pt idx="15">
                  <c:v>9612.421007303692</c:v>
                </c:pt>
                <c:pt idx="16">
                  <c:v>10237.30546746785</c:v>
                </c:pt>
                <c:pt idx="17">
                  <c:v>10865.106055112774</c:v>
                </c:pt>
                <c:pt idx="18">
                  <c:v>11495.836378833375</c:v>
                </c:pt>
                <c:pt idx="19">
                  <c:v>12129.510110731339</c:v>
                </c:pt>
                <c:pt idx="20">
                  <c:v>12766.140986711493</c:v>
                </c:pt>
                <c:pt idx="21">
                  <c:v>13405.742806779554</c:v>
                </c:pt>
                <c:pt idx="22">
                  <c:v>14048.329435341266</c:v>
                </c:pt>
                <c:pt idx="23">
                  <c:v>14693.914801502933</c:v>
                </c:pt>
                <c:pt idx="24">
                  <c:v>15342.512899373354</c:v>
                </c:pt>
                <c:pt idx="25">
                  <c:v>15994.137788367172</c:v>
                </c:pt>
                <c:pt idx="26">
                  <c:v>16648.803593509627</c:v>
                </c:pt>
                <c:pt idx="27">
                  <c:v>17306.524505742746</c:v>
                </c:pt>
                <c:pt idx="28">
                  <c:v>17967.314782232952</c:v>
                </c:pt>
                <c:pt idx="29">
                  <c:v>18631.188746680113</c:v>
                </c:pt>
                <c:pt idx="30">
                  <c:v>19298.160789628029</c:v>
                </c:pt>
                <c:pt idx="31">
                  <c:v>19968.24536877637</c:v>
                </c:pt>
                <c:pt idx="32">
                  <c:v>20641.457009294067</c:v>
                </c:pt>
                <c:pt idx="33">
                  <c:v>21317.810304134182</c:v>
                </c:pt>
                <c:pt idx="34">
                  <c:v>21997.319914350217</c:v>
                </c:pt>
                <c:pt idx="35">
                  <c:v>22680.000569413925</c:v>
                </c:pt>
                <c:pt idx="36">
                  <c:v>23365.8670675346</c:v>
                </c:pt>
                <c:pt idx="37">
                  <c:v>24054.934275979835</c:v>
                </c:pt>
                <c:pt idx="38">
                  <c:v>24747.217131397814</c:v>
                </c:pt>
                <c:pt idx="39">
                  <c:v>25442.730640141079</c:v>
                </c:pt>
                <c:pt idx="40">
                  <c:v>26141.489878591812</c:v>
                </c:pt>
                <c:pt idx="41">
                  <c:v>26843.509993488649</c:v>
                </c:pt>
                <c:pt idx="42">
                  <c:v>27548.806202255004</c:v>
                </c:pt>
                <c:pt idx="43">
                  <c:v>28257.393793328934</c:v>
                </c:pt>
                <c:pt idx="44">
                  <c:v>28969.288126494543</c:v>
                </c:pt>
                <c:pt idx="45">
                  <c:v>29684.504633214925</c:v>
                </c:pt>
                <c:pt idx="46">
                  <c:v>30403.05881696667</c:v>
                </c:pt>
                <c:pt idx="47">
                  <c:v>31124.966253575923</c:v>
                </c:pt>
                <c:pt idx="48">
                  <c:v>31850.24259155602</c:v>
                </c:pt>
                <c:pt idx="49">
                  <c:v>32578.903552446689</c:v>
                </c:pt>
                <c:pt idx="50">
                  <c:v>33310.964931154849</c:v>
                </c:pt>
                <c:pt idx="51">
                  <c:v>34046.442596296984</c:v>
                </c:pt>
                <c:pt idx="52">
                  <c:v>34785.352490543111</c:v>
                </c:pt>
                <c:pt idx="53">
                  <c:v>35527.710630962385</c:v>
                </c:pt>
                <c:pt idx="54">
                  <c:v>36273.533109370284</c:v>
                </c:pt>
                <c:pt idx="55">
                  <c:v>37022.836092677418</c:v>
                </c:pt>
                <c:pt idx="56">
                  <c:v>37775.635823239987</c:v>
                </c:pt>
                <c:pt idx="57">
                  <c:v>38531.948619211849</c:v>
                </c:pt>
                <c:pt idx="58">
                  <c:v>39291.790874898245</c:v>
                </c:pt>
                <c:pt idx="59">
                  <c:v>40055.179061111179</c:v>
                </c:pt>
                <c:pt idx="60">
                  <c:v>40822.129725526436</c:v>
                </c:pt>
                <c:pt idx="61">
                  <c:v>41592.659493042302</c:v>
                </c:pt>
                <c:pt idx="62">
                  <c:v>42366.785066139906</c:v>
                </c:pt>
                <c:pt idx="63">
                  <c:v>43144.523225245299</c:v>
                </c:pt>
                <c:pt idx="64">
                  <c:v>43925.890829093187</c:v>
                </c:pt>
                <c:pt idx="65">
                  <c:v>44710.904815092363</c:v>
                </c:pt>
                <c:pt idx="66">
                  <c:v>45499.582199692872</c:v>
                </c:pt>
                <c:pt idx="67">
                  <c:v>46291.940078754844</c:v>
                </c:pt>
                <c:pt idx="68">
                  <c:v>47087.99562791911</c:v>
                </c:pt>
                <c:pt idx="69">
                  <c:v>47887.766102979476</c:v>
                </c:pt>
                <c:pt idx="70">
                  <c:v>48691.268840256787</c:v>
                </c:pt>
                <c:pt idx="71">
                  <c:v>49498.521256974724</c:v>
                </c:pt>
                <c:pt idx="72">
                  <c:v>50309.54085163735</c:v>
                </c:pt>
                <c:pt idx="73">
                  <c:v>51124.345204408397</c:v>
                </c:pt>
                <c:pt idx="74">
                  <c:v>51942.951977492376</c:v>
                </c:pt>
                <c:pt idx="75">
                  <c:v>52765.378915517416</c:v>
                </c:pt>
                <c:pt idx="76">
                  <c:v>53591.643845919905</c:v>
                </c:pt>
                <c:pt idx="77">
                  <c:v>54421.76467933094</c:v>
                </c:pt>
                <c:pt idx="78">
                  <c:v>55255.759409964558</c:v>
                </c:pt>
                <c:pt idx="79">
                  <c:v>56093.646116007803</c:v>
                </c:pt>
                <c:pt idx="80">
                  <c:v>56935.44296001258</c:v>
                </c:pt>
                <c:pt idx="81">
                  <c:v>57781.168189289383</c:v>
                </c:pt>
                <c:pt idx="82">
                  <c:v>58630.84013630281</c:v>
                </c:pt>
                <c:pt idx="83">
                  <c:v>59484.477219068962</c:v>
                </c:pt>
                <c:pt idx="84">
                  <c:v>60342.09794155469</c:v>
                </c:pt>
                <c:pt idx="85">
                  <c:v>61203.720894078688</c:v>
                </c:pt>
                <c:pt idx="86">
                  <c:v>62069.364753714464</c:v>
                </c:pt>
                <c:pt idx="87">
                  <c:v>62939.048284695207</c:v>
                </c:pt>
                <c:pt idx="88">
                  <c:v>63812.790338820523</c:v>
                </c:pt>
                <c:pt idx="89">
                  <c:v>64690.609855865092</c:v>
                </c:pt>
                <c:pt idx="90">
                  <c:v>65572.525863989198</c:v>
                </c:pt>
                <c:pt idx="91">
                  <c:v>66458.557480151227</c:v>
                </c:pt>
                <c:pt idx="92">
                  <c:v>67348.723910522007</c:v>
                </c:pt>
                <c:pt idx="93">
                  <c:v>68243.044450901187</c:v>
                </c:pt>
                <c:pt idx="94">
                  <c:v>69141.538487135462</c:v>
                </c:pt>
                <c:pt idx="95">
                  <c:v>70044.225495538834</c:v>
                </c:pt>
                <c:pt idx="96">
                  <c:v>70951.125043314751</c:v>
                </c:pt>
                <c:pt idx="97">
                  <c:v>71862.256788980289</c:v>
                </c:pt>
                <c:pt idx="98">
                  <c:v>72777.640482792267</c:v>
                </c:pt>
                <c:pt idx="99">
                  <c:v>73697.295967175378</c:v>
                </c:pt>
                <c:pt idx="100">
                  <c:v>74621.243177152268</c:v>
                </c:pt>
                <c:pt idx="101">
                  <c:v>75549.502140775716</c:v>
                </c:pt>
                <c:pt idx="102">
                  <c:v>76482.092979562745</c:v>
                </c:pt>
                <c:pt idx="103">
                  <c:v>77419.035908930775</c:v>
                </c:pt>
                <c:pt idx="104">
                  <c:v>78360.351238635863</c:v>
                </c:pt>
                <c:pt idx="105">
                  <c:v>79306.059373212905</c:v>
                </c:pt>
                <c:pt idx="106">
                  <c:v>80256.180812417981</c:v>
                </c:pt>
                <c:pt idx="107">
                  <c:v>81210.736151672667</c:v>
                </c:pt>
                <c:pt idx="108">
                  <c:v>82169.746082510552</c:v>
                </c:pt>
                <c:pt idx="109">
                  <c:v>83133.231393025679</c:v>
                </c:pt>
                <c:pt idx="110">
                  <c:v>84101.212968323205</c:v>
                </c:pt>
                <c:pt idx="111">
                  <c:v>85073.711790972127</c:v>
                </c:pt>
                <c:pt idx="112">
                  <c:v>86050.748941460071</c:v>
                </c:pt>
                <c:pt idx="113">
                  <c:v>87032.345598650296</c:v>
                </c:pt>
                <c:pt idx="114">
                  <c:v>88018.523040240732</c:v>
                </c:pt>
                <c:pt idx="115">
                  <c:v>89009.302643225266</c:v>
                </c:pt>
                <c:pt idx="116">
                  <c:v>90004.705884357056</c:v>
                </c:pt>
                <c:pt idx="117">
                  <c:v>91004.754340614134</c:v>
                </c:pt>
                <c:pt idx="118">
                  <c:v>92009.469689667079</c:v>
                </c:pt>
                <c:pt idx="119">
                  <c:v>93018.87371034894</c:v>
                </c:pt>
                <c:pt idx="120">
                  <c:v>94032.988283127313</c:v>
                </c:pt>
                <c:pt idx="121">
                  <c:v>95051.83539057865</c:v>
                </c:pt>
                <c:pt idx="122">
                  <c:v>96075.437117864756</c:v>
                </c:pt>
                <c:pt idx="123">
                  <c:v>97103.815653211539</c:v>
                </c:pt>
                <c:pt idx="124">
                  <c:v>98136.993288389931</c:v>
                </c:pt>
                <c:pt idx="125">
                  <c:v>99174.992419199159</c:v>
                </c:pt>
                <c:pt idx="126">
                  <c:v>100217.83554595217</c:v>
                </c:pt>
                <c:pt idx="127">
                  <c:v>101265.54527396336</c:v>
                </c:pt>
                <c:pt idx="128">
                  <c:v>102318.1443140386</c:v>
                </c:pt>
                <c:pt idx="129">
                  <c:v>103375.65548296752</c:v>
                </c:pt>
                <c:pt idx="130">
                  <c:v>104438.1017040181</c:v>
                </c:pt>
                <c:pt idx="131">
                  <c:v>105505.50600743359</c:v>
                </c:pt>
                <c:pt idx="132">
                  <c:v>106577.89153093169</c:v>
                </c:pt>
                <c:pt idx="133">
                  <c:v>107655.28152020612</c:v>
                </c:pt>
                <c:pt idx="134">
                  <c:v>108737.69932943048</c:v>
                </c:pt>
                <c:pt idx="135">
                  <c:v>109825.16842176457</c:v>
                </c:pt>
                <c:pt idx="136">
                  <c:v>110917.71236986287</c:v>
                </c:pt>
                <c:pt idx="137">
                  <c:v>112015.35485638565</c:v>
                </c:pt>
                <c:pt idx="138">
                  <c:v>113118.11967451219</c:v>
                </c:pt>
                <c:pt idx="139">
                  <c:v>114226.03072845665</c:v>
                </c:pt>
                <c:pt idx="140">
                  <c:v>115339.1120339862</c:v>
                </c:pt>
                <c:pt idx="141">
                  <c:v>116457.38771894154</c:v>
                </c:pt>
                <c:pt idx="142">
                  <c:v>117580.88202376</c:v>
                </c:pt>
                <c:pt idx="143">
                  <c:v>118709.61930200095</c:v>
                </c:pt>
                <c:pt idx="144">
                  <c:v>119843.6240208737</c:v>
                </c:pt>
                <c:pt idx="145">
                  <c:v>120982.92076176785</c:v>
                </c:pt>
                <c:pt idx="146">
                  <c:v>122127.53422078617</c:v>
                </c:pt>
                <c:pt idx="147">
                  <c:v>123277.48920927991</c:v>
                </c:pt>
                <c:pt idx="148">
                  <c:v>124432.81065438663</c:v>
                </c:pt>
                <c:pt idx="149">
                  <c:v>125593.52359957052</c:v>
                </c:pt>
                <c:pt idx="150">
                  <c:v>126759.65320516525</c:v>
                </c:pt>
                <c:pt idx="151">
                  <c:v>127931.22474891943</c:v>
                </c:pt>
                <c:pt idx="152">
                  <c:v>129108.26362654446</c:v>
                </c:pt>
                <c:pt idx="153">
                  <c:v>130290.79535226508</c:v>
                </c:pt>
                <c:pt idx="154">
                  <c:v>131478.84555937239</c:v>
                </c:pt>
                <c:pt idx="155">
                  <c:v>132672.44000077955</c:v>
                </c:pt>
                <c:pt idx="156">
                  <c:v>133871.60454957993</c:v>
                </c:pt>
                <c:pt idx="157">
                  <c:v>135076.36519960806</c:v>
                </c:pt>
                <c:pt idx="158">
                  <c:v>136286.74806600297</c:v>
                </c:pt>
                <c:pt idx="159">
                  <c:v>137502.7793857744</c:v>
                </c:pt>
                <c:pt idx="160">
                  <c:v>138724.48551837142</c:v>
                </c:pt>
                <c:pt idx="161">
                  <c:v>139951.89294625391</c:v>
                </c:pt>
                <c:pt idx="162">
                  <c:v>141185.02827546649</c:v>
                </c:pt>
                <c:pt idx="163">
                  <c:v>142423.91823621542</c:v>
                </c:pt>
                <c:pt idx="164">
                  <c:v>143668.58968344785</c:v>
                </c:pt>
                <c:pt idx="165">
                  <c:v>144919.06959743402</c:v>
                </c:pt>
                <c:pt idx="166">
                  <c:v>146175.38508435211</c:v>
                </c:pt>
                <c:pt idx="167">
                  <c:v>147437.56337687583</c:v>
                </c:pt>
                <c:pt idx="168">
                  <c:v>148705.63183476464</c:v>
                </c:pt>
                <c:pt idx="169">
                  <c:v>149979.61794545696</c:v>
                </c:pt>
                <c:pt idx="170">
                  <c:v>151259.54932466583</c:v>
                </c:pt>
                <c:pt idx="171">
                  <c:v>152545.45371697767</c:v>
                </c:pt>
                <c:pt idx="172">
                  <c:v>153837.35899645364</c:v>
                </c:pt>
                <c:pt idx="173">
                  <c:v>155135.29316723382</c:v>
                </c:pt>
                <c:pt idx="174">
                  <c:v>156439.28436414432</c:v>
                </c:pt>
                <c:pt idx="175">
                  <c:v>157749.36085330707</c:v>
                </c:pt>
                <c:pt idx="176">
                  <c:v>159065.55103275258</c:v>
                </c:pt>
                <c:pt idx="177">
                  <c:v>160387.88343303552</c:v>
                </c:pt>
                <c:pt idx="178">
                  <c:v>161716.38671785308</c:v>
                </c:pt>
                <c:pt idx="179">
                  <c:v>163051.08968466645</c:v>
                </c:pt>
                <c:pt idx="180">
                  <c:v>164392.02126532496</c:v>
                </c:pt>
                <c:pt idx="181">
                  <c:v>165739.21052669323</c:v>
                </c:pt>
                <c:pt idx="182">
                  <c:v>167092.6866712812</c:v>
                </c:pt>
                <c:pt idx="183">
                  <c:v>168452.47903787726</c:v>
                </c:pt>
                <c:pt idx="184">
                  <c:v>169818.6171021841</c:v>
                </c:pt>
                <c:pt idx="185">
                  <c:v>171191.13047745771</c:v>
                </c:pt>
                <c:pt idx="186">
                  <c:v>172570.04891514927</c:v>
                </c:pt>
                <c:pt idx="187">
                  <c:v>173955.40230555003</c:v>
                </c:pt>
                <c:pt idx="188">
                  <c:v>175347.22067843933</c:v>
                </c:pt>
                <c:pt idx="189">
                  <c:v>176745.53420373547</c:v>
                </c:pt>
                <c:pt idx="190">
                  <c:v>178150.37319214965</c:v>
                </c:pt>
                <c:pt idx="191">
                  <c:v>179561.76809584309</c:v>
                </c:pt>
                <c:pt idx="192">
                  <c:v>180979.74950908709</c:v>
                </c:pt>
                <c:pt idx="193">
                  <c:v>182404.34816892626</c:v>
                </c:pt>
                <c:pt idx="194">
                  <c:v>183835.59495584466</c:v>
                </c:pt>
                <c:pt idx="195">
                  <c:v>185273.52089443535</c:v>
                </c:pt>
                <c:pt idx="196">
                  <c:v>186718.1571540728</c:v>
                </c:pt>
                <c:pt idx="197">
                  <c:v>188169.53504958857</c:v>
                </c:pt>
                <c:pt idx="198">
                  <c:v>189627.68604195004</c:v>
                </c:pt>
                <c:pt idx="199">
                  <c:v>191092.64173894256</c:v>
                </c:pt>
                <c:pt idx="200">
                  <c:v>192564.43389585437</c:v>
                </c:pt>
                <c:pt idx="201">
                  <c:v>194043.09441616508</c:v>
                </c:pt>
                <c:pt idx="202">
                  <c:v>195528.65535223726</c:v>
                </c:pt>
                <c:pt idx="203">
                  <c:v>197021.14890601111</c:v>
                </c:pt>
                <c:pt idx="204">
                  <c:v>198520.60742970256</c:v>
                </c:pt>
                <c:pt idx="205">
                  <c:v>200027.06342650458</c:v>
                </c:pt>
                <c:pt idx="206">
                  <c:v>201540.54955129168</c:v>
                </c:pt>
                <c:pt idx="207">
                  <c:v>203061.09861132779</c:v>
                </c:pt>
                <c:pt idx="208">
                  <c:v>204588.74356697738</c:v>
                </c:pt>
                <c:pt idx="209">
                  <c:v>206123.51753242002</c:v>
                </c:pt>
                <c:pt idx="210">
                  <c:v>207665.45377636806</c:v>
                </c:pt>
                <c:pt idx="211">
                  <c:v>209214.58572278786</c:v>
                </c:pt>
                <c:pt idx="212">
                  <c:v>210770.94695162427</c:v>
                </c:pt>
                <c:pt idx="213">
                  <c:v>212334.57119952858</c:v>
                </c:pt>
                <c:pt idx="214">
                  <c:v>213905.49236058979</c:v>
                </c:pt>
                <c:pt idx="215">
                  <c:v>215483.74448706929</c:v>
                </c:pt>
                <c:pt idx="216">
                  <c:v>217069.36179013902</c:v>
                </c:pt>
                <c:pt idx="217">
                  <c:v>218662.37864062309</c:v>
                </c:pt>
                <c:pt idx="218">
                  <c:v>220262.82956974275</c:v>
                </c:pt>
                <c:pt idx="219">
                  <c:v>221870.74926986496</c:v>
                </c:pt>
                <c:pt idx="220">
                  <c:v>223486.17259525441</c:v>
                </c:pt>
                <c:pt idx="221">
                  <c:v>225109.13456282901</c:v>
                </c:pt>
                <c:pt idx="222">
                  <c:v>226739.67035291897</c:v>
                </c:pt>
                <c:pt idx="223">
                  <c:v>228377.81531002934</c:v>
                </c:pt>
                <c:pt idx="224">
                  <c:v>230023.60494360622</c:v>
                </c:pt>
                <c:pt idx="225">
                  <c:v>231677.07492880645</c:v>
                </c:pt>
                <c:pt idx="226">
                  <c:v>233338.26110727096</c:v>
                </c:pt>
                <c:pt idx="227">
                  <c:v>235007.19948790161</c:v>
                </c:pt>
                <c:pt idx="228">
                  <c:v>236683.92624764188</c:v>
                </c:pt>
                <c:pt idx="229">
                  <c:v>238368.47773226094</c:v>
                </c:pt>
                <c:pt idx="230">
                  <c:v>240060.89045714156</c:v>
                </c:pt>
                <c:pt idx="231">
                  <c:v>241761.20110807163</c:v>
                </c:pt>
                <c:pt idx="232">
                  <c:v>243469.44654203937</c:v>
                </c:pt>
                <c:pt idx="233">
                  <c:v>245185.66378803228</c:v>
                </c:pt>
                <c:pt idx="234">
                  <c:v>246909.89004783984</c:v>
                </c:pt>
                <c:pt idx="235">
                  <c:v>248642.16269685983</c:v>
                </c:pt>
                <c:pt idx="236">
                  <c:v>250382.51928490857</c:v>
                </c:pt>
                <c:pt idx="237">
                  <c:v>252130.99753703488</c:v>
                </c:pt>
                <c:pt idx="238">
                  <c:v>253887.63535433778</c:v>
                </c:pt>
                <c:pt idx="239">
                  <c:v>255652.4708147881</c:v>
                </c:pt>
                <c:pt idx="240">
                  <c:v>257425.54217405384</c:v>
                </c:pt>
                <c:pt idx="241">
                  <c:v>259206.88786632949</c:v>
                </c:pt>
                <c:pt idx="242">
                  <c:v>260996.5465051691</c:v>
                </c:pt>
                <c:pt idx="243">
                  <c:v>262794.5568843233</c:v>
                </c:pt>
                <c:pt idx="244">
                  <c:v>264600.95797858021</c:v>
                </c:pt>
                <c:pt idx="245">
                  <c:v>266415.78894461034</c:v>
                </c:pt>
                <c:pt idx="246">
                  <c:v>268239.08912181528</c:v>
                </c:pt>
                <c:pt idx="247">
                  <c:v>270070.89803318051</c:v>
                </c:pt>
                <c:pt idx="248">
                  <c:v>271911.25538613211</c:v>
                </c:pt>
                <c:pt idx="249">
                  <c:v>273760.20107339747</c:v>
                </c:pt>
                <c:pt idx="250">
                  <c:v>275617.77517387009</c:v>
                </c:pt>
                <c:pt idx="251">
                  <c:v>277484.01795347821</c:v>
                </c:pt>
                <c:pt idx="252">
                  <c:v>279358.96986605786</c:v>
                </c:pt>
                <c:pt idx="253">
                  <c:v>281242.67155422951</c:v>
                </c:pt>
                <c:pt idx="254">
                  <c:v>283135.16385027935</c:v>
                </c:pt>
                <c:pt idx="255">
                  <c:v>285036.48777704407</c:v>
                </c:pt>
                <c:pt idx="256">
                  <c:v>286946.68454880035</c:v>
                </c:pt>
                <c:pt idx="257">
                  <c:v>288865.79557215818</c:v>
                </c:pt>
                <c:pt idx="258">
                  <c:v>290793.86244695832</c:v>
                </c:pt>
                <c:pt idx="259">
                  <c:v>292730.92696717422</c:v>
                </c:pt>
                <c:pt idx="260">
                  <c:v>294677.03112181777</c:v>
                </c:pt>
                <c:pt idx="261">
                  <c:v>296632.21709584963</c:v>
                </c:pt>
                <c:pt idx="262">
                  <c:v>298596.52727109368</c:v>
                </c:pt>
                <c:pt idx="263">
                  <c:v>300570.00422715553</c:v>
                </c:pt>
                <c:pt idx="264">
                  <c:v>302552.69074234564</c:v>
                </c:pt>
                <c:pt idx="265">
                  <c:v>304544.62979460665</c:v>
                </c:pt>
                <c:pt idx="266">
                  <c:v>306545.86456244491</c:v>
                </c:pt>
                <c:pt idx="267">
                  <c:v>308556.43842586642</c:v>
                </c:pt>
                <c:pt idx="268">
                  <c:v>310576.39496731723</c:v>
                </c:pt>
                <c:pt idx="269">
                  <c:v>312605.77797262813</c:v>
                </c:pt>
                <c:pt idx="270">
                  <c:v>314644.63143196382</c:v>
                </c:pt>
                <c:pt idx="271">
                  <c:v>316692.99954077636</c:v>
                </c:pt>
                <c:pt idx="272">
                  <c:v>318750.9267007634</c:v>
                </c:pt>
                <c:pt idx="273">
                  <c:v>320818.45752083039</c:v>
                </c:pt>
                <c:pt idx="274">
                  <c:v>322895.63681805768</c:v>
                </c:pt>
                <c:pt idx="275">
                  <c:v>324982.50961867202</c:v>
                </c:pt>
                <c:pt idx="276">
                  <c:v>327079.12115902256</c:v>
                </c:pt>
                <c:pt idx="277">
                  <c:v>329185.51688656141</c:v>
                </c:pt>
                <c:pt idx="278">
                  <c:v>331301.7424608288</c:v>
                </c:pt>
                <c:pt idx="279">
                  <c:v>333427.84375444276</c:v>
                </c:pt>
                <c:pt idx="280">
                  <c:v>335563.86685409356</c:v>
                </c:pt>
                <c:pt idx="281">
                  <c:v>337709.85806154273</c:v>
                </c:pt>
                <c:pt idx="282">
                  <c:v>339865.86389462667</c:v>
                </c:pt>
                <c:pt idx="283">
                  <c:v>342031.93108826503</c:v>
                </c:pt>
                <c:pt idx="284">
                  <c:v>344208.10659547366</c:v>
                </c:pt>
                <c:pt idx="285">
                  <c:v>346394.43758838263</c:v>
                </c:pt>
                <c:pt idx="286">
                  <c:v>348590.97145925846</c:v>
                </c:pt>
                <c:pt idx="287">
                  <c:v>350797.75582153175</c:v>
                </c:pt>
                <c:pt idx="288">
                  <c:v>353014.83851082897</c:v>
                </c:pt>
                <c:pt idx="289">
                  <c:v>355242.26758600958</c:v>
                </c:pt>
                <c:pt idx="290">
                  <c:v>357480.09133020771</c:v>
                </c:pt>
                <c:pt idx="291">
                  <c:v>359728.35825187876</c:v>
                </c:pt>
                <c:pt idx="292">
                  <c:v>361987.11708585091</c:v>
                </c:pt>
                <c:pt idx="293">
                  <c:v>364256.41679438163</c:v>
                </c:pt>
                <c:pt idx="294">
                  <c:v>366536.3065682188</c:v>
                </c:pt>
                <c:pt idx="295">
                  <c:v>368826.83582766721</c:v>
                </c:pt>
                <c:pt idx="296">
                  <c:v>371128.05422365974</c:v>
                </c:pt>
                <c:pt idx="297">
                  <c:v>373440.01163883356</c:v>
                </c:pt>
                <c:pt idx="298">
                  <c:v>375762.75818861154</c:v>
                </c:pt>
                <c:pt idx="299">
                  <c:v>378096.34422228846</c:v>
                </c:pt>
                <c:pt idx="300">
                  <c:v>380440.82032412256</c:v>
                </c:pt>
                <c:pt idx="301">
                  <c:v>382796.23731443187</c:v>
                </c:pt>
                <c:pt idx="302">
                  <c:v>385162.64625069598</c:v>
                </c:pt>
                <c:pt idx="303">
                  <c:v>387540.09842866263</c:v>
                </c:pt>
                <c:pt idx="304">
                  <c:v>389928.64538345981</c:v>
                </c:pt>
                <c:pt idx="305">
                  <c:v>392328.33889071271</c:v>
                </c:pt>
                <c:pt idx="306">
                  <c:v>394739.23096766608</c:v>
                </c:pt>
                <c:pt idx="307">
                  <c:v>397161.37387431192</c:v>
                </c:pt>
                <c:pt idx="308">
                  <c:v>399594.82011452212</c:v>
                </c:pt>
                <c:pt idx="309">
                  <c:v>402039.62243718666</c:v>
                </c:pt>
                <c:pt idx="310">
                  <c:v>404495.83383735694</c:v>
                </c:pt>
                <c:pt idx="311">
                  <c:v>406963.50755739468</c:v>
                </c:pt>
                <c:pt idx="312">
                  <c:v>409442.69708812592</c:v>
                </c:pt>
                <c:pt idx="313">
                  <c:v>411933.4561700006</c:v>
                </c:pt>
                <c:pt idx="314">
                  <c:v>414435.83879425732</c:v>
                </c:pt>
                <c:pt idx="315">
                  <c:v>416949.8992040939</c:v>
                </c:pt>
                <c:pt idx="316">
                  <c:v>419475.69189584308</c:v>
                </c:pt>
                <c:pt idx="317">
                  <c:v>422013.27162015374</c:v>
                </c:pt>
                <c:pt idx="318">
                  <c:v>424562.69338317786</c:v>
                </c:pt>
                <c:pt idx="319">
                  <c:v>427124.01244776277</c:v>
                </c:pt>
                <c:pt idx="320">
                  <c:v>429697.28433464904</c:v>
                </c:pt>
                <c:pt idx="321">
                  <c:v>432282.56482367415</c:v>
                </c:pt>
                <c:pt idx="322">
                  <c:v>434879.90995498135</c:v>
                </c:pt>
                <c:pt idx="323">
                  <c:v>437489.37603023468</c:v>
                </c:pt>
                <c:pt idx="324">
                  <c:v>440111.01961383916</c:v>
                </c:pt>
                <c:pt idx="325">
                  <c:v>442744.89753416716</c:v>
                </c:pt>
                <c:pt idx="326">
                  <c:v>445391.06688479002</c:v>
                </c:pt>
                <c:pt idx="327">
                  <c:v>448049.58502571576</c:v>
                </c:pt>
                <c:pt idx="328">
                  <c:v>450720.50958463253</c:v>
                </c:pt>
                <c:pt idx="329">
                  <c:v>453403.89845815755</c:v>
                </c:pt>
                <c:pt idx="330">
                  <c:v>456099.80981309235</c:v>
                </c:pt>
                <c:pt idx="331">
                  <c:v>458808.30208768352</c:v>
                </c:pt>
                <c:pt idx="332">
                  <c:v>461529.43399288948</c:v>
                </c:pt>
                <c:pt idx="333">
                  <c:v>464263.26451365306</c:v>
                </c:pt>
                <c:pt idx="334">
                  <c:v>467009.85291018017</c:v>
                </c:pt>
                <c:pt idx="335">
                  <c:v>469769.25871922442</c:v>
                </c:pt>
                <c:pt idx="336">
                  <c:v>472541.54175537755</c:v>
                </c:pt>
                <c:pt idx="337">
                  <c:v>475326.76211236604</c:v>
                </c:pt>
                <c:pt idx="338">
                  <c:v>478124.98016435379</c:v>
                </c:pt>
                <c:pt idx="339">
                  <c:v>480936.25656725088</c:v>
                </c:pt>
                <c:pt idx="340">
                  <c:v>483760.65226002812</c:v>
                </c:pt>
                <c:pt idx="341">
                  <c:v>486598.2284660383</c:v>
                </c:pt>
                <c:pt idx="342">
                  <c:v>489449.04669434321</c:v>
                </c:pt>
                <c:pt idx="343">
                  <c:v>492313.16874104686</c:v>
                </c:pt>
                <c:pt idx="344">
                  <c:v>495190.65669063514</c:v>
                </c:pt>
                <c:pt idx="345">
                  <c:v>498081.57291732152</c:v>
                </c:pt>
                <c:pt idx="346">
                  <c:v>500985.98008639913</c:v>
                </c:pt>
                <c:pt idx="347">
                  <c:v>503903.94115559908</c:v>
                </c:pt>
                <c:pt idx="348">
                  <c:v>506835.51937645528</c:v>
                </c:pt>
                <c:pt idx="349">
                  <c:v>509780.77829567547</c:v>
                </c:pt>
                <c:pt idx="350">
                  <c:v>512739.7817565187</c:v>
                </c:pt>
                <c:pt idx="351">
                  <c:v>515712.5939001792</c:v>
                </c:pt>
                <c:pt idx="352">
                  <c:v>518699.27916717675</c:v>
                </c:pt>
                <c:pt idx="353">
                  <c:v>521699.90229875367</c:v>
                </c:pt>
                <c:pt idx="354">
                  <c:v>524714.52833827795</c:v>
                </c:pt>
                <c:pt idx="355">
                  <c:v>527743.22263265331</c:v>
                </c:pt>
                <c:pt idx="356">
                  <c:v>530786.05083373573</c:v>
                </c:pt>
                <c:pt idx="357">
                  <c:v>533843.07889975654</c:v>
                </c:pt>
                <c:pt idx="358">
                  <c:v>536914.3730967521</c:v>
                </c:pt>
                <c:pt idx="359">
                  <c:v>540000.00000000035</c:v>
                </c:pt>
              </c:numCache>
            </c:numRef>
          </c:val>
          <c:smooth val="0"/>
          <c:extLst>
            <c:ext xmlns:c16="http://schemas.microsoft.com/office/drawing/2014/chart" uri="{C3380CC4-5D6E-409C-BE32-E72D297353CC}">
              <c16:uniqueId val="{00000001-E2E0-4539-AEDE-898A4F5ED6B9}"/>
            </c:ext>
          </c:extLst>
        </c:ser>
        <c:dLbls>
          <c:showLegendKey val="0"/>
          <c:showVal val="0"/>
          <c:showCatName val="0"/>
          <c:showSerName val="0"/>
          <c:showPercent val="0"/>
          <c:showBubbleSize val="0"/>
        </c:dLbls>
        <c:smooth val="0"/>
        <c:axId val="760429224"/>
        <c:axId val="760429584"/>
      </c:lineChart>
      <c:dateAx>
        <c:axId val="76042922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Months (Loan Payment #)</a:t>
                </a:r>
              </a:p>
            </c:rich>
          </c:tx>
          <c:layout>
            <c:manualLayout>
              <c:xMode val="edge"/>
              <c:yMode val="edge"/>
              <c:x val="0.38531635694424998"/>
              <c:y val="0.77449770441300259"/>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60429584"/>
        <c:crosses val="autoZero"/>
        <c:auto val="0"/>
        <c:lblOffset val="100"/>
        <c:baseTimeUnit val="days"/>
      </c:dateAx>
      <c:valAx>
        <c:axId val="760429584"/>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60429224"/>
        <c:crosses val="autoZero"/>
        <c:crossBetween val="between"/>
      </c:valAx>
      <c:spPr>
        <a:noFill/>
        <a:ln>
          <a:noFill/>
        </a:ln>
        <a:effectLst/>
      </c:spPr>
    </c:plotArea>
    <c:legend>
      <c:legendPos val="b"/>
      <c:layout>
        <c:manualLayout>
          <c:xMode val="edge"/>
          <c:yMode val="edge"/>
          <c:x val="0.19309855774039328"/>
          <c:y val="0.84022919195167112"/>
          <c:w val="0.66207157288311891"/>
          <c:h val="8.755839894285580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50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Mortgage</a:t>
            </a:r>
            <a:r>
              <a:rPr lang="en-US" baseline="0"/>
              <a:t> Interest &amp; PMI Saved vs. Potential Cumulative Interest Earned on Investments (Fixed RoR)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'Monthly Amort. Sch.'!$R$17</c:f>
              <c:strCache>
                <c:ptCount val="1"/>
                <c:pt idx="0">
                  <c:v>Cumulative Mortgage Interest Saved Visual</c:v>
                </c:pt>
              </c:strCache>
            </c:strRef>
          </c:tx>
          <c:spPr>
            <a:ln w="28575" cap="rnd">
              <a:solidFill>
                <a:schemeClr val="tx2"/>
              </a:solidFill>
              <a:round/>
            </a:ln>
            <a:effectLst/>
          </c:spPr>
          <c:marker>
            <c:symbol val="none"/>
          </c:marker>
          <c:cat>
            <c:numRef>
              <c:f>'Monthly Amort. Sch.'!$K$18:$K$377</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cat>
          <c:val>
            <c:numRef>
              <c:f>'Monthly Amort. Sch.'!$R$18:$R$377</c:f>
              <c:numCache>
                <c:formatCode>_("$"* #,##0.00_);_("$"* \(#,##0.00\);_("$"* "-"??_);_(@_)</c:formatCode>
                <c:ptCount val="360"/>
                <c:pt idx="0">
                  <c:v>0</c:v>
                </c:pt>
                <c:pt idx="1">
                  <c:v>0</c:v>
                </c:pt>
                <c:pt idx="2">
                  <c:v>0</c:v>
                </c:pt>
                <c:pt idx="3">
                  <c:v>0</c:v>
                </c:pt>
                <c:pt idx="4">
                  <c:v>0</c:v>
                </c:pt>
                <c:pt idx="5">
                  <c:v>0</c:v>
                </c:pt>
                <c:pt idx="6">
                  <c:v>0</c:v>
                </c:pt>
                <c:pt idx="7">
                  <c:v>0</c:v>
                </c:pt>
                <c:pt idx="8">
                  <c:v>0</c:v>
                </c:pt>
                <c:pt idx="9">
                  <c:v>0</c:v>
                </c:pt>
                <c:pt idx="10">
                  <c:v>2.3333333333330302</c:v>
                </c:pt>
                <c:pt idx="11">
                  <c:v>4.6775555555555002</c:v>
                </c:pt>
                <c:pt idx="12">
                  <c:v>7.0327174814815407</c:v>
                </c:pt>
                <c:pt idx="13">
                  <c:v>9.3988701630614742</c:v>
                </c:pt>
                <c:pt idx="14">
                  <c:v>11.776064890489579</c:v>
                </c:pt>
                <c:pt idx="15">
                  <c:v>14.164353193311854</c:v>
                </c:pt>
                <c:pt idx="16">
                  <c:v>16.563786841547881</c:v>
                </c:pt>
                <c:pt idx="17">
                  <c:v>18.974417846809047</c:v>
                </c:pt>
                <c:pt idx="18">
                  <c:v>21.396298463428138</c:v>
                </c:pt>
                <c:pt idx="19">
                  <c:v>23.829481189591661</c:v>
                </c:pt>
                <c:pt idx="20">
                  <c:v>28.607352101810648</c:v>
                </c:pt>
                <c:pt idx="21">
                  <c:v>33.407519744952879</c:v>
                </c:pt>
                <c:pt idx="22">
                  <c:v>38.230088170429553</c:v>
                </c:pt>
                <c:pt idx="23">
                  <c:v>43.075161915225635</c:v>
                </c:pt>
                <c:pt idx="24">
                  <c:v>47.942846004164039</c:v>
                </c:pt>
                <c:pt idx="25">
                  <c:v>52.833245952183461</c:v>
                </c:pt>
                <c:pt idx="26">
                  <c:v>57.74646776662712</c:v>
                </c:pt>
                <c:pt idx="27">
                  <c:v>62.682617949538781</c:v>
                </c:pt>
                <c:pt idx="28">
                  <c:v>67.641803499970592</c:v>
                </c:pt>
                <c:pt idx="29">
                  <c:v>72.624131916304577</c:v>
                </c:pt>
                <c:pt idx="30">
                  <c:v>79.96304453191442</c:v>
                </c:pt>
                <c:pt idx="31">
                  <c:v>87.336205406397312</c:v>
                </c:pt>
                <c:pt idx="32">
                  <c:v>94.743774364961155</c:v>
                </c:pt>
                <c:pt idx="33">
                  <c:v>102.18591197866499</c:v>
                </c:pt>
                <c:pt idx="34">
                  <c:v>109.66277956789918</c:v>
                </c:pt>
                <c:pt idx="35">
                  <c:v>117.17453920588332</c:v>
                </c:pt>
                <c:pt idx="36">
                  <c:v>124.72135372217781</c:v>
                </c:pt>
                <c:pt idx="37">
                  <c:v>132.30338670621541</c:v>
                </c:pt>
                <c:pt idx="38">
                  <c:v>139.92080251084462</c:v>
                </c:pt>
                <c:pt idx="39">
                  <c:v>147.57376625589632</c:v>
                </c:pt>
                <c:pt idx="40">
                  <c:v>159.92911049842451</c:v>
                </c:pt>
                <c:pt idx="41">
                  <c:v>172.34211301408459</c:v>
                </c:pt>
                <c:pt idx="42">
                  <c:v>184.81304287481817</c:v>
                </c:pt>
                <c:pt idx="43">
                  <c:v>197.34217040823478</c:v>
                </c:pt>
                <c:pt idx="44">
                  <c:v>209.9297672034736</c:v>
                </c:pt>
                <c:pt idx="45">
                  <c:v>222.5761061170906</c:v>
                </c:pt>
                <c:pt idx="46">
                  <c:v>235.28146127897116</c:v>
                </c:pt>
                <c:pt idx="47">
                  <c:v>248.04610809827363</c:v>
                </c:pt>
                <c:pt idx="48">
                  <c:v>260.87032326939925</c:v>
                </c:pt>
                <c:pt idx="49">
                  <c:v>273.75438477799025</c:v>
                </c:pt>
                <c:pt idx="50">
                  <c:v>289.03190524028787</c:v>
                </c:pt>
                <c:pt idx="51">
                  <c:v>304.38072079807625</c:v>
                </c:pt>
                <c:pt idx="52">
                  <c:v>319.8011641618009</c:v>
                </c:pt>
                <c:pt idx="53">
                  <c:v>335.29356959455617</c:v>
                </c:pt>
                <c:pt idx="54">
                  <c:v>350.85827291933128</c:v>
                </c:pt>
                <c:pt idx="55">
                  <c:v>366.49561152628894</c:v>
                </c:pt>
                <c:pt idx="56">
                  <c:v>382.20592438007861</c:v>
                </c:pt>
                <c:pt idx="57">
                  <c:v>397.98955202718616</c:v>
                </c:pt>
                <c:pt idx="58">
                  <c:v>413.84683660331348</c:v>
                </c:pt>
                <c:pt idx="59">
                  <c:v>429.77812184079585</c:v>
                </c:pt>
                <c:pt idx="60">
                  <c:v>469.1170864093865</c:v>
                </c:pt>
                <c:pt idx="61">
                  <c:v>508.63963281263023</c:v>
                </c:pt>
                <c:pt idx="62">
                  <c:v>548.34661776575604</c:v>
                </c:pt>
                <c:pt idx="63">
                  <c:v>588.23890198199706</c:v>
                </c:pt>
                <c:pt idx="64">
                  <c:v>628.31735019124699</c:v>
                </c:pt>
                <c:pt idx="65">
                  <c:v>668.58283115880658</c:v>
                </c:pt>
                <c:pt idx="66">
                  <c:v>709.03621770421478</c:v>
                </c:pt>
                <c:pt idx="67">
                  <c:v>749.67838672016842</c:v>
                </c:pt>
                <c:pt idx="68">
                  <c:v>790.51021919152981</c:v>
                </c:pt>
                <c:pt idx="69">
                  <c:v>831.53260021442429</c:v>
                </c:pt>
                <c:pt idx="70">
                  <c:v>875.07975234875903</c:v>
                </c:pt>
                <c:pt idx="71">
                  <c:v>918.83012452638741</c:v>
                </c:pt>
                <c:pt idx="72">
                  <c:v>962.7846651075115</c:v>
                </c:pt>
                <c:pt idx="73">
                  <c:v>1006.9443268780142</c:v>
                </c:pt>
                <c:pt idx="74">
                  <c:v>1051.3100670701124</c:v>
                </c:pt>
                <c:pt idx="75">
                  <c:v>1095.8828473831072</c:v>
                </c:pt>
                <c:pt idx="76">
                  <c:v>1140.6636340042292</c:v>
                </c:pt>
                <c:pt idx="77">
                  <c:v>1185.6533976295827</c:v>
                </c:pt>
                <c:pt idx="78">
                  <c:v>1230.8531134851883</c:v>
                </c:pt>
                <c:pt idx="79">
                  <c:v>1276.2637613481197</c:v>
                </c:pt>
                <c:pt idx="80">
                  <c:v>1324.2196589010778</c:v>
                </c:pt>
                <c:pt idx="81">
                  <c:v>1372.3993506426164</c:v>
                </c:pt>
                <c:pt idx="82">
                  <c:v>1420.8038809456152</c:v>
                </c:pt>
                <c:pt idx="83">
                  <c:v>1469.4342990566952</c:v>
                </c:pt>
                <c:pt idx="84">
                  <c:v>1518.2916591189601</c:v>
                </c:pt>
                <c:pt idx="85">
                  <c:v>1567.3770201948491</c:v>
                </c:pt>
                <c:pt idx="86">
                  <c:v>1616.6914462890918</c:v>
                </c:pt>
                <c:pt idx="87">
                  <c:v>1666.2360063717747</c:v>
                </c:pt>
                <c:pt idx="88">
                  <c:v>1716.0117744015106</c:v>
                </c:pt>
                <c:pt idx="89">
                  <c:v>1766.0198293487183</c:v>
                </c:pt>
                <c:pt idx="90">
                  <c:v>1834.9279218856796</c:v>
                </c:pt>
                <c:pt idx="91">
                  <c:v>1904.1575855211468</c:v>
                </c:pt>
                <c:pt idx="92">
                  <c:v>1973.710320920246</c:v>
                </c:pt>
                <c:pt idx="93">
                  <c:v>2043.5876357512075</c:v>
                </c:pt>
                <c:pt idx="94">
                  <c:v>2113.791044718047</c:v>
                </c:pt>
                <c:pt idx="95">
                  <c:v>2184.3220695933987</c:v>
                </c:pt>
                <c:pt idx="96">
                  <c:v>2255.1822392515019</c:v>
                </c:pt>
                <c:pt idx="97">
                  <c:v>2326.3730897013425</c:v>
                </c:pt>
                <c:pt idx="98">
                  <c:v>2397.8961641199494</c:v>
                </c:pt>
                <c:pt idx="99">
                  <c:v>2469.753012885843</c:v>
                </c:pt>
                <c:pt idx="100">
                  <c:v>2555.9451936126438</c:v>
                </c:pt>
                <c:pt idx="101">
                  <c:v>2642.5396045161697</c:v>
                </c:pt>
                <c:pt idx="102">
                  <c:v>2729.5381226705786</c:v>
                </c:pt>
                <c:pt idx="103">
                  <c:v>2816.9426339097085</c:v>
                </c:pt>
                <c:pt idx="104">
                  <c:v>2904.7550328679545</c:v>
                </c:pt>
                <c:pt idx="105">
                  <c:v>2992.9772230213384</c:v>
                </c:pt>
                <c:pt idx="106">
                  <c:v>3081.6111167287713</c:v>
                </c:pt>
                <c:pt idx="107">
                  <c:v>3170.6586352735058</c:v>
                </c:pt>
                <c:pt idx="108">
                  <c:v>3260.1217089047823</c:v>
                </c:pt>
                <c:pt idx="109">
                  <c:v>3350.0022768796716</c:v>
                </c:pt>
                <c:pt idx="110">
                  <c:v>3442.6356208384441</c:v>
                </c:pt>
                <c:pt idx="111">
                  <c:v>3535.7012537356904</c:v>
                </c:pt>
                <c:pt idx="112">
                  <c:v>3629.2011929197906</c:v>
                </c:pt>
                <c:pt idx="113">
                  <c:v>3723.137465153417</c:v>
                </c:pt>
                <c:pt idx="114">
                  <c:v>3817.512106657467</c:v>
                </c:pt>
                <c:pt idx="115">
                  <c:v>3912.3271631552025</c:v>
                </c:pt>
                <c:pt idx="116">
                  <c:v>4007.5846899165936</c:v>
                </c:pt>
                <c:pt idx="117">
                  <c:v>4103.2867518028706</c:v>
                </c:pt>
                <c:pt idx="118">
                  <c:v>4199.4354233112845</c:v>
                </c:pt>
                <c:pt idx="119">
                  <c:v>4296.0327886200703</c:v>
                </c:pt>
                <c:pt idx="120">
                  <c:v>4411.7476083002975</c:v>
                </c:pt>
                <c:pt idx="121">
                  <c:v>4528.0024304723656</c:v>
                </c:pt>
                <c:pt idx="122">
                  <c:v>4644.7997751479033</c:v>
                </c:pt>
                <c:pt idx="123">
                  <c:v>4762.1421740985934</c:v>
                </c:pt>
                <c:pt idx="124">
                  <c:v>4880.032170911054</c:v>
                </c:pt>
                <c:pt idx="125">
                  <c:v>4998.4723210419725</c:v>
                </c:pt>
                <c:pt idx="126">
                  <c:v>5117.4651918735017</c:v>
                </c:pt>
                <c:pt idx="127">
                  <c:v>5237.013362768912</c:v>
                </c:pt>
                <c:pt idx="128">
                  <c:v>5357.1194251285006</c:v>
                </c:pt>
                <c:pt idx="129">
                  <c:v>5477.7859824457673</c:v>
                </c:pt>
                <c:pt idx="130">
                  <c:v>5601.3489836971812</c:v>
                </c:pt>
                <c:pt idx="131">
                  <c:v>5725.4886122877688</c:v>
                </c:pt>
                <c:pt idx="132">
                  <c:v>5850.2075591451121</c:v>
                </c:pt>
                <c:pt idx="133">
                  <c:v>5975.5085277544567</c:v>
                </c:pt>
                <c:pt idx="134">
                  <c:v>6101.3942342173114</c:v>
                </c:pt>
                <c:pt idx="135">
                  <c:v>6227.8674073103257</c:v>
                </c:pt>
                <c:pt idx="136">
                  <c:v>6354.9307885444405</c:v>
                </c:pt>
                <c:pt idx="137">
                  <c:v>6482.5871322243147</c:v>
                </c:pt>
                <c:pt idx="138">
                  <c:v>6610.8392055080285</c:v>
                </c:pt>
                <c:pt idx="139">
                  <c:v>6739.6897884670661</c:v>
                </c:pt>
                <c:pt idx="140">
                  <c:v>6904.1416741465791</c:v>
                </c:pt>
                <c:pt idx="141">
                  <c:v>7069.3610019592634</c:v>
                </c:pt>
                <c:pt idx="142">
                  <c:v>7235.3513533017403</c:v>
                </c:pt>
                <c:pt idx="143">
                  <c:v>7402.1163262838154</c:v>
                </c:pt>
                <c:pt idx="144">
                  <c:v>7569.6595358064733</c:v>
                </c:pt>
                <c:pt idx="145">
                  <c:v>7737.9846136402375</c:v>
                </c:pt>
                <c:pt idx="146">
                  <c:v>7907.0952085038925</c:v>
                </c:pt>
                <c:pt idx="147">
                  <c:v>8076.994986143578</c:v>
                </c:pt>
                <c:pt idx="148">
                  <c:v>8247.6876294122485</c:v>
                </c:pt>
                <c:pt idx="149">
                  <c:v>8419.1768383495055</c:v>
                </c:pt>
                <c:pt idx="150">
                  <c:v>8597.0663302618032</c:v>
                </c:pt>
                <c:pt idx="151">
                  <c:v>8775.7859731363587</c:v>
                </c:pt>
                <c:pt idx="152">
                  <c:v>8955.3396410109963</c:v>
                </c:pt>
                <c:pt idx="153">
                  <c:v>9135.7312260023809</c:v>
                </c:pt>
                <c:pt idx="154">
                  <c:v>9316.9646383903928</c:v>
                </c:pt>
                <c:pt idx="155">
                  <c:v>9499.0438067028826</c:v>
                </c:pt>
                <c:pt idx="156">
                  <c:v>9681.9726778008298</c:v>
                </c:pt>
                <c:pt idx="157">
                  <c:v>9865.7552169639002</c:v>
                </c:pt>
                <c:pt idx="158">
                  <c:v>10050.395407976399</c:v>
                </c:pt>
                <c:pt idx="159">
                  <c:v>10235.897253213623</c:v>
                </c:pt>
                <c:pt idx="160">
                  <c:v>10422.498107061954</c:v>
                </c:pt>
                <c:pt idx="161">
                  <c:v>10609.969764894911</c:v>
                </c:pt>
                <c:pt idx="162">
                  <c:v>10798.316290464421</c:v>
                </c:pt>
                <c:pt idx="163">
                  <c:v>10987.541766486589</c:v>
                </c:pt>
                <c:pt idx="164">
                  <c:v>11177.650294730194</c:v>
                </c:pt>
                <c:pt idx="165">
                  <c:v>11368.645996105603</c:v>
                </c:pt>
                <c:pt idx="166">
                  <c:v>11560.533010754096</c:v>
                </c:pt>
                <c:pt idx="167">
                  <c:v>11753.315498137616</c:v>
                </c:pt>
                <c:pt idx="168">
                  <c:v>11946.997637128925</c:v>
                </c:pt>
                <c:pt idx="169">
                  <c:v>12141.583626102194</c:v>
                </c:pt>
                <c:pt idx="170">
                  <c:v>12338.244349690671</c:v>
                </c:pt>
                <c:pt idx="171">
                  <c:v>12535.822823322562</c:v>
                </c:pt>
                <c:pt idx="172">
                  <c:v>12734.323329831401</c:v>
                </c:pt>
                <c:pt idx="173">
                  <c:v>12933.750172037282</c:v>
                </c:pt>
                <c:pt idx="174">
                  <c:v>13134.107672840124</c:v>
                </c:pt>
                <c:pt idx="175">
                  <c:v>13335.400175313378</c:v>
                </c:pt>
                <c:pt idx="176">
                  <c:v>13537.632042798174</c:v>
                </c:pt>
                <c:pt idx="177">
                  <c:v>13740.807658997899</c:v>
                </c:pt>
                <c:pt idx="178">
                  <c:v>13944.931428073223</c:v>
                </c:pt>
                <c:pt idx="179">
                  <c:v>14150.007774737565</c:v>
                </c:pt>
                <c:pt idx="180">
                  <c:v>14358.374477686342</c:v>
                </c:pt>
                <c:pt idx="181">
                  <c:v>14567.713558582212</c:v>
                </c:pt>
                <c:pt idx="182">
                  <c:v>14778.02955518893</c:v>
                </c:pt>
                <c:pt idx="183">
                  <c:v>14989.327026446479</c:v>
                </c:pt>
                <c:pt idx="184">
                  <c:v>15201.610552569897</c:v>
                </c:pt>
                <c:pt idx="185">
                  <c:v>15414.884735148557</c:v>
                </c:pt>
                <c:pt idx="186">
                  <c:v>15629.154197245918</c:v>
                </c:pt>
                <c:pt idx="187">
                  <c:v>15844.423583499733</c:v>
                </c:pt>
                <c:pt idx="188">
                  <c:v>16060.697560222732</c:v>
                </c:pt>
                <c:pt idx="189">
                  <c:v>16277.980815503774</c:v>
                </c:pt>
                <c:pt idx="190">
                  <c:v>16498.611392642793</c:v>
                </c:pt>
                <c:pt idx="191">
                  <c:v>16720.271579141794</c:v>
                </c:pt>
                <c:pt idx="192">
                  <c:v>16942.966179844458</c:v>
                </c:pt>
                <c:pt idx="193">
                  <c:v>17166.700022017067</c:v>
                </c:pt>
                <c:pt idx="194">
                  <c:v>17391.477955453149</c:v>
                </c:pt>
                <c:pt idx="195">
                  <c:v>17617.304852578596</c:v>
                </c:pt>
                <c:pt idx="196">
                  <c:v>17844.185608557298</c:v>
                </c:pt>
                <c:pt idx="197">
                  <c:v>18072.125141397235</c:v>
                </c:pt>
                <c:pt idx="198">
                  <c:v>18301.12839205709</c:v>
                </c:pt>
                <c:pt idx="199">
                  <c:v>18531.200324553356</c:v>
                </c:pt>
                <c:pt idx="200">
                  <c:v>18764.679259401273</c:v>
                </c:pt>
                <c:pt idx="201">
                  <c:v>18999.247762611813</c:v>
                </c:pt>
                <c:pt idx="202">
                  <c:v>19234.910918837333</c:v>
                </c:pt>
                <c:pt idx="203">
                  <c:v>19471.673836458576</c:v>
                </c:pt>
                <c:pt idx="204">
                  <c:v>19709.541647695383</c:v>
                </c:pt>
                <c:pt idx="205">
                  <c:v>19948.519508717964</c:v>
                </c:pt>
                <c:pt idx="206">
                  <c:v>20188.61259975865</c:v>
                </c:pt>
                <c:pt idx="207">
                  <c:v>20429.82612522419</c:v>
                </c:pt>
                <c:pt idx="208">
                  <c:v>20672.165313808571</c:v>
                </c:pt>
                <c:pt idx="209">
                  <c:v>20915.635418606347</c:v>
                </c:pt>
                <c:pt idx="210">
                  <c:v>21163.741717226512</c:v>
                </c:pt>
                <c:pt idx="211">
                  <c:v>21413.005845240237</c:v>
                </c:pt>
                <c:pt idx="212">
                  <c:v>21663.433205851361</c:v>
                </c:pt>
                <c:pt idx="213">
                  <c:v>21915.02922747867</c:v>
                </c:pt>
                <c:pt idx="214">
                  <c:v>22167.799363873572</c:v>
                </c:pt>
                <c:pt idx="215">
                  <c:v>22421.749094238316</c:v>
                </c:pt>
                <c:pt idx="216">
                  <c:v>22676.883923344762</c:v>
                </c:pt>
                <c:pt idx="217">
                  <c:v>22933.209381653705</c:v>
                </c:pt>
                <c:pt idx="218">
                  <c:v>23190.731025434758</c:v>
                </c:pt>
                <c:pt idx="219">
                  <c:v>23449.454436886786</c:v>
                </c:pt>
                <c:pt idx="220">
                  <c:v>23711.718557592259</c:v>
                </c:pt>
                <c:pt idx="221">
                  <c:v>23975.20657752769</c:v>
                </c:pt>
                <c:pt idx="222">
                  <c:v>24239.924208222819</c:v>
                </c:pt>
                <c:pt idx="223">
                  <c:v>24505.877187861191</c:v>
                </c:pt>
                <c:pt idx="224">
                  <c:v>24773.071281404544</c:v>
                </c:pt>
                <c:pt idx="225">
                  <c:v>25041.512280717765</c:v>
                </c:pt>
                <c:pt idx="226">
                  <c:v>25311.20600469445</c:v>
                </c:pt>
                <c:pt idx="227">
                  <c:v>25582.158299383023</c:v>
                </c:pt>
                <c:pt idx="228">
                  <c:v>25854.375038113478</c:v>
                </c:pt>
                <c:pt idx="229">
                  <c:v>26127.862121624676</c:v>
                </c:pt>
                <c:pt idx="230">
                  <c:v>26404.95881152559</c:v>
                </c:pt>
                <c:pt idx="231">
                  <c:v>26683.34861931271</c:v>
                </c:pt>
                <c:pt idx="232">
                  <c:v>26963.037579536169</c:v>
                </c:pt>
                <c:pt idx="233">
                  <c:v>27244.031754907337</c:v>
                </c:pt>
                <c:pt idx="234">
                  <c:v>27526.337236430238</c:v>
                </c:pt>
                <c:pt idx="235">
                  <c:v>27809.960143533579</c:v>
                </c:pt>
                <c:pt idx="236">
                  <c:v>28094.906624203402</c:v>
                </c:pt>
                <c:pt idx="237">
                  <c:v>28381.182855116353</c:v>
                </c:pt>
                <c:pt idx="238">
                  <c:v>28668.795041773563</c:v>
                </c:pt>
                <c:pt idx="239">
                  <c:v>28957.749418635172</c:v>
                </c:pt>
                <c:pt idx="240">
                  <c:v>29250.385582588806</c:v>
                </c:pt>
                <c:pt idx="241">
                  <c:v>29544.387381974222</c:v>
                </c:pt>
                <c:pt idx="242">
                  <c:v>29839.761189756769</c:v>
                </c:pt>
                <c:pt idx="243">
                  <c:v>30136.513408642302</c:v>
                </c:pt>
                <c:pt idx="244">
                  <c:v>30434.650471215966</c:v>
                </c:pt>
                <c:pt idx="245">
                  <c:v>30734.17884008164</c:v>
                </c:pt>
                <c:pt idx="246">
                  <c:v>31035.105008002021</c:v>
                </c:pt>
                <c:pt idx="247">
                  <c:v>31337.435498039365</c:v>
                </c:pt>
                <c:pt idx="248">
                  <c:v>31641.176863696885</c:v>
                </c:pt>
                <c:pt idx="249">
                  <c:v>31946.335689060805</c:v>
                </c:pt>
                <c:pt idx="250">
                  <c:v>32255.251922276424</c:v>
                </c:pt>
                <c:pt idx="251">
                  <c:v>32565.609764580382</c:v>
                </c:pt>
                <c:pt idx="252">
                  <c:v>32877.415943481756</c:v>
                </c:pt>
                <c:pt idx="253">
                  <c:v>33190.677217884673</c:v>
                </c:pt>
                <c:pt idx="254">
                  <c:v>33505.400378234801</c:v>
                </c:pt>
                <c:pt idx="255">
                  <c:v>33821.592246666565</c:v>
                </c:pt>
                <c:pt idx="256">
                  <c:v>34139.259677151007</c:v>
                </c:pt>
                <c:pt idx="257">
                  <c:v>34458.409555644379</c:v>
                </c:pt>
                <c:pt idx="258">
                  <c:v>34779.04880023739</c:v>
                </c:pt>
                <c:pt idx="259">
                  <c:v>35101.184361305168</c:v>
                </c:pt>
                <c:pt idx="260">
                  <c:v>35427.156554991263</c:v>
                </c:pt>
                <c:pt idx="261">
                  <c:v>35754.649952247892</c:v>
                </c:pt>
                <c:pt idx="262">
                  <c:v>36083.671652025048</c:v>
                </c:pt>
                <c:pt idx="263">
                  <c:v>36414.228786401167</c:v>
                </c:pt>
                <c:pt idx="264">
                  <c:v>36746.328520737705</c:v>
                </c:pt>
                <c:pt idx="265">
                  <c:v>37079.978053834478</c:v>
                </c:pt>
                <c:pt idx="266">
                  <c:v>37415.18461808571</c:v>
                </c:pt>
                <c:pt idx="267">
                  <c:v>37751.955479636774</c:v>
                </c:pt>
                <c:pt idx="268">
                  <c:v>38090.297938541749</c:v>
                </c:pt>
                <c:pt idx="269">
                  <c:v>38430.219328921608</c:v>
                </c:pt>
                <c:pt idx="270">
                  <c:v>38774.060352456574</c:v>
                </c:pt>
                <c:pt idx="271">
                  <c:v>39119.505967434707</c:v>
                </c:pt>
                <c:pt idx="272">
                  <c:v>39466.563661949403</c:v>
                </c:pt>
                <c:pt idx="273">
                  <c:v>39815.2409590385</c:v>
                </c:pt>
                <c:pt idx="274">
                  <c:v>40165.545416847344</c:v>
                </c:pt>
                <c:pt idx="275">
                  <c:v>40517.484628792634</c:v>
                </c:pt>
                <c:pt idx="276">
                  <c:v>40871.066223727001</c:v>
                </c:pt>
                <c:pt idx="277">
                  <c:v>41226.297866104396</c:v>
                </c:pt>
                <c:pt idx="278">
                  <c:v>41583.187256146215</c:v>
                </c:pt>
                <c:pt idx="279">
                  <c:v>41941.742130008228</c:v>
                </c:pt>
                <c:pt idx="280">
                  <c:v>42304.303593281598</c:v>
                </c:pt>
                <c:pt idx="281">
                  <c:v>42668.557010050245</c:v>
                </c:pt>
                <c:pt idx="282">
                  <c:v>43034.510276097149</c:v>
                </c:pt>
                <c:pt idx="283">
                  <c:v>43402.171324052273</c:v>
                </c:pt>
                <c:pt idx="284">
                  <c:v>43771.54812356452</c:v>
                </c:pt>
                <c:pt idx="285">
                  <c:v>44142.648681474486</c:v>
                </c:pt>
                <c:pt idx="286">
                  <c:v>44515.48104198803</c:v>
                </c:pt>
                <c:pt idx="287">
                  <c:v>44890.053286850642</c:v>
                </c:pt>
                <c:pt idx="288">
                  <c:v>45266.373535522609</c:v>
                </c:pt>
                <c:pt idx="289">
                  <c:v>45644.449945355045</c:v>
                </c:pt>
                <c:pt idx="290">
                  <c:v>46024.290711766705</c:v>
                </c:pt>
                <c:pt idx="291">
                  <c:v>46405.904068421616</c:v>
                </c:pt>
                <c:pt idx="292">
                  <c:v>46789.298287407582</c:v>
                </c:pt>
                <c:pt idx="293">
                  <c:v>47174.481679415483</c:v>
                </c:pt>
                <c:pt idx="294">
                  <c:v>47561.462593919423</c:v>
                </c:pt>
                <c:pt idx="295">
                  <c:v>47959.582752691051</c:v>
                </c:pt>
                <c:pt idx="296">
                  <c:v>48359.560805536945</c:v>
                </c:pt>
                <c:pt idx="297">
                  <c:v>48761.405422629454</c:v>
                </c:pt>
                <c:pt idx="298">
                  <c:v>49165.125314601726</c:v>
                </c:pt>
                <c:pt idx="299">
                  <c:v>49570.729232736536</c:v>
                </c:pt>
                <c:pt idx="300">
                  <c:v>49985.225969155974</c:v>
                </c:pt>
                <c:pt idx="301">
                  <c:v>50401.657023678701</c:v>
                </c:pt>
                <c:pt idx="302">
                  <c:v>50820.031423122535</c:v>
                </c:pt>
                <c:pt idx="303">
                  <c:v>51240.358236430438</c:v>
                </c:pt>
                <c:pt idx="304">
                  <c:v>51662.646574867111</c:v>
                </c:pt>
                <c:pt idx="305">
                  <c:v>52086.905592216492</c:v>
                </c:pt>
                <c:pt idx="306">
                  <c:v>52513.14448498017</c:v>
                </c:pt>
                <c:pt idx="307">
                  <c:v>52941.372492576746</c:v>
                </c:pt>
                <c:pt idx="308">
                  <c:v>53371.598897542106</c:v>
                </c:pt>
                <c:pt idx="309">
                  <c:v>53803.833025730637</c:v>
                </c:pt>
                <c:pt idx="310">
                  <c:v>54238.084246517377</c:v>
                </c:pt>
                <c:pt idx="311">
                  <c:v>54674.361973001127</c:v>
                </c:pt>
                <c:pt idx="312">
                  <c:v>55112.675662208465</c:v>
                </c:pt>
                <c:pt idx="313">
                  <c:v>55553.034815298772</c:v>
                </c:pt>
                <c:pt idx="314">
                  <c:v>55995.448977770167</c:v>
                </c:pt>
                <c:pt idx="315">
                  <c:v>56439.927739666426</c:v>
                </c:pt>
                <c:pt idx="316">
                  <c:v>56886.480735784869</c:v>
                </c:pt>
                <c:pt idx="317">
                  <c:v>57335.117645885199</c:v>
                </c:pt>
                <c:pt idx="318">
                  <c:v>57785.848194899329</c:v>
                </c:pt>
                <c:pt idx="319">
                  <c:v>58238.682153142196</c:v>
                </c:pt>
                <c:pt idx="320">
                  <c:v>58693.629336523525</c:v>
                </c:pt>
                <c:pt idx="321">
                  <c:v>59150.699606760638</c:v>
                </c:pt>
                <c:pt idx="322">
                  <c:v>59609.902871592189</c:v>
                </c:pt>
                <c:pt idx="323">
                  <c:v>60071.249084992953</c:v>
                </c:pt>
                <c:pt idx="324">
                  <c:v>60534.748247389587</c:v>
                </c:pt>
                <c:pt idx="325">
                  <c:v>61000.410405877403</c:v>
                </c:pt>
                <c:pt idx="326">
                  <c:v>61000.410405877403</c:v>
                </c:pt>
                <c:pt idx="327">
                  <c:v>61000.410405877403</c:v>
                </c:pt>
                <c:pt idx="328">
                  <c:v>61000.410405877403</c:v>
                </c:pt>
                <c:pt idx="329">
                  <c:v>61000.410405877403</c:v>
                </c:pt>
                <c:pt idx="330">
                  <c:v>61000.410405877403</c:v>
                </c:pt>
                <c:pt idx="331">
                  <c:v>61000.410405877403</c:v>
                </c:pt>
                <c:pt idx="332">
                  <c:v>61000.410405877403</c:v>
                </c:pt>
                <c:pt idx="333">
                  <c:v>61000.410405877403</c:v>
                </c:pt>
                <c:pt idx="334">
                  <c:v>61000.410405877403</c:v>
                </c:pt>
                <c:pt idx="335">
                  <c:v>61000.410405877403</c:v>
                </c:pt>
                <c:pt idx="336">
                  <c:v>61000.410405877403</c:v>
                </c:pt>
                <c:pt idx="337">
                  <c:v>61000.410405877403</c:v>
                </c:pt>
                <c:pt idx="338">
                  <c:v>61000.410405877403</c:v>
                </c:pt>
                <c:pt idx="339">
                  <c:v>61000.410405877403</c:v>
                </c:pt>
                <c:pt idx="340">
                  <c:v>61000.410405877403</c:v>
                </c:pt>
                <c:pt idx="341">
                  <c:v>61000.410405877403</c:v>
                </c:pt>
                <c:pt idx="342">
                  <c:v>61000.410405877403</c:v>
                </c:pt>
                <c:pt idx="343">
                  <c:v>61000.410405877403</c:v>
                </c:pt>
                <c:pt idx="344">
                  <c:v>61000.410405877403</c:v>
                </c:pt>
                <c:pt idx="345">
                  <c:v>61000.410405877403</c:v>
                </c:pt>
                <c:pt idx="346">
                  <c:v>61000.410405877403</c:v>
                </c:pt>
                <c:pt idx="347">
                  <c:v>61000.410405877403</c:v>
                </c:pt>
                <c:pt idx="348">
                  <c:v>61000.410405877403</c:v>
                </c:pt>
                <c:pt idx="349">
                  <c:v>61000.410405877403</c:v>
                </c:pt>
                <c:pt idx="350">
                  <c:v>61000.410405877403</c:v>
                </c:pt>
                <c:pt idx="351">
                  <c:v>61000.410405877403</c:v>
                </c:pt>
                <c:pt idx="352">
                  <c:v>61000.410405877403</c:v>
                </c:pt>
                <c:pt idx="353">
                  <c:v>61000.410405877403</c:v>
                </c:pt>
                <c:pt idx="354">
                  <c:v>61000.410405877403</c:v>
                </c:pt>
                <c:pt idx="355">
                  <c:v>61000.410405877403</c:v>
                </c:pt>
                <c:pt idx="356">
                  <c:v>61000.410405877403</c:v>
                </c:pt>
                <c:pt idx="357">
                  <c:v>61000.410405877403</c:v>
                </c:pt>
                <c:pt idx="358">
                  <c:v>61000.410405877403</c:v>
                </c:pt>
                <c:pt idx="359">
                  <c:v>61000.410405877403</c:v>
                </c:pt>
              </c:numCache>
            </c:numRef>
          </c:val>
          <c:smooth val="0"/>
          <c:extLst>
            <c:ext xmlns:c16="http://schemas.microsoft.com/office/drawing/2014/chart" uri="{C3380CC4-5D6E-409C-BE32-E72D297353CC}">
              <c16:uniqueId val="{00000000-C1D5-4593-BF21-913ED0F7A74B}"/>
            </c:ext>
          </c:extLst>
        </c:ser>
        <c:ser>
          <c:idx val="1"/>
          <c:order val="1"/>
          <c:tx>
            <c:strRef>
              <c:f>'Monthly Amort. Sch.'!$T$17</c:f>
              <c:strCache>
                <c:ptCount val="1"/>
                <c:pt idx="0">
                  <c:v>Cumulative Interest Earned on Investments Visual</c:v>
                </c:pt>
              </c:strCache>
            </c:strRef>
          </c:tx>
          <c:spPr>
            <a:ln w="28575" cap="rnd">
              <a:solidFill>
                <a:schemeClr val="accent4">
                  <a:lumMod val="75000"/>
                </a:schemeClr>
              </a:solidFill>
              <a:round/>
            </a:ln>
            <a:effectLst/>
          </c:spPr>
          <c:marker>
            <c:symbol val="none"/>
          </c:marker>
          <c:cat>
            <c:numRef>
              <c:f>'Monthly Amort. Sch.'!$K$18:$K$377</c:f>
              <c:numCache>
                <c:formatCode>General</c:formatCode>
                <c:ptCount val="36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pt idx="100">
                  <c:v>101</c:v>
                </c:pt>
                <c:pt idx="101">
                  <c:v>102</c:v>
                </c:pt>
                <c:pt idx="102">
                  <c:v>103</c:v>
                </c:pt>
                <c:pt idx="103">
                  <c:v>104</c:v>
                </c:pt>
                <c:pt idx="104">
                  <c:v>105</c:v>
                </c:pt>
                <c:pt idx="105">
                  <c:v>106</c:v>
                </c:pt>
                <c:pt idx="106">
                  <c:v>107</c:v>
                </c:pt>
                <c:pt idx="107">
                  <c:v>108</c:v>
                </c:pt>
                <c:pt idx="108">
                  <c:v>109</c:v>
                </c:pt>
                <c:pt idx="109">
                  <c:v>110</c:v>
                </c:pt>
                <c:pt idx="110">
                  <c:v>111</c:v>
                </c:pt>
                <c:pt idx="111">
                  <c:v>112</c:v>
                </c:pt>
                <c:pt idx="112">
                  <c:v>113</c:v>
                </c:pt>
                <c:pt idx="113">
                  <c:v>114</c:v>
                </c:pt>
                <c:pt idx="114">
                  <c:v>115</c:v>
                </c:pt>
                <c:pt idx="115">
                  <c:v>116</c:v>
                </c:pt>
                <c:pt idx="116">
                  <c:v>117</c:v>
                </c:pt>
                <c:pt idx="117">
                  <c:v>118</c:v>
                </c:pt>
                <c:pt idx="118">
                  <c:v>119</c:v>
                </c:pt>
                <c:pt idx="119">
                  <c:v>120</c:v>
                </c:pt>
                <c:pt idx="120">
                  <c:v>121</c:v>
                </c:pt>
                <c:pt idx="121">
                  <c:v>122</c:v>
                </c:pt>
                <c:pt idx="122">
                  <c:v>123</c:v>
                </c:pt>
                <c:pt idx="123">
                  <c:v>124</c:v>
                </c:pt>
                <c:pt idx="124">
                  <c:v>125</c:v>
                </c:pt>
                <c:pt idx="125">
                  <c:v>126</c:v>
                </c:pt>
                <c:pt idx="126">
                  <c:v>127</c:v>
                </c:pt>
                <c:pt idx="127">
                  <c:v>128</c:v>
                </c:pt>
                <c:pt idx="128">
                  <c:v>129</c:v>
                </c:pt>
                <c:pt idx="129">
                  <c:v>130</c:v>
                </c:pt>
                <c:pt idx="130">
                  <c:v>131</c:v>
                </c:pt>
                <c:pt idx="131">
                  <c:v>132</c:v>
                </c:pt>
                <c:pt idx="132">
                  <c:v>133</c:v>
                </c:pt>
                <c:pt idx="133">
                  <c:v>134</c:v>
                </c:pt>
                <c:pt idx="134">
                  <c:v>135</c:v>
                </c:pt>
                <c:pt idx="135">
                  <c:v>136</c:v>
                </c:pt>
                <c:pt idx="136">
                  <c:v>137</c:v>
                </c:pt>
                <c:pt idx="137">
                  <c:v>138</c:v>
                </c:pt>
                <c:pt idx="138">
                  <c:v>139</c:v>
                </c:pt>
                <c:pt idx="139">
                  <c:v>140</c:v>
                </c:pt>
                <c:pt idx="140">
                  <c:v>141</c:v>
                </c:pt>
                <c:pt idx="141">
                  <c:v>142</c:v>
                </c:pt>
                <c:pt idx="142">
                  <c:v>143</c:v>
                </c:pt>
                <c:pt idx="143">
                  <c:v>144</c:v>
                </c:pt>
                <c:pt idx="144">
                  <c:v>145</c:v>
                </c:pt>
                <c:pt idx="145">
                  <c:v>146</c:v>
                </c:pt>
                <c:pt idx="146">
                  <c:v>147</c:v>
                </c:pt>
                <c:pt idx="147">
                  <c:v>148</c:v>
                </c:pt>
                <c:pt idx="148">
                  <c:v>149</c:v>
                </c:pt>
                <c:pt idx="149">
                  <c:v>150</c:v>
                </c:pt>
                <c:pt idx="150">
                  <c:v>151</c:v>
                </c:pt>
                <c:pt idx="151">
                  <c:v>152</c:v>
                </c:pt>
                <c:pt idx="152">
                  <c:v>153</c:v>
                </c:pt>
                <c:pt idx="153">
                  <c:v>154</c:v>
                </c:pt>
                <c:pt idx="154">
                  <c:v>155</c:v>
                </c:pt>
                <c:pt idx="155">
                  <c:v>156</c:v>
                </c:pt>
                <c:pt idx="156">
                  <c:v>157</c:v>
                </c:pt>
                <c:pt idx="157">
                  <c:v>158</c:v>
                </c:pt>
                <c:pt idx="158">
                  <c:v>159</c:v>
                </c:pt>
                <c:pt idx="159">
                  <c:v>160</c:v>
                </c:pt>
                <c:pt idx="160">
                  <c:v>161</c:v>
                </c:pt>
                <c:pt idx="161">
                  <c:v>162</c:v>
                </c:pt>
                <c:pt idx="162">
                  <c:v>163</c:v>
                </c:pt>
                <c:pt idx="163">
                  <c:v>164</c:v>
                </c:pt>
                <c:pt idx="164">
                  <c:v>165</c:v>
                </c:pt>
                <c:pt idx="165">
                  <c:v>166</c:v>
                </c:pt>
                <c:pt idx="166">
                  <c:v>167</c:v>
                </c:pt>
                <c:pt idx="167">
                  <c:v>168</c:v>
                </c:pt>
                <c:pt idx="168">
                  <c:v>169</c:v>
                </c:pt>
                <c:pt idx="169">
                  <c:v>170</c:v>
                </c:pt>
                <c:pt idx="170">
                  <c:v>171</c:v>
                </c:pt>
                <c:pt idx="171">
                  <c:v>172</c:v>
                </c:pt>
                <c:pt idx="172">
                  <c:v>173</c:v>
                </c:pt>
                <c:pt idx="173">
                  <c:v>174</c:v>
                </c:pt>
                <c:pt idx="174">
                  <c:v>175</c:v>
                </c:pt>
                <c:pt idx="175">
                  <c:v>176</c:v>
                </c:pt>
                <c:pt idx="176">
                  <c:v>177</c:v>
                </c:pt>
                <c:pt idx="177">
                  <c:v>178</c:v>
                </c:pt>
                <c:pt idx="178">
                  <c:v>179</c:v>
                </c:pt>
                <c:pt idx="179">
                  <c:v>180</c:v>
                </c:pt>
                <c:pt idx="180">
                  <c:v>181</c:v>
                </c:pt>
                <c:pt idx="181">
                  <c:v>182</c:v>
                </c:pt>
                <c:pt idx="182">
                  <c:v>183</c:v>
                </c:pt>
                <c:pt idx="183">
                  <c:v>184</c:v>
                </c:pt>
                <c:pt idx="184">
                  <c:v>185</c:v>
                </c:pt>
                <c:pt idx="185">
                  <c:v>186</c:v>
                </c:pt>
                <c:pt idx="186">
                  <c:v>187</c:v>
                </c:pt>
                <c:pt idx="187">
                  <c:v>188</c:v>
                </c:pt>
                <c:pt idx="188">
                  <c:v>189</c:v>
                </c:pt>
                <c:pt idx="189">
                  <c:v>190</c:v>
                </c:pt>
                <c:pt idx="190">
                  <c:v>191</c:v>
                </c:pt>
                <c:pt idx="191">
                  <c:v>192</c:v>
                </c:pt>
                <c:pt idx="192">
                  <c:v>193</c:v>
                </c:pt>
                <c:pt idx="193">
                  <c:v>194</c:v>
                </c:pt>
                <c:pt idx="194">
                  <c:v>195</c:v>
                </c:pt>
                <c:pt idx="195">
                  <c:v>196</c:v>
                </c:pt>
                <c:pt idx="196">
                  <c:v>197</c:v>
                </c:pt>
                <c:pt idx="197">
                  <c:v>198</c:v>
                </c:pt>
                <c:pt idx="198">
                  <c:v>199</c:v>
                </c:pt>
                <c:pt idx="199">
                  <c:v>200</c:v>
                </c:pt>
                <c:pt idx="200">
                  <c:v>201</c:v>
                </c:pt>
                <c:pt idx="201">
                  <c:v>202</c:v>
                </c:pt>
                <c:pt idx="202">
                  <c:v>203</c:v>
                </c:pt>
                <c:pt idx="203">
                  <c:v>204</c:v>
                </c:pt>
                <c:pt idx="204">
                  <c:v>205</c:v>
                </c:pt>
                <c:pt idx="205">
                  <c:v>206</c:v>
                </c:pt>
                <c:pt idx="206">
                  <c:v>207</c:v>
                </c:pt>
                <c:pt idx="207">
                  <c:v>208</c:v>
                </c:pt>
                <c:pt idx="208">
                  <c:v>209</c:v>
                </c:pt>
                <c:pt idx="209">
                  <c:v>210</c:v>
                </c:pt>
                <c:pt idx="210">
                  <c:v>211</c:v>
                </c:pt>
                <c:pt idx="211">
                  <c:v>212</c:v>
                </c:pt>
                <c:pt idx="212">
                  <c:v>213</c:v>
                </c:pt>
                <c:pt idx="213">
                  <c:v>214</c:v>
                </c:pt>
                <c:pt idx="214">
                  <c:v>215</c:v>
                </c:pt>
                <c:pt idx="215">
                  <c:v>216</c:v>
                </c:pt>
                <c:pt idx="216">
                  <c:v>217</c:v>
                </c:pt>
                <c:pt idx="217">
                  <c:v>218</c:v>
                </c:pt>
                <c:pt idx="218">
                  <c:v>219</c:v>
                </c:pt>
                <c:pt idx="219">
                  <c:v>220</c:v>
                </c:pt>
                <c:pt idx="220">
                  <c:v>221</c:v>
                </c:pt>
                <c:pt idx="221">
                  <c:v>222</c:v>
                </c:pt>
                <c:pt idx="222">
                  <c:v>223</c:v>
                </c:pt>
                <c:pt idx="223">
                  <c:v>224</c:v>
                </c:pt>
                <c:pt idx="224">
                  <c:v>225</c:v>
                </c:pt>
                <c:pt idx="225">
                  <c:v>226</c:v>
                </c:pt>
                <c:pt idx="226">
                  <c:v>227</c:v>
                </c:pt>
                <c:pt idx="227">
                  <c:v>228</c:v>
                </c:pt>
                <c:pt idx="228">
                  <c:v>229</c:v>
                </c:pt>
                <c:pt idx="229">
                  <c:v>230</c:v>
                </c:pt>
                <c:pt idx="230">
                  <c:v>231</c:v>
                </c:pt>
                <c:pt idx="231">
                  <c:v>232</c:v>
                </c:pt>
                <c:pt idx="232">
                  <c:v>233</c:v>
                </c:pt>
                <c:pt idx="233">
                  <c:v>234</c:v>
                </c:pt>
                <c:pt idx="234">
                  <c:v>235</c:v>
                </c:pt>
                <c:pt idx="235">
                  <c:v>236</c:v>
                </c:pt>
                <c:pt idx="236">
                  <c:v>237</c:v>
                </c:pt>
                <c:pt idx="237">
                  <c:v>238</c:v>
                </c:pt>
                <c:pt idx="238">
                  <c:v>239</c:v>
                </c:pt>
                <c:pt idx="239">
                  <c:v>240</c:v>
                </c:pt>
                <c:pt idx="240">
                  <c:v>241</c:v>
                </c:pt>
                <c:pt idx="241">
                  <c:v>242</c:v>
                </c:pt>
                <c:pt idx="242">
                  <c:v>243</c:v>
                </c:pt>
                <c:pt idx="243">
                  <c:v>244</c:v>
                </c:pt>
                <c:pt idx="244">
                  <c:v>245</c:v>
                </c:pt>
                <c:pt idx="245">
                  <c:v>246</c:v>
                </c:pt>
                <c:pt idx="246">
                  <c:v>247</c:v>
                </c:pt>
                <c:pt idx="247">
                  <c:v>248</c:v>
                </c:pt>
                <c:pt idx="248">
                  <c:v>249</c:v>
                </c:pt>
                <c:pt idx="249">
                  <c:v>250</c:v>
                </c:pt>
                <c:pt idx="250">
                  <c:v>251</c:v>
                </c:pt>
                <c:pt idx="251">
                  <c:v>252</c:v>
                </c:pt>
                <c:pt idx="252">
                  <c:v>253</c:v>
                </c:pt>
                <c:pt idx="253">
                  <c:v>254</c:v>
                </c:pt>
                <c:pt idx="254">
                  <c:v>255</c:v>
                </c:pt>
                <c:pt idx="255">
                  <c:v>256</c:v>
                </c:pt>
                <c:pt idx="256">
                  <c:v>257</c:v>
                </c:pt>
                <c:pt idx="257">
                  <c:v>258</c:v>
                </c:pt>
                <c:pt idx="258">
                  <c:v>259</c:v>
                </c:pt>
                <c:pt idx="259">
                  <c:v>260</c:v>
                </c:pt>
                <c:pt idx="260">
                  <c:v>261</c:v>
                </c:pt>
                <c:pt idx="261">
                  <c:v>262</c:v>
                </c:pt>
                <c:pt idx="262">
                  <c:v>263</c:v>
                </c:pt>
                <c:pt idx="263">
                  <c:v>264</c:v>
                </c:pt>
                <c:pt idx="264">
                  <c:v>265</c:v>
                </c:pt>
                <c:pt idx="265">
                  <c:v>266</c:v>
                </c:pt>
                <c:pt idx="266">
                  <c:v>267</c:v>
                </c:pt>
                <c:pt idx="267">
                  <c:v>268</c:v>
                </c:pt>
                <c:pt idx="268">
                  <c:v>269</c:v>
                </c:pt>
                <c:pt idx="269">
                  <c:v>270</c:v>
                </c:pt>
                <c:pt idx="270">
                  <c:v>271</c:v>
                </c:pt>
                <c:pt idx="271">
                  <c:v>272</c:v>
                </c:pt>
                <c:pt idx="272">
                  <c:v>273</c:v>
                </c:pt>
                <c:pt idx="273">
                  <c:v>274</c:v>
                </c:pt>
                <c:pt idx="274">
                  <c:v>275</c:v>
                </c:pt>
                <c:pt idx="275">
                  <c:v>276</c:v>
                </c:pt>
                <c:pt idx="276">
                  <c:v>277</c:v>
                </c:pt>
                <c:pt idx="277">
                  <c:v>278</c:v>
                </c:pt>
                <c:pt idx="278">
                  <c:v>279</c:v>
                </c:pt>
                <c:pt idx="279">
                  <c:v>280</c:v>
                </c:pt>
                <c:pt idx="280">
                  <c:v>281</c:v>
                </c:pt>
                <c:pt idx="281">
                  <c:v>282</c:v>
                </c:pt>
                <c:pt idx="282">
                  <c:v>283</c:v>
                </c:pt>
                <c:pt idx="283">
                  <c:v>284</c:v>
                </c:pt>
                <c:pt idx="284">
                  <c:v>285</c:v>
                </c:pt>
                <c:pt idx="285">
                  <c:v>286</c:v>
                </c:pt>
                <c:pt idx="286">
                  <c:v>287</c:v>
                </c:pt>
                <c:pt idx="287">
                  <c:v>288</c:v>
                </c:pt>
                <c:pt idx="288">
                  <c:v>289</c:v>
                </c:pt>
                <c:pt idx="289">
                  <c:v>290</c:v>
                </c:pt>
                <c:pt idx="290">
                  <c:v>291</c:v>
                </c:pt>
                <c:pt idx="291">
                  <c:v>292</c:v>
                </c:pt>
                <c:pt idx="292">
                  <c:v>293</c:v>
                </c:pt>
                <c:pt idx="293">
                  <c:v>294</c:v>
                </c:pt>
                <c:pt idx="294">
                  <c:v>295</c:v>
                </c:pt>
                <c:pt idx="295">
                  <c:v>296</c:v>
                </c:pt>
                <c:pt idx="296">
                  <c:v>297</c:v>
                </c:pt>
                <c:pt idx="297">
                  <c:v>298</c:v>
                </c:pt>
                <c:pt idx="298">
                  <c:v>299</c:v>
                </c:pt>
                <c:pt idx="299">
                  <c:v>300</c:v>
                </c:pt>
                <c:pt idx="300">
                  <c:v>301</c:v>
                </c:pt>
                <c:pt idx="301">
                  <c:v>302</c:v>
                </c:pt>
                <c:pt idx="302">
                  <c:v>303</c:v>
                </c:pt>
                <c:pt idx="303">
                  <c:v>304</c:v>
                </c:pt>
                <c:pt idx="304">
                  <c:v>305</c:v>
                </c:pt>
                <c:pt idx="305">
                  <c:v>306</c:v>
                </c:pt>
                <c:pt idx="306">
                  <c:v>307</c:v>
                </c:pt>
                <c:pt idx="307">
                  <c:v>308</c:v>
                </c:pt>
                <c:pt idx="308">
                  <c:v>309</c:v>
                </c:pt>
                <c:pt idx="309">
                  <c:v>310</c:v>
                </c:pt>
                <c:pt idx="310">
                  <c:v>311</c:v>
                </c:pt>
                <c:pt idx="311">
                  <c:v>312</c:v>
                </c:pt>
                <c:pt idx="312">
                  <c:v>313</c:v>
                </c:pt>
                <c:pt idx="313">
                  <c:v>314</c:v>
                </c:pt>
                <c:pt idx="314">
                  <c:v>315</c:v>
                </c:pt>
                <c:pt idx="315">
                  <c:v>316</c:v>
                </c:pt>
                <c:pt idx="316">
                  <c:v>317</c:v>
                </c:pt>
                <c:pt idx="317">
                  <c:v>318</c:v>
                </c:pt>
                <c:pt idx="318">
                  <c:v>319</c:v>
                </c:pt>
                <c:pt idx="319">
                  <c:v>320</c:v>
                </c:pt>
                <c:pt idx="320">
                  <c:v>321</c:v>
                </c:pt>
                <c:pt idx="321">
                  <c:v>322</c:v>
                </c:pt>
                <c:pt idx="322">
                  <c:v>323</c:v>
                </c:pt>
                <c:pt idx="323">
                  <c:v>324</c:v>
                </c:pt>
                <c:pt idx="324">
                  <c:v>325</c:v>
                </c:pt>
                <c:pt idx="325">
                  <c:v>326</c:v>
                </c:pt>
                <c:pt idx="326">
                  <c:v>327</c:v>
                </c:pt>
                <c:pt idx="327">
                  <c:v>328</c:v>
                </c:pt>
                <c:pt idx="328">
                  <c:v>329</c:v>
                </c:pt>
                <c:pt idx="329">
                  <c:v>330</c:v>
                </c:pt>
                <c:pt idx="330">
                  <c:v>331</c:v>
                </c:pt>
                <c:pt idx="331">
                  <c:v>332</c:v>
                </c:pt>
                <c:pt idx="332">
                  <c:v>333</c:v>
                </c:pt>
                <c:pt idx="333">
                  <c:v>334</c:v>
                </c:pt>
                <c:pt idx="334">
                  <c:v>335</c:v>
                </c:pt>
                <c:pt idx="335">
                  <c:v>336</c:v>
                </c:pt>
                <c:pt idx="336">
                  <c:v>337</c:v>
                </c:pt>
                <c:pt idx="337">
                  <c:v>338</c:v>
                </c:pt>
                <c:pt idx="338">
                  <c:v>339</c:v>
                </c:pt>
                <c:pt idx="339">
                  <c:v>340</c:v>
                </c:pt>
                <c:pt idx="340">
                  <c:v>341</c:v>
                </c:pt>
                <c:pt idx="341">
                  <c:v>342</c:v>
                </c:pt>
                <c:pt idx="342">
                  <c:v>343</c:v>
                </c:pt>
                <c:pt idx="343">
                  <c:v>344</c:v>
                </c:pt>
                <c:pt idx="344">
                  <c:v>345</c:v>
                </c:pt>
                <c:pt idx="345">
                  <c:v>346</c:v>
                </c:pt>
                <c:pt idx="346">
                  <c:v>347</c:v>
                </c:pt>
                <c:pt idx="347">
                  <c:v>348</c:v>
                </c:pt>
                <c:pt idx="348">
                  <c:v>349</c:v>
                </c:pt>
                <c:pt idx="349">
                  <c:v>350</c:v>
                </c:pt>
                <c:pt idx="350">
                  <c:v>351</c:v>
                </c:pt>
                <c:pt idx="351">
                  <c:v>352</c:v>
                </c:pt>
                <c:pt idx="352">
                  <c:v>353</c:v>
                </c:pt>
                <c:pt idx="353">
                  <c:v>354</c:v>
                </c:pt>
                <c:pt idx="354">
                  <c:v>355</c:v>
                </c:pt>
                <c:pt idx="355">
                  <c:v>356</c:v>
                </c:pt>
                <c:pt idx="356">
                  <c:v>357</c:v>
                </c:pt>
                <c:pt idx="357">
                  <c:v>358</c:v>
                </c:pt>
                <c:pt idx="358">
                  <c:v>359</c:v>
                </c:pt>
                <c:pt idx="359">
                  <c:v>360</c:v>
                </c:pt>
              </c:numCache>
            </c:numRef>
          </c:cat>
          <c:val>
            <c:numRef>
              <c:f>'Monthly Amort. Sch.'!$T$18:$T$377</c:f>
              <c:numCache>
                <c:formatCode>_("$"* #,##0.00_);_("$"* \(#,##0.00\);_("$"* "-"??_);_(@_)</c:formatCode>
                <c:ptCount val="360"/>
                <c:pt idx="0">
                  <c:v>0</c:v>
                </c:pt>
                <c:pt idx="1">
                  <c:v>0</c:v>
                </c:pt>
                <c:pt idx="2">
                  <c:v>0</c:v>
                </c:pt>
                <c:pt idx="3">
                  <c:v>0</c:v>
                </c:pt>
                <c:pt idx="4">
                  <c:v>0</c:v>
                </c:pt>
                <c:pt idx="5">
                  <c:v>0</c:v>
                </c:pt>
                <c:pt idx="6">
                  <c:v>0</c:v>
                </c:pt>
                <c:pt idx="7">
                  <c:v>0</c:v>
                </c:pt>
                <c:pt idx="8">
                  <c:v>0</c:v>
                </c:pt>
                <c:pt idx="9">
                  <c:v>3.3333333333333144</c:v>
                </c:pt>
                <c:pt idx="10">
                  <c:v>6.6888888888888118</c:v>
                </c:pt>
                <c:pt idx="11">
                  <c:v>10.066814814814677</c:v>
                </c:pt>
                <c:pt idx="12">
                  <c:v>13.467260246913384</c:v>
                </c:pt>
                <c:pt idx="13">
                  <c:v>16.890375315226152</c:v>
                </c:pt>
                <c:pt idx="14">
                  <c:v>20.336311150661004</c:v>
                </c:pt>
                <c:pt idx="15">
                  <c:v>23.805219891665388</c:v>
                </c:pt>
                <c:pt idx="16">
                  <c:v>27.297254690943078</c:v>
                </c:pt>
                <c:pt idx="17">
                  <c:v>30.81256972221604</c:v>
                </c:pt>
                <c:pt idx="18">
                  <c:v>34.351320187030751</c:v>
                </c:pt>
                <c:pt idx="19">
                  <c:v>41.246995654944158</c:v>
                </c:pt>
                <c:pt idx="20">
                  <c:v>48.188642292643635</c:v>
                </c:pt>
                <c:pt idx="21">
                  <c:v>55.176566574594517</c:v>
                </c:pt>
                <c:pt idx="22">
                  <c:v>62.211077018425158</c:v>
                </c:pt>
                <c:pt idx="23">
                  <c:v>69.292484198547982</c:v>
                </c:pt>
                <c:pt idx="24">
                  <c:v>76.421100759871479</c:v>
                </c:pt>
                <c:pt idx="25">
                  <c:v>83.597241431603834</c:v>
                </c:pt>
                <c:pt idx="26">
                  <c:v>90.821223041147732</c:v>
                </c:pt>
                <c:pt idx="27">
                  <c:v>98.093364528088614</c:v>
                </c:pt>
                <c:pt idx="28">
                  <c:v>105.4139869582757</c:v>
                </c:pt>
                <c:pt idx="29">
                  <c:v>116.11674687133086</c:v>
                </c:pt>
                <c:pt idx="30">
                  <c:v>126.89085851713958</c:v>
                </c:pt>
                <c:pt idx="31">
                  <c:v>137.73679757392028</c:v>
                </c:pt>
                <c:pt idx="32">
                  <c:v>148.65504289107957</c:v>
                </c:pt>
                <c:pt idx="33">
                  <c:v>159.6460765103534</c:v>
                </c:pt>
                <c:pt idx="34">
                  <c:v>170.71038368708901</c:v>
                </c:pt>
                <c:pt idx="35">
                  <c:v>181.84845291166948</c:v>
                </c:pt>
                <c:pt idx="36">
                  <c:v>193.06077593108057</c:v>
                </c:pt>
                <c:pt idx="37">
                  <c:v>204.347847770621</c:v>
                </c:pt>
                <c:pt idx="38">
                  <c:v>215.71016675575834</c:v>
                </c:pt>
                <c:pt idx="39">
                  <c:v>233.81490120079616</c:v>
                </c:pt>
                <c:pt idx="40">
                  <c:v>252.04033387546815</c:v>
                </c:pt>
                <c:pt idx="41">
                  <c:v>270.3872694346378</c:v>
                </c:pt>
                <c:pt idx="42">
                  <c:v>288.85651789753501</c:v>
                </c:pt>
                <c:pt idx="43">
                  <c:v>307.44889468351857</c:v>
                </c:pt>
                <c:pt idx="44">
                  <c:v>326.16522064807532</c:v>
                </c:pt>
                <c:pt idx="45">
                  <c:v>345.00632211906213</c:v>
                </c:pt>
                <c:pt idx="46">
                  <c:v>363.97303093318897</c:v>
                </c:pt>
                <c:pt idx="47">
                  <c:v>383.06618447274332</c:v>
                </c:pt>
                <c:pt idx="48">
                  <c:v>402.2866257025612</c:v>
                </c:pt>
                <c:pt idx="49">
                  <c:v>424.96853654057804</c:v>
                </c:pt>
                <c:pt idx="50">
                  <c:v>447.80166011751498</c:v>
                </c:pt>
                <c:pt idx="51">
                  <c:v>470.78700451829809</c:v>
                </c:pt>
                <c:pt idx="52">
                  <c:v>493.92558454841992</c:v>
                </c:pt>
                <c:pt idx="53">
                  <c:v>517.2184217787426</c:v>
                </c:pt>
                <c:pt idx="54">
                  <c:v>540.66654459060055</c:v>
                </c:pt>
                <c:pt idx="55">
                  <c:v>564.27098822120433</c:v>
                </c:pt>
                <c:pt idx="56">
                  <c:v>588.03279480934543</c:v>
                </c:pt>
                <c:pt idx="57">
                  <c:v>611.95301344140762</c:v>
                </c:pt>
                <c:pt idx="58">
                  <c:v>636.03270019768343</c:v>
                </c:pt>
                <c:pt idx="59">
                  <c:v>693.60625153233377</c:v>
                </c:pt>
                <c:pt idx="60">
                  <c:v>751.56362654254917</c:v>
                </c:pt>
                <c:pt idx="61">
                  <c:v>809.90738405283264</c:v>
                </c:pt>
                <c:pt idx="62">
                  <c:v>868.64009994651678</c:v>
                </c:pt>
                <c:pt idx="63">
                  <c:v>927.76436727949294</c:v>
                </c:pt>
                <c:pt idx="64">
                  <c:v>987.28279639468929</c:v>
                </c:pt>
                <c:pt idx="65">
                  <c:v>1047.1980150373201</c:v>
                </c:pt>
                <c:pt idx="66">
                  <c:v>1107.5126684709012</c:v>
                </c:pt>
                <c:pt idx="67">
                  <c:v>1168.2294195940394</c:v>
                </c:pt>
                <c:pt idx="68">
                  <c:v>1229.350949058</c:v>
                </c:pt>
                <c:pt idx="69">
                  <c:v>1294.2132887183852</c:v>
                </c:pt>
                <c:pt idx="70">
                  <c:v>1359.5080439765079</c:v>
                </c:pt>
                <c:pt idx="71">
                  <c:v>1425.2380976030181</c:v>
                </c:pt>
                <c:pt idx="72">
                  <c:v>1491.4063515870384</c:v>
                </c:pt>
                <c:pt idx="73">
                  <c:v>1558.0157272642846</c:v>
                </c:pt>
                <c:pt idx="74">
                  <c:v>1625.0691654460461</c:v>
                </c:pt>
                <c:pt idx="75">
                  <c:v>1692.5696265490187</c:v>
                </c:pt>
                <c:pt idx="76">
                  <c:v>1760.5200907260114</c:v>
                </c:pt>
                <c:pt idx="77">
                  <c:v>1828.9235579975175</c:v>
                </c:pt>
                <c:pt idx="78">
                  <c:v>1897.7830483841662</c:v>
                </c:pt>
                <c:pt idx="79">
                  <c:v>1970.4349353733942</c:v>
                </c:pt>
                <c:pt idx="80">
                  <c:v>2043.5711682758829</c:v>
                </c:pt>
                <c:pt idx="81">
                  <c:v>2117.1949760643874</c:v>
                </c:pt>
                <c:pt idx="82">
                  <c:v>2191.3096092381493</c:v>
                </c:pt>
                <c:pt idx="83">
                  <c:v>2265.9183399664034</c:v>
                </c:pt>
                <c:pt idx="84">
                  <c:v>2341.0244622328446</c:v>
                </c:pt>
                <c:pt idx="85">
                  <c:v>2416.6312919810625</c:v>
                </c:pt>
                <c:pt idx="86">
                  <c:v>2492.7421672609362</c:v>
                </c:pt>
                <c:pt idx="87">
                  <c:v>2569.3604483760082</c:v>
                </c:pt>
                <c:pt idx="88">
                  <c:v>2646.4895180318472</c:v>
                </c:pt>
                <c:pt idx="89">
                  <c:v>2750.7994481520582</c:v>
                </c:pt>
                <c:pt idx="90">
                  <c:v>2855.8047778064047</c:v>
                </c:pt>
                <c:pt idx="91">
                  <c:v>2961.5101429917795</c:v>
                </c:pt>
                <c:pt idx="92">
                  <c:v>3067.9202106117227</c:v>
                </c:pt>
                <c:pt idx="93">
                  <c:v>3175.0396786824658</c:v>
                </c:pt>
                <c:pt idx="94">
                  <c:v>3282.8732765403474</c:v>
                </c:pt>
                <c:pt idx="95">
                  <c:v>3391.4257650506152</c:v>
                </c:pt>
                <c:pt idx="96">
                  <c:v>3500.7019368176188</c:v>
                </c:pt>
                <c:pt idx="97">
                  <c:v>3610.7066163964009</c:v>
                </c:pt>
                <c:pt idx="98">
                  <c:v>3721.4446605057092</c:v>
                </c:pt>
                <c:pt idx="99">
                  <c:v>3852.9209582424119</c:v>
                </c:pt>
                <c:pt idx="100">
                  <c:v>3985.2737646306923</c:v>
                </c:pt>
                <c:pt idx="101">
                  <c:v>4118.5089230615631</c:v>
                </c:pt>
                <c:pt idx="102">
                  <c:v>4252.6323158819723</c:v>
                </c:pt>
                <c:pt idx="103">
                  <c:v>4387.6498646545188</c:v>
                </c:pt>
                <c:pt idx="104">
                  <c:v>4523.5675304188808</c:v>
                </c:pt>
                <c:pt idx="105">
                  <c:v>4660.3913139550059</c:v>
                </c:pt>
                <c:pt idx="106">
                  <c:v>4798.1272560480393</c:v>
                </c:pt>
                <c:pt idx="107">
                  <c:v>4936.7814377550239</c:v>
                </c:pt>
                <c:pt idx="108">
                  <c:v>5076.359980673391</c:v>
                </c:pt>
                <c:pt idx="109">
                  <c:v>5220.202380544546</c:v>
                </c:pt>
                <c:pt idx="110">
                  <c:v>5365.0037297481758</c:v>
                </c:pt>
                <c:pt idx="111">
                  <c:v>5510.7704212798271</c:v>
                </c:pt>
                <c:pt idx="112">
                  <c:v>5657.5088907550235</c:v>
                </c:pt>
                <c:pt idx="113">
                  <c:v>5805.2256166933876</c:v>
                </c:pt>
                <c:pt idx="114">
                  <c:v>5953.9271208046739</c:v>
                </c:pt>
                <c:pt idx="115">
                  <c:v>6103.6199682767037</c:v>
                </c:pt>
                <c:pt idx="116">
                  <c:v>6254.3107680652138</c:v>
                </c:pt>
                <c:pt idx="117">
                  <c:v>6406.0061731856476</c:v>
                </c:pt>
                <c:pt idx="118">
                  <c:v>6558.7128810068825</c:v>
                </c:pt>
                <c:pt idx="119">
                  <c:v>6739.1043002135921</c:v>
                </c:pt>
                <c:pt idx="120">
                  <c:v>6920.6983288816809</c:v>
                </c:pt>
                <c:pt idx="121">
                  <c:v>7103.502984407558</c:v>
                </c:pt>
                <c:pt idx="122">
                  <c:v>7287.5263376369403</c:v>
                </c:pt>
                <c:pt idx="123">
                  <c:v>7472.7765132211862</c:v>
                </c:pt>
                <c:pt idx="124">
                  <c:v>7659.2616899759923</c:v>
                </c:pt>
                <c:pt idx="125">
                  <c:v>7846.9901012424962</c:v>
                </c:pt>
                <c:pt idx="126">
                  <c:v>8035.9700352507789</c:v>
                </c:pt>
                <c:pt idx="127">
                  <c:v>8226.2098354857808</c:v>
                </c:pt>
                <c:pt idx="128">
                  <c:v>8417.7179010556829</c:v>
                </c:pt>
                <c:pt idx="129">
                  <c:v>8613.836020396051</c:v>
                </c:pt>
                <c:pt idx="130">
                  <c:v>8811.2615938653544</c:v>
                </c:pt>
                <c:pt idx="131">
                  <c:v>9010.0033378244552</c:v>
                </c:pt>
                <c:pt idx="132">
                  <c:v>9210.070026743284</c:v>
                </c:pt>
                <c:pt idx="133">
                  <c:v>9411.4704935882364</c:v>
                </c:pt>
                <c:pt idx="134">
                  <c:v>9614.2136302121544</c:v>
                </c:pt>
                <c:pt idx="135">
                  <c:v>9818.3083877468998</c:v>
                </c:pt>
                <c:pt idx="136">
                  <c:v>10023.763776998545</c:v>
                </c:pt>
                <c:pt idx="137">
                  <c:v>10230.5888688452</c:v>
                </c:pt>
                <c:pt idx="138">
                  <c:v>10438.792794637498</c:v>
                </c:pt>
                <c:pt idx="139">
                  <c:v>10698.384746601747</c:v>
                </c:pt>
                <c:pt idx="140">
                  <c:v>10959.707311579092</c:v>
                </c:pt>
                <c:pt idx="141">
                  <c:v>11222.772026989616</c:v>
                </c:pt>
                <c:pt idx="142">
                  <c:v>11487.590507169545</c:v>
                </c:pt>
                <c:pt idx="143">
                  <c:v>11754.174443884003</c:v>
                </c:pt>
                <c:pt idx="144">
                  <c:v>12022.53560684323</c:v>
                </c:pt>
                <c:pt idx="145">
                  <c:v>12292.685844222186</c:v>
                </c:pt>
                <c:pt idx="146">
                  <c:v>12564.637083183661</c:v>
                </c:pt>
                <c:pt idx="147">
                  <c:v>12838.401330404886</c:v>
                </c:pt>
                <c:pt idx="148">
                  <c:v>13113.990672607579</c:v>
                </c:pt>
                <c:pt idx="149">
                  <c:v>13399.417277091627</c:v>
                </c:pt>
                <c:pt idx="150">
                  <c:v>13686.746725605568</c:v>
                </c:pt>
                <c:pt idx="151">
                  <c:v>13975.991703776272</c:v>
                </c:pt>
                <c:pt idx="152">
                  <c:v>14267.164981801441</c:v>
                </c:pt>
                <c:pt idx="153">
                  <c:v>14560.27941501345</c:v>
                </c:pt>
                <c:pt idx="154">
                  <c:v>14855.347944446868</c:v>
                </c:pt>
                <c:pt idx="155">
                  <c:v>15152.383597409847</c:v>
                </c:pt>
                <c:pt idx="156">
                  <c:v>15451.399488059244</c:v>
                </c:pt>
                <c:pt idx="157">
                  <c:v>15752.408817979638</c:v>
                </c:pt>
                <c:pt idx="158">
                  <c:v>16055.424876766163</c:v>
                </c:pt>
                <c:pt idx="159">
                  <c:v>16360.794375944599</c:v>
                </c:pt>
                <c:pt idx="160">
                  <c:v>16668.199671784227</c:v>
                </c:pt>
                <c:pt idx="161">
                  <c:v>16977.654336262785</c:v>
                </c:pt>
                <c:pt idx="162">
                  <c:v>17289.172031837865</c:v>
                </c:pt>
                <c:pt idx="163">
                  <c:v>17602.766512050111</c:v>
                </c:pt>
                <c:pt idx="164">
                  <c:v>17918.451622130444</c:v>
                </c:pt>
                <c:pt idx="165">
                  <c:v>18236.241299611313</c:v>
                </c:pt>
                <c:pt idx="166">
                  <c:v>18556.14957494205</c:v>
                </c:pt>
                <c:pt idx="167">
                  <c:v>18878.190572108324</c:v>
                </c:pt>
                <c:pt idx="168">
                  <c:v>19202.378509255708</c:v>
                </c:pt>
                <c:pt idx="169">
                  <c:v>19530.394365984073</c:v>
                </c:pt>
                <c:pt idx="170">
                  <c:v>19860.596995090629</c:v>
                </c:pt>
                <c:pt idx="171">
                  <c:v>20193.000975057897</c:v>
                </c:pt>
                <c:pt idx="172">
                  <c:v>20527.620981558277</c:v>
                </c:pt>
                <c:pt idx="173">
                  <c:v>20864.471788101997</c:v>
                </c:pt>
                <c:pt idx="174">
                  <c:v>21203.568266689341</c:v>
                </c:pt>
                <c:pt idx="175">
                  <c:v>21544.925388467265</c:v>
                </c:pt>
                <c:pt idx="176">
                  <c:v>21888.558224390377</c:v>
                </c:pt>
                <c:pt idx="177">
                  <c:v>22234.481945886313</c:v>
                </c:pt>
                <c:pt idx="178">
                  <c:v>22582.711825525548</c:v>
                </c:pt>
                <c:pt idx="179">
                  <c:v>22936.596571029047</c:v>
                </c:pt>
                <c:pt idx="180">
                  <c:v>23292.840548169239</c:v>
                </c:pt>
                <c:pt idx="181">
                  <c:v>23651.459485157029</c:v>
                </c:pt>
                <c:pt idx="182">
                  <c:v>24012.469215058074</c:v>
                </c:pt>
                <c:pt idx="183">
                  <c:v>24375.885676491787</c:v>
                </c:pt>
                <c:pt idx="184">
                  <c:v>24741.724914335064</c:v>
                </c:pt>
                <c:pt idx="185">
                  <c:v>25110.00308043063</c:v>
                </c:pt>
                <c:pt idx="186">
                  <c:v>25480.736434300161</c:v>
                </c:pt>
                <c:pt idx="187">
                  <c:v>25853.941343862156</c:v>
                </c:pt>
                <c:pt idx="188">
                  <c:v>26229.634286154564</c:v>
                </c:pt>
                <c:pt idx="189">
                  <c:v>26611.16518139559</c:v>
                </c:pt>
                <c:pt idx="190">
                  <c:v>26995.239615938226</c:v>
                </c:pt>
                <c:pt idx="191">
                  <c:v>27381.874546711144</c:v>
                </c:pt>
                <c:pt idx="192">
                  <c:v>27771.087043689215</c:v>
                </c:pt>
                <c:pt idx="193">
                  <c:v>28162.894290647142</c:v>
                </c:pt>
                <c:pt idx="194">
                  <c:v>28557.31358591812</c:v>
                </c:pt>
                <c:pt idx="195">
                  <c:v>28954.362343157569</c:v>
                </c:pt>
                <c:pt idx="196">
                  <c:v>29354.058092111947</c:v>
                </c:pt>
                <c:pt idx="197">
                  <c:v>29756.418479392691</c:v>
                </c:pt>
                <c:pt idx="198">
                  <c:v>30161.461269255306</c:v>
                </c:pt>
                <c:pt idx="199">
                  <c:v>30572.537677717002</c:v>
                </c:pt>
                <c:pt idx="200">
                  <c:v>30986.354595568446</c:v>
                </c:pt>
                <c:pt idx="201">
                  <c:v>31402.930292872232</c:v>
                </c:pt>
                <c:pt idx="202">
                  <c:v>31822.283161491374</c:v>
                </c:pt>
                <c:pt idx="203">
                  <c:v>32244.431715901315</c:v>
                </c:pt>
                <c:pt idx="204">
                  <c:v>32669.394594007317</c:v>
                </c:pt>
                <c:pt idx="205">
                  <c:v>33097.190557967362</c:v>
                </c:pt>
                <c:pt idx="206">
                  <c:v>33527.838495020471</c:v>
                </c:pt>
                <c:pt idx="207">
                  <c:v>33961.3574183206</c:v>
                </c:pt>
                <c:pt idx="208">
                  <c:v>34397.766467776062</c:v>
                </c:pt>
                <c:pt idx="209">
                  <c:v>34842.084910894569</c:v>
                </c:pt>
                <c:pt idx="210">
                  <c:v>35289.365476967199</c:v>
                </c:pt>
                <c:pt idx="211">
                  <c:v>35739.627913480304</c:v>
                </c:pt>
                <c:pt idx="212">
                  <c:v>36192.892099570163</c:v>
                </c:pt>
                <c:pt idx="213">
                  <c:v>36649.178046900619</c:v>
                </c:pt>
                <c:pt idx="214">
                  <c:v>37108.505900546617</c:v>
                </c:pt>
                <c:pt idx="215">
                  <c:v>37570.895939883587</c:v>
                </c:pt>
                <c:pt idx="216">
                  <c:v>38036.368579482805</c:v>
                </c:pt>
                <c:pt idx="217">
                  <c:v>38504.944370012687</c:v>
                </c:pt>
                <c:pt idx="218">
                  <c:v>38976.643999146094</c:v>
                </c:pt>
                <c:pt idx="219">
                  <c:v>39454.821625807061</c:v>
                </c:pt>
                <c:pt idx="220">
                  <c:v>39936.187103312433</c:v>
                </c:pt>
                <c:pt idx="221">
                  <c:v>40420.761684001176</c:v>
                </c:pt>
                <c:pt idx="222">
                  <c:v>40908.566761894515</c:v>
                </c:pt>
                <c:pt idx="223">
                  <c:v>41399.623873640478</c:v>
                </c:pt>
                <c:pt idx="224">
                  <c:v>41893.954699464739</c:v>
                </c:pt>
                <c:pt idx="225">
                  <c:v>42391.581064127837</c:v>
                </c:pt>
                <c:pt idx="226">
                  <c:v>42892.52493788868</c:v>
                </c:pt>
                <c:pt idx="227">
                  <c:v>43396.808437474596</c:v>
                </c:pt>
                <c:pt idx="228">
                  <c:v>43904.453827057761</c:v>
                </c:pt>
                <c:pt idx="229">
                  <c:v>44418.816852571472</c:v>
                </c:pt>
                <c:pt idx="230">
                  <c:v>44936.60896492195</c:v>
                </c:pt>
                <c:pt idx="231">
                  <c:v>45457.853024688098</c:v>
                </c:pt>
                <c:pt idx="232">
                  <c:v>45982.572044852684</c:v>
                </c:pt>
                <c:pt idx="233">
                  <c:v>46510.78919181836</c:v>
                </c:pt>
                <c:pt idx="234">
                  <c:v>47042.527786430481</c:v>
                </c:pt>
                <c:pt idx="235">
                  <c:v>47577.811305006675</c:v>
                </c:pt>
                <c:pt idx="236">
                  <c:v>48116.663380373386</c:v>
                </c:pt>
                <c:pt idx="237">
                  <c:v>48659.107802909202</c:v>
                </c:pt>
                <c:pt idx="238">
                  <c:v>49205.16852159526</c:v>
                </c:pt>
                <c:pt idx="239">
                  <c:v>49758.202978405883</c:v>
                </c:pt>
                <c:pt idx="240">
                  <c:v>50314.924331595248</c:v>
                </c:pt>
                <c:pt idx="241">
                  <c:v>50875.357160472544</c:v>
                </c:pt>
                <c:pt idx="242">
                  <c:v>51439.526208209019</c:v>
                </c:pt>
                <c:pt idx="243">
                  <c:v>52007.45638293041</c:v>
                </c:pt>
                <c:pt idx="244">
                  <c:v>52579.17275881661</c:v>
                </c:pt>
                <c:pt idx="245">
                  <c:v>53154.700577208714</c:v>
                </c:pt>
                <c:pt idx="246">
                  <c:v>53734.06524772344</c:v>
                </c:pt>
                <c:pt idx="247">
                  <c:v>54317.292349374926</c:v>
                </c:pt>
                <c:pt idx="248">
                  <c:v>54904.407631704089</c:v>
                </c:pt>
                <c:pt idx="249">
                  <c:v>55498.770349248778</c:v>
                </c:pt>
                <c:pt idx="250">
                  <c:v>56097.095484910431</c:v>
                </c:pt>
                <c:pt idx="251">
                  <c:v>56699.409454809822</c:v>
                </c:pt>
                <c:pt idx="252">
                  <c:v>57305.738851175221</c:v>
                </c:pt>
                <c:pt idx="253">
                  <c:v>57916.110443516387</c:v>
                </c:pt>
                <c:pt idx="254">
                  <c:v>58530.551179806484</c:v>
                </c:pt>
                <c:pt idx="255">
                  <c:v>59149.088187671849</c:v>
                </c:pt>
                <c:pt idx="256">
                  <c:v>59771.748775589658</c:v>
                </c:pt>
                <c:pt idx="257">
                  <c:v>60398.560434093582</c:v>
                </c:pt>
                <c:pt idx="258">
                  <c:v>61029.550836987532</c:v>
                </c:pt>
                <c:pt idx="259">
                  <c:v>61668.081175900777</c:v>
                </c:pt>
                <c:pt idx="260">
                  <c:v>62310.868383740104</c:v>
                </c:pt>
                <c:pt idx="261">
                  <c:v>62957.940839631701</c:v>
                </c:pt>
                <c:pt idx="262">
                  <c:v>63609.327111895909</c:v>
                </c:pt>
                <c:pt idx="263">
                  <c:v>64265.055959308549</c:v>
                </c:pt>
                <c:pt idx="264">
                  <c:v>64925.156332370592</c:v>
                </c:pt>
                <c:pt idx="265">
                  <c:v>65589.657374586386</c:v>
                </c:pt>
                <c:pt idx="266">
                  <c:v>66258.588423750291</c:v>
                </c:pt>
                <c:pt idx="267">
                  <c:v>66931.979013241958</c:v>
                </c:pt>
                <c:pt idx="268">
                  <c:v>67609.858873330231</c:v>
                </c:pt>
                <c:pt idx="269">
                  <c:v>68295.591265819094</c:v>
                </c:pt>
                <c:pt idx="270">
                  <c:v>68985.895207591209</c:v>
                </c:pt>
                <c:pt idx="271">
                  <c:v>69680.801175641813</c:v>
                </c:pt>
                <c:pt idx="272">
                  <c:v>70380.339850146091</c:v>
                </c:pt>
                <c:pt idx="273">
                  <c:v>71084.542115813718</c:v>
                </c:pt>
                <c:pt idx="274">
                  <c:v>71793.439063252474</c:v>
                </c:pt>
                <c:pt idx="275">
                  <c:v>72507.061990340822</c:v>
                </c:pt>
                <c:pt idx="276">
                  <c:v>73225.442403609748</c:v>
                </c:pt>
                <c:pt idx="277">
                  <c:v>73948.612019633802</c:v>
                </c:pt>
                <c:pt idx="278">
                  <c:v>74676.602766431359</c:v>
                </c:pt>
                <c:pt idx="279">
                  <c:v>75412.780118207564</c:v>
                </c:pt>
                <c:pt idx="280">
                  <c:v>76153.865318995609</c:v>
                </c:pt>
                <c:pt idx="281">
                  <c:v>76899.891087788899</c:v>
                </c:pt>
                <c:pt idx="282">
                  <c:v>77650.890361707483</c:v>
                </c:pt>
                <c:pt idx="283">
                  <c:v>78406.896297452186</c:v>
                </c:pt>
                <c:pt idx="284">
                  <c:v>79167.942272768531</c:v>
                </c:pt>
                <c:pt idx="285">
                  <c:v>79934.06188792031</c:v>
                </c:pt>
                <c:pt idx="286">
                  <c:v>80705.28896717311</c:v>
                </c:pt>
                <c:pt idx="287">
                  <c:v>81481.657560287596</c:v>
                </c:pt>
                <c:pt idx="288">
                  <c:v>82263.201944022832</c:v>
                </c:pt>
                <c:pt idx="289">
                  <c:v>83049.956623649647</c:v>
                </c:pt>
                <c:pt idx="290">
                  <c:v>83841.956334473973</c:v>
                </c:pt>
                <c:pt idx="291">
                  <c:v>84639.23604337046</c:v>
                </c:pt>
                <c:pt idx="292">
                  <c:v>85441.830950326257</c:v>
                </c:pt>
                <c:pt idx="293">
                  <c:v>86249.776489995085</c:v>
                </c:pt>
                <c:pt idx="294">
                  <c:v>87076.441666595041</c:v>
                </c:pt>
                <c:pt idx="295">
                  <c:v>87908.617944372338</c:v>
                </c:pt>
                <c:pt idx="296">
                  <c:v>88746.342064001481</c:v>
                </c:pt>
                <c:pt idx="297">
                  <c:v>89589.651011094815</c:v>
                </c:pt>
                <c:pt idx="298">
                  <c:v>90438.582017835433</c:v>
                </c:pt>
                <c:pt idx="299">
                  <c:v>91303.172564620996</c:v>
                </c:pt>
                <c:pt idx="300">
                  <c:v>92173.52704838512</c:v>
                </c:pt>
                <c:pt idx="301">
                  <c:v>93049.683895374357</c:v>
                </c:pt>
                <c:pt idx="302">
                  <c:v>93931.681788010173</c:v>
                </c:pt>
                <c:pt idx="303">
                  <c:v>94819.559666596906</c:v>
                </c:pt>
                <c:pt idx="304">
                  <c:v>95713.356731040869</c:v>
                </c:pt>
                <c:pt idx="305">
                  <c:v>96613.112442581129</c:v>
                </c:pt>
                <c:pt idx="306">
                  <c:v>97518.866525531659</c:v>
                </c:pt>
                <c:pt idx="307">
                  <c:v>98430.658969035198</c:v>
                </c:pt>
                <c:pt idx="308">
                  <c:v>99348.530028828769</c:v>
                </c:pt>
                <c:pt idx="309">
                  <c:v>100272.52022902094</c:v>
                </c:pt>
                <c:pt idx="310">
                  <c:v>101202.67036388107</c:v>
                </c:pt>
                <c:pt idx="311">
                  <c:v>102139.02149964028</c:v>
                </c:pt>
                <c:pt idx="312">
                  <c:v>103081.61497630453</c:v>
                </c:pt>
                <c:pt idx="313">
                  <c:v>104030.49240947989</c:v>
                </c:pt>
                <c:pt idx="314">
                  <c:v>104985.69569220976</c:v>
                </c:pt>
                <c:pt idx="315">
                  <c:v>105947.26699682447</c:v>
                </c:pt>
                <c:pt idx="316">
                  <c:v>106915.24877680329</c:v>
                </c:pt>
                <c:pt idx="317">
                  <c:v>107889.68376864863</c:v>
                </c:pt>
                <c:pt idx="318">
                  <c:v>108870.61499377294</c:v>
                </c:pt>
                <c:pt idx="319">
                  <c:v>109858.08576039807</c:v>
                </c:pt>
                <c:pt idx="320">
                  <c:v>110852.13966546737</c:v>
                </c:pt>
                <c:pt idx="321">
                  <c:v>111852.82059657047</c:v>
                </c:pt>
                <c:pt idx="322">
                  <c:v>112860.17273388093</c:v>
                </c:pt>
                <c:pt idx="323">
                  <c:v>113874.24055210678</c:v>
                </c:pt>
                <c:pt idx="324">
                  <c:v>114895.06882245417</c:v>
                </c:pt>
                <c:pt idx="325">
                  <c:v>115922.70261460386</c:v>
                </c:pt>
                <c:pt idx="326">
                  <c:v>116957.1872987012</c:v>
                </c:pt>
                <c:pt idx="327">
                  <c:v>117998.5685473592</c:v>
                </c:pt>
                <c:pt idx="328">
                  <c:v>119046.89233767492</c:v>
                </c:pt>
                <c:pt idx="329">
                  <c:v>120102.20495325941</c:v>
                </c:pt>
                <c:pt idx="330">
                  <c:v>121164.55298628114</c:v>
                </c:pt>
                <c:pt idx="331">
                  <c:v>122233.98333952299</c:v>
                </c:pt>
                <c:pt idx="332">
                  <c:v>123310.54322845314</c:v>
                </c:pt>
                <c:pt idx="333">
                  <c:v>124394.28018330949</c:v>
                </c:pt>
                <c:pt idx="334">
                  <c:v>125485.24205119821</c:v>
                </c:pt>
                <c:pt idx="335">
                  <c:v>126583.47699820617</c:v>
                </c:pt>
                <c:pt idx="336">
                  <c:v>127689.03351152752</c:v>
                </c:pt>
                <c:pt idx="337">
                  <c:v>128801.96040160436</c:v>
                </c:pt>
                <c:pt idx="338">
                  <c:v>129922.30680428172</c:v>
                </c:pt>
                <c:pt idx="339">
                  <c:v>131050.12218297692</c:v>
                </c:pt>
                <c:pt idx="340">
                  <c:v>132185.45633086341</c:v>
                </c:pt>
                <c:pt idx="341">
                  <c:v>133328.35937306916</c:v>
                </c:pt>
                <c:pt idx="342">
                  <c:v>134478.88176888961</c:v>
                </c:pt>
                <c:pt idx="343">
                  <c:v>135637.07431401554</c:v>
                </c:pt>
                <c:pt idx="344">
                  <c:v>136802.98814277563</c:v>
                </c:pt>
                <c:pt idx="345">
                  <c:v>137976.67473039412</c:v>
                </c:pt>
                <c:pt idx="346">
                  <c:v>139158.18589526339</c:v>
                </c:pt>
                <c:pt idx="347">
                  <c:v>140347.5738012318</c:v>
                </c:pt>
                <c:pt idx="348">
                  <c:v>141544.89095990668</c:v>
                </c:pt>
                <c:pt idx="349">
                  <c:v>142750.1902329727</c:v>
                </c:pt>
                <c:pt idx="350">
                  <c:v>143963.52483452583</c:v>
                </c:pt>
                <c:pt idx="351">
                  <c:v>145184.94833342265</c:v>
                </c:pt>
                <c:pt idx="352">
                  <c:v>146414.51465564547</c:v>
                </c:pt>
                <c:pt idx="353">
                  <c:v>147652.2780866831</c:v>
                </c:pt>
                <c:pt idx="354">
                  <c:v>148898.29327392764</c:v>
                </c:pt>
                <c:pt idx="355">
                  <c:v>150152.61522908715</c:v>
                </c:pt>
                <c:pt idx="356">
                  <c:v>151415.29933061439</c:v>
                </c:pt>
                <c:pt idx="357">
                  <c:v>152686.4013261518</c:v>
                </c:pt>
                <c:pt idx="358">
                  <c:v>153965.97733499279</c:v>
                </c:pt>
                <c:pt idx="359">
                  <c:v>155254.0838505594</c:v>
                </c:pt>
              </c:numCache>
            </c:numRef>
          </c:val>
          <c:smooth val="0"/>
          <c:extLst>
            <c:ext xmlns:c16="http://schemas.microsoft.com/office/drawing/2014/chart" uri="{C3380CC4-5D6E-409C-BE32-E72D297353CC}">
              <c16:uniqueId val="{00000001-C1D5-4593-BF21-913ED0F7A74B}"/>
            </c:ext>
          </c:extLst>
        </c:ser>
        <c:dLbls>
          <c:showLegendKey val="0"/>
          <c:showVal val="0"/>
          <c:showCatName val="0"/>
          <c:showSerName val="0"/>
          <c:showPercent val="0"/>
          <c:showBubbleSize val="0"/>
        </c:dLbls>
        <c:marker val="1"/>
        <c:smooth val="0"/>
        <c:axId val="2119159664"/>
        <c:axId val="2119162544"/>
      </c:lineChart>
      <c:lineChart>
        <c:grouping val="standard"/>
        <c:varyColors val="0"/>
        <c:ser>
          <c:idx val="2"/>
          <c:order val="2"/>
          <c:tx>
            <c:strRef>
              <c:f>'Monthly Amort. Sch.'!$S$17</c:f>
              <c:strCache>
                <c:ptCount val="1"/>
                <c:pt idx="0">
                  <c:v>Cumulative PMI Saved Visual</c:v>
                </c:pt>
              </c:strCache>
            </c:strRef>
          </c:tx>
          <c:spPr>
            <a:ln w="28575" cap="rnd">
              <a:solidFill>
                <a:schemeClr val="bg2">
                  <a:lumMod val="75000"/>
                </a:schemeClr>
              </a:solidFill>
              <a:round/>
            </a:ln>
            <a:effectLst/>
          </c:spPr>
          <c:marker>
            <c:symbol val="none"/>
          </c:marker>
          <c:val>
            <c:numRef>
              <c:f>'Monthly Amort. Sch.'!$S$18:$S$377</c:f>
              <c:numCache>
                <c:formatCode>_("$"* #,##0.00_);_("$"* \(#,##0.00\);_("$"* "-"??_);_(@_)</c:formatCode>
                <c:ptCount val="36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90</c:v>
                </c:pt>
                <c:pt idx="74">
                  <c:v>180</c:v>
                </c:pt>
                <c:pt idx="75">
                  <c:v>270</c:v>
                </c:pt>
                <c:pt idx="76">
                  <c:v>360</c:v>
                </c:pt>
                <c:pt idx="77">
                  <c:v>450</c:v>
                </c:pt>
                <c:pt idx="78">
                  <c:v>540</c:v>
                </c:pt>
                <c:pt idx="79">
                  <c:v>630</c:v>
                </c:pt>
                <c:pt idx="80">
                  <c:v>720</c:v>
                </c:pt>
                <c:pt idx="81">
                  <c:v>810</c:v>
                </c:pt>
                <c:pt idx="82">
                  <c:v>900</c:v>
                </c:pt>
                <c:pt idx="83">
                  <c:v>990</c:v>
                </c:pt>
                <c:pt idx="84">
                  <c:v>990</c:v>
                </c:pt>
                <c:pt idx="85">
                  <c:v>990</c:v>
                </c:pt>
                <c:pt idx="86">
                  <c:v>990</c:v>
                </c:pt>
                <c:pt idx="87">
                  <c:v>990</c:v>
                </c:pt>
                <c:pt idx="88">
                  <c:v>990</c:v>
                </c:pt>
                <c:pt idx="89">
                  <c:v>990</c:v>
                </c:pt>
                <c:pt idx="90">
                  <c:v>990</c:v>
                </c:pt>
                <c:pt idx="91">
                  <c:v>990</c:v>
                </c:pt>
                <c:pt idx="92">
                  <c:v>990</c:v>
                </c:pt>
                <c:pt idx="93">
                  <c:v>990</c:v>
                </c:pt>
                <c:pt idx="94">
                  <c:v>990</c:v>
                </c:pt>
                <c:pt idx="95">
                  <c:v>990</c:v>
                </c:pt>
                <c:pt idx="96">
                  <c:v>990</c:v>
                </c:pt>
                <c:pt idx="97">
                  <c:v>990</c:v>
                </c:pt>
                <c:pt idx="98">
                  <c:v>990</c:v>
                </c:pt>
                <c:pt idx="99">
                  <c:v>990</c:v>
                </c:pt>
                <c:pt idx="100">
                  <c:v>990</c:v>
                </c:pt>
                <c:pt idx="101">
                  <c:v>990</c:v>
                </c:pt>
                <c:pt idx="102">
                  <c:v>990</c:v>
                </c:pt>
                <c:pt idx="103">
                  <c:v>990</c:v>
                </c:pt>
                <c:pt idx="104">
                  <c:v>990</c:v>
                </c:pt>
                <c:pt idx="105">
                  <c:v>990</c:v>
                </c:pt>
                <c:pt idx="106">
                  <c:v>990</c:v>
                </c:pt>
                <c:pt idx="107">
                  <c:v>990</c:v>
                </c:pt>
                <c:pt idx="108">
                  <c:v>990</c:v>
                </c:pt>
                <c:pt idx="109">
                  <c:v>990</c:v>
                </c:pt>
                <c:pt idx="110">
                  <c:v>990</c:v>
                </c:pt>
                <c:pt idx="111">
                  <c:v>990</c:v>
                </c:pt>
                <c:pt idx="112">
                  <c:v>990</c:v>
                </c:pt>
                <c:pt idx="113">
                  <c:v>990</c:v>
                </c:pt>
                <c:pt idx="114">
                  <c:v>990</c:v>
                </c:pt>
                <c:pt idx="115">
                  <c:v>990</c:v>
                </c:pt>
                <c:pt idx="116">
                  <c:v>990</c:v>
                </c:pt>
                <c:pt idx="117">
                  <c:v>990</c:v>
                </c:pt>
                <c:pt idx="118">
                  <c:v>990</c:v>
                </c:pt>
                <c:pt idx="119">
                  <c:v>990</c:v>
                </c:pt>
                <c:pt idx="120">
                  <c:v>990</c:v>
                </c:pt>
                <c:pt idx="121">
                  <c:v>990</c:v>
                </c:pt>
                <c:pt idx="122">
                  <c:v>990</c:v>
                </c:pt>
                <c:pt idx="123">
                  <c:v>990</c:v>
                </c:pt>
                <c:pt idx="124">
                  <c:v>990</c:v>
                </c:pt>
                <c:pt idx="125">
                  <c:v>990</c:v>
                </c:pt>
                <c:pt idx="126">
                  <c:v>990</c:v>
                </c:pt>
                <c:pt idx="127">
                  <c:v>990</c:v>
                </c:pt>
                <c:pt idx="128">
                  <c:v>990</c:v>
                </c:pt>
                <c:pt idx="129">
                  <c:v>990</c:v>
                </c:pt>
                <c:pt idx="130">
                  <c:v>990</c:v>
                </c:pt>
                <c:pt idx="131">
                  <c:v>990</c:v>
                </c:pt>
                <c:pt idx="132">
                  <c:v>990</c:v>
                </c:pt>
                <c:pt idx="133">
                  <c:v>990</c:v>
                </c:pt>
                <c:pt idx="134">
                  <c:v>990</c:v>
                </c:pt>
                <c:pt idx="135">
                  <c:v>990</c:v>
                </c:pt>
                <c:pt idx="136">
                  <c:v>990</c:v>
                </c:pt>
                <c:pt idx="137">
                  <c:v>990</c:v>
                </c:pt>
                <c:pt idx="138">
                  <c:v>990</c:v>
                </c:pt>
                <c:pt idx="139">
                  <c:v>990</c:v>
                </c:pt>
                <c:pt idx="140">
                  <c:v>990</c:v>
                </c:pt>
                <c:pt idx="141">
                  <c:v>990</c:v>
                </c:pt>
                <c:pt idx="142">
                  <c:v>990</c:v>
                </c:pt>
                <c:pt idx="143">
                  <c:v>990</c:v>
                </c:pt>
                <c:pt idx="144">
                  <c:v>990</c:v>
                </c:pt>
                <c:pt idx="145">
                  <c:v>990</c:v>
                </c:pt>
                <c:pt idx="146">
                  <c:v>990</c:v>
                </c:pt>
                <c:pt idx="147">
                  <c:v>990</c:v>
                </c:pt>
                <c:pt idx="148">
                  <c:v>990</c:v>
                </c:pt>
                <c:pt idx="149">
                  <c:v>990</c:v>
                </c:pt>
                <c:pt idx="150">
                  <c:v>990</c:v>
                </c:pt>
                <c:pt idx="151">
                  <c:v>990</c:v>
                </c:pt>
                <c:pt idx="152">
                  <c:v>990</c:v>
                </c:pt>
                <c:pt idx="153">
                  <c:v>990</c:v>
                </c:pt>
                <c:pt idx="154">
                  <c:v>990</c:v>
                </c:pt>
                <c:pt idx="155">
                  <c:v>990</c:v>
                </c:pt>
                <c:pt idx="156">
                  <c:v>990</c:v>
                </c:pt>
                <c:pt idx="157">
                  <c:v>990</c:v>
                </c:pt>
                <c:pt idx="158">
                  <c:v>990</c:v>
                </c:pt>
                <c:pt idx="159">
                  <c:v>990</c:v>
                </c:pt>
                <c:pt idx="160">
                  <c:v>990</c:v>
                </c:pt>
                <c:pt idx="161">
                  <c:v>990</c:v>
                </c:pt>
                <c:pt idx="162">
                  <c:v>990</c:v>
                </c:pt>
                <c:pt idx="163">
                  <c:v>990</c:v>
                </c:pt>
                <c:pt idx="164">
                  <c:v>990</c:v>
                </c:pt>
                <c:pt idx="165">
                  <c:v>990</c:v>
                </c:pt>
                <c:pt idx="166">
                  <c:v>990</c:v>
                </c:pt>
                <c:pt idx="167">
                  <c:v>990</c:v>
                </c:pt>
                <c:pt idx="168">
                  <c:v>990</c:v>
                </c:pt>
                <c:pt idx="169">
                  <c:v>990</c:v>
                </c:pt>
                <c:pt idx="170">
                  <c:v>990</c:v>
                </c:pt>
                <c:pt idx="171">
                  <c:v>990</c:v>
                </c:pt>
                <c:pt idx="172">
                  <c:v>990</c:v>
                </c:pt>
                <c:pt idx="173">
                  <c:v>990</c:v>
                </c:pt>
                <c:pt idx="174">
                  <c:v>990</c:v>
                </c:pt>
                <c:pt idx="175">
                  <c:v>990</c:v>
                </c:pt>
                <c:pt idx="176">
                  <c:v>990</c:v>
                </c:pt>
                <c:pt idx="177">
                  <c:v>990</c:v>
                </c:pt>
                <c:pt idx="178">
                  <c:v>990</c:v>
                </c:pt>
                <c:pt idx="179">
                  <c:v>990</c:v>
                </c:pt>
                <c:pt idx="180">
                  <c:v>990</c:v>
                </c:pt>
                <c:pt idx="181">
                  <c:v>990</c:v>
                </c:pt>
                <c:pt idx="182">
                  <c:v>990</c:v>
                </c:pt>
                <c:pt idx="183">
                  <c:v>990</c:v>
                </c:pt>
                <c:pt idx="184">
                  <c:v>990</c:v>
                </c:pt>
                <c:pt idx="185">
                  <c:v>990</c:v>
                </c:pt>
                <c:pt idx="186">
                  <c:v>990</c:v>
                </c:pt>
                <c:pt idx="187">
                  <c:v>990</c:v>
                </c:pt>
                <c:pt idx="188">
                  <c:v>990</c:v>
                </c:pt>
                <c:pt idx="189">
                  <c:v>990</c:v>
                </c:pt>
                <c:pt idx="190">
                  <c:v>990</c:v>
                </c:pt>
                <c:pt idx="191">
                  <c:v>990</c:v>
                </c:pt>
                <c:pt idx="192">
                  <c:v>990</c:v>
                </c:pt>
                <c:pt idx="193">
                  <c:v>990</c:v>
                </c:pt>
                <c:pt idx="194">
                  <c:v>990</c:v>
                </c:pt>
                <c:pt idx="195">
                  <c:v>990</c:v>
                </c:pt>
                <c:pt idx="196">
                  <c:v>990</c:v>
                </c:pt>
                <c:pt idx="197">
                  <c:v>990</c:v>
                </c:pt>
                <c:pt idx="198">
                  <c:v>990</c:v>
                </c:pt>
                <c:pt idx="199">
                  <c:v>990</c:v>
                </c:pt>
                <c:pt idx="200">
                  <c:v>990</c:v>
                </c:pt>
                <c:pt idx="201">
                  <c:v>990</c:v>
                </c:pt>
                <c:pt idx="202">
                  <c:v>990</c:v>
                </c:pt>
                <c:pt idx="203">
                  <c:v>990</c:v>
                </c:pt>
                <c:pt idx="204">
                  <c:v>990</c:v>
                </c:pt>
                <c:pt idx="205">
                  <c:v>990</c:v>
                </c:pt>
                <c:pt idx="206">
                  <c:v>990</c:v>
                </c:pt>
                <c:pt idx="207">
                  <c:v>990</c:v>
                </c:pt>
                <c:pt idx="208">
                  <c:v>990</c:v>
                </c:pt>
                <c:pt idx="209">
                  <c:v>990</c:v>
                </c:pt>
                <c:pt idx="210">
                  <c:v>990</c:v>
                </c:pt>
                <c:pt idx="211">
                  <c:v>990</c:v>
                </c:pt>
                <c:pt idx="212">
                  <c:v>990</c:v>
                </c:pt>
                <c:pt idx="213">
                  <c:v>990</c:v>
                </c:pt>
                <c:pt idx="214">
                  <c:v>990</c:v>
                </c:pt>
                <c:pt idx="215">
                  <c:v>990</c:v>
                </c:pt>
                <c:pt idx="216">
                  <c:v>990</c:v>
                </c:pt>
                <c:pt idx="217">
                  <c:v>990</c:v>
                </c:pt>
                <c:pt idx="218">
                  <c:v>990</c:v>
                </c:pt>
                <c:pt idx="219">
                  <c:v>990</c:v>
                </c:pt>
                <c:pt idx="220">
                  <c:v>990</c:v>
                </c:pt>
                <c:pt idx="221">
                  <c:v>990</c:v>
                </c:pt>
                <c:pt idx="222">
                  <c:v>990</c:v>
                </c:pt>
                <c:pt idx="223">
                  <c:v>990</c:v>
                </c:pt>
                <c:pt idx="224">
                  <c:v>990</c:v>
                </c:pt>
                <c:pt idx="225">
                  <c:v>990</c:v>
                </c:pt>
                <c:pt idx="226">
                  <c:v>990</c:v>
                </c:pt>
                <c:pt idx="227">
                  <c:v>990</c:v>
                </c:pt>
                <c:pt idx="228">
                  <c:v>990</c:v>
                </c:pt>
                <c:pt idx="229">
                  <c:v>990</c:v>
                </c:pt>
                <c:pt idx="230">
                  <c:v>990</c:v>
                </c:pt>
                <c:pt idx="231">
                  <c:v>990</c:v>
                </c:pt>
                <c:pt idx="232">
                  <c:v>990</c:v>
                </c:pt>
                <c:pt idx="233">
                  <c:v>990</c:v>
                </c:pt>
                <c:pt idx="234">
                  <c:v>990</c:v>
                </c:pt>
                <c:pt idx="235">
                  <c:v>990</c:v>
                </c:pt>
                <c:pt idx="236">
                  <c:v>990</c:v>
                </c:pt>
                <c:pt idx="237">
                  <c:v>990</c:v>
                </c:pt>
                <c:pt idx="238">
                  <c:v>990</c:v>
                </c:pt>
                <c:pt idx="239">
                  <c:v>990</c:v>
                </c:pt>
                <c:pt idx="240">
                  <c:v>990</c:v>
                </c:pt>
                <c:pt idx="241">
                  <c:v>990</c:v>
                </c:pt>
                <c:pt idx="242">
                  <c:v>990</c:v>
                </c:pt>
                <c:pt idx="243">
                  <c:v>990</c:v>
                </c:pt>
                <c:pt idx="244">
                  <c:v>990</c:v>
                </c:pt>
                <c:pt idx="245">
                  <c:v>990</c:v>
                </c:pt>
                <c:pt idx="246">
                  <c:v>990</c:v>
                </c:pt>
                <c:pt idx="247">
                  <c:v>990</c:v>
                </c:pt>
                <c:pt idx="248">
                  <c:v>990</c:v>
                </c:pt>
                <c:pt idx="249">
                  <c:v>990</c:v>
                </c:pt>
                <c:pt idx="250">
                  <c:v>990</c:v>
                </c:pt>
                <c:pt idx="251">
                  <c:v>990</c:v>
                </c:pt>
                <c:pt idx="252">
                  <c:v>990</c:v>
                </c:pt>
                <c:pt idx="253">
                  <c:v>990</c:v>
                </c:pt>
                <c:pt idx="254">
                  <c:v>990</c:v>
                </c:pt>
                <c:pt idx="255">
                  <c:v>990</c:v>
                </c:pt>
                <c:pt idx="256">
                  <c:v>990</c:v>
                </c:pt>
                <c:pt idx="257">
                  <c:v>990</c:v>
                </c:pt>
                <c:pt idx="258">
                  <c:v>990</c:v>
                </c:pt>
                <c:pt idx="259">
                  <c:v>990</c:v>
                </c:pt>
                <c:pt idx="260">
                  <c:v>990</c:v>
                </c:pt>
                <c:pt idx="261">
                  <c:v>990</c:v>
                </c:pt>
                <c:pt idx="262">
                  <c:v>990</c:v>
                </c:pt>
                <c:pt idx="263">
                  <c:v>990</c:v>
                </c:pt>
                <c:pt idx="264">
                  <c:v>990</c:v>
                </c:pt>
                <c:pt idx="265">
                  <c:v>990</c:v>
                </c:pt>
                <c:pt idx="266">
                  <c:v>990</c:v>
                </c:pt>
                <c:pt idx="267">
                  <c:v>990</c:v>
                </c:pt>
                <c:pt idx="268">
                  <c:v>990</c:v>
                </c:pt>
                <c:pt idx="269">
                  <c:v>990</c:v>
                </c:pt>
                <c:pt idx="270">
                  <c:v>990</c:v>
                </c:pt>
                <c:pt idx="271">
                  <c:v>990</c:v>
                </c:pt>
                <c:pt idx="272">
                  <c:v>990</c:v>
                </c:pt>
                <c:pt idx="273">
                  <c:v>990</c:v>
                </c:pt>
                <c:pt idx="274">
                  <c:v>990</c:v>
                </c:pt>
                <c:pt idx="275">
                  <c:v>990</c:v>
                </c:pt>
                <c:pt idx="276">
                  <c:v>990</c:v>
                </c:pt>
                <c:pt idx="277">
                  <c:v>990</c:v>
                </c:pt>
                <c:pt idx="278">
                  <c:v>990</c:v>
                </c:pt>
                <c:pt idx="279">
                  <c:v>990</c:v>
                </c:pt>
                <c:pt idx="280">
                  <c:v>990</c:v>
                </c:pt>
                <c:pt idx="281">
                  <c:v>990</c:v>
                </c:pt>
                <c:pt idx="282">
                  <c:v>990</c:v>
                </c:pt>
                <c:pt idx="283">
                  <c:v>990</c:v>
                </c:pt>
                <c:pt idx="284">
                  <c:v>990</c:v>
                </c:pt>
                <c:pt idx="285">
                  <c:v>990</c:v>
                </c:pt>
                <c:pt idx="286">
                  <c:v>990</c:v>
                </c:pt>
                <c:pt idx="287">
                  <c:v>990</c:v>
                </c:pt>
                <c:pt idx="288">
                  <c:v>990</c:v>
                </c:pt>
                <c:pt idx="289">
                  <c:v>990</c:v>
                </c:pt>
                <c:pt idx="290">
                  <c:v>990</c:v>
                </c:pt>
                <c:pt idx="291">
                  <c:v>990</c:v>
                </c:pt>
                <c:pt idx="292">
                  <c:v>990</c:v>
                </c:pt>
                <c:pt idx="293">
                  <c:v>990</c:v>
                </c:pt>
                <c:pt idx="294">
                  <c:v>990</c:v>
                </c:pt>
                <c:pt idx="295">
                  <c:v>990</c:v>
                </c:pt>
                <c:pt idx="296">
                  <c:v>990</c:v>
                </c:pt>
                <c:pt idx="297">
                  <c:v>990</c:v>
                </c:pt>
                <c:pt idx="298">
                  <c:v>990</c:v>
                </c:pt>
                <c:pt idx="299">
                  <c:v>990</c:v>
                </c:pt>
                <c:pt idx="300">
                  <c:v>990</c:v>
                </c:pt>
                <c:pt idx="301">
                  <c:v>990</c:v>
                </c:pt>
                <c:pt idx="302">
                  <c:v>990</c:v>
                </c:pt>
                <c:pt idx="303">
                  <c:v>990</c:v>
                </c:pt>
                <c:pt idx="304">
                  <c:v>990</c:v>
                </c:pt>
                <c:pt idx="305">
                  <c:v>990</c:v>
                </c:pt>
                <c:pt idx="306">
                  <c:v>990</c:v>
                </c:pt>
                <c:pt idx="307">
                  <c:v>990</c:v>
                </c:pt>
                <c:pt idx="308">
                  <c:v>990</c:v>
                </c:pt>
                <c:pt idx="309">
                  <c:v>990</c:v>
                </c:pt>
                <c:pt idx="310">
                  <c:v>990</c:v>
                </c:pt>
                <c:pt idx="311">
                  <c:v>990</c:v>
                </c:pt>
                <c:pt idx="312">
                  <c:v>990</c:v>
                </c:pt>
                <c:pt idx="313">
                  <c:v>990</c:v>
                </c:pt>
                <c:pt idx="314">
                  <c:v>990</c:v>
                </c:pt>
                <c:pt idx="315">
                  <c:v>990</c:v>
                </c:pt>
                <c:pt idx="316">
                  <c:v>990</c:v>
                </c:pt>
                <c:pt idx="317">
                  <c:v>990</c:v>
                </c:pt>
                <c:pt idx="318">
                  <c:v>990</c:v>
                </c:pt>
                <c:pt idx="319">
                  <c:v>990</c:v>
                </c:pt>
                <c:pt idx="320">
                  <c:v>990</c:v>
                </c:pt>
                <c:pt idx="321">
                  <c:v>990</c:v>
                </c:pt>
                <c:pt idx="322">
                  <c:v>990</c:v>
                </c:pt>
                <c:pt idx="323">
                  <c:v>990</c:v>
                </c:pt>
                <c:pt idx="324">
                  <c:v>990</c:v>
                </c:pt>
                <c:pt idx="325">
                  <c:v>990</c:v>
                </c:pt>
                <c:pt idx="326">
                  <c:v>990</c:v>
                </c:pt>
                <c:pt idx="327">
                  <c:v>990</c:v>
                </c:pt>
                <c:pt idx="328">
                  <c:v>990</c:v>
                </c:pt>
                <c:pt idx="329">
                  <c:v>990</c:v>
                </c:pt>
                <c:pt idx="330">
                  <c:v>990</c:v>
                </c:pt>
                <c:pt idx="331">
                  <c:v>990</c:v>
                </c:pt>
                <c:pt idx="332">
                  <c:v>990</c:v>
                </c:pt>
                <c:pt idx="333">
                  <c:v>990</c:v>
                </c:pt>
                <c:pt idx="334">
                  <c:v>990</c:v>
                </c:pt>
                <c:pt idx="335">
                  <c:v>990</c:v>
                </c:pt>
                <c:pt idx="336">
                  <c:v>990</c:v>
                </c:pt>
                <c:pt idx="337">
                  <c:v>990</c:v>
                </c:pt>
                <c:pt idx="338">
                  <c:v>990</c:v>
                </c:pt>
                <c:pt idx="339">
                  <c:v>990</c:v>
                </c:pt>
                <c:pt idx="340">
                  <c:v>990</c:v>
                </c:pt>
                <c:pt idx="341">
                  <c:v>990</c:v>
                </c:pt>
                <c:pt idx="342">
                  <c:v>990</c:v>
                </c:pt>
                <c:pt idx="343">
                  <c:v>990</c:v>
                </c:pt>
                <c:pt idx="344">
                  <c:v>990</c:v>
                </c:pt>
                <c:pt idx="345">
                  <c:v>990</c:v>
                </c:pt>
                <c:pt idx="346">
                  <c:v>990</c:v>
                </c:pt>
                <c:pt idx="347">
                  <c:v>990</c:v>
                </c:pt>
                <c:pt idx="348">
                  <c:v>990</c:v>
                </c:pt>
                <c:pt idx="349">
                  <c:v>990</c:v>
                </c:pt>
                <c:pt idx="350">
                  <c:v>990</c:v>
                </c:pt>
                <c:pt idx="351">
                  <c:v>990</c:v>
                </c:pt>
                <c:pt idx="352">
                  <c:v>990</c:v>
                </c:pt>
                <c:pt idx="353">
                  <c:v>990</c:v>
                </c:pt>
                <c:pt idx="354">
                  <c:v>990</c:v>
                </c:pt>
                <c:pt idx="355">
                  <c:v>990</c:v>
                </c:pt>
                <c:pt idx="356">
                  <c:v>990</c:v>
                </c:pt>
                <c:pt idx="357">
                  <c:v>990</c:v>
                </c:pt>
                <c:pt idx="358">
                  <c:v>990</c:v>
                </c:pt>
                <c:pt idx="359">
                  <c:v>990</c:v>
                </c:pt>
              </c:numCache>
            </c:numRef>
          </c:val>
          <c:smooth val="0"/>
          <c:extLst>
            <c:ext xmlns:c16="http://schemas.microsoft.com/office/drawing/2014/chart" uri="{C3380CC4-5D6E-409C-BE32-E72D297353CC}">
              <c16:uniqueId val="{00000000-9B36-426F-9AB3-B6479C163E91}"/>
            </c:ext>
          </c:extLst>
        </c:ser>
        <c:dLbls>
          <c:showLegendKey val="0"/>
          <c:showVal val="0"/>
          <c:showCatName val="0"/>
          <c:showSerName val="0"/>
          <c:showPercent val="0"/>
          <c:showBubbleSize val="0"/>
        </c:dLbls>
        <c:marker val="1"/>
        <c:smooth val="0"/>
        <c:axId val="947006504"/>
        <c:axId val="946997144"/>
      </c:lineChart>
      <c:dateAx>
        <c:axId val="211915966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Months (Loan Payment #)</a:t>
                </a:r>
              </a:p>
            </c:rich>
          </c:tx>
          <c:layout>
            <c:manualLayout>
              <c:xMode val="edge"/>
              <c:yMode val="edge"/>
              <c:x val="0.35491988718518025"/>
              <c:y val="0.71082019609399139"/>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9162544"/>
        <c:crosses val="autoZero"/>
        <c:auto val="0"/>
        <c:lblOffset val="100"/>
        <c:baseTimeUnit val="days"/>
      </c:dateAx>
      <c:valAx>
        <c:axId val="2119162544"/>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19159664"/>
        <c:crosses val="autoZero"/>
        <c:crossBetween val="between"/>
      </c:valAx>
      <c:valAx>
        <c:axId val="946997144"/>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Cumulative PMI Saved</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quot;$&quot;* #,##0_);_(&quot;$&quot;* \(#,##0\);_(&quot;$&quot;* &quot;-&quot;_);_(@_)"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47006504"/>
        <c:crosses val="max"/>
        <c:crossBetween val="between"/>
      </c:valAx>
      <c:catAx>
        <c:axId val="947006504"/>
        <c:scaling>
          <c:orientation val="minMax"/>
        </c:scaling>
        <c:delete val="1"/>
        <c:axPos val="b"/>
        <c:majorTickMark val="out"/>
        <c:minorTickMark val="none"/>
        <c:tickLblPos val="nextTo"/>
        <c:crossAx val="946997144"/>
        <c:crosses val="autoZero"/>
        <c:auto val="1"/>
        <c:lblAlgn val="ctr"/>
        <c:lblOffset val="100"/>
        <c:noMultiLvlLbl val="0"/>
      </c:catAx>
      <c:spPr>
        <a:noFill/>
        <a:ln>
          <a:noFill/>
        </a:ln>
        <a:effectLst/>
      </c:spPr>
    </c:plotArea>
    <c:legend>
      <c:legendPos val="b"/>
      <c:layout>
        <c:manualLayout>
          <c:xMode val="edge"/>
          <c:yMode val="edge"/>
          <c:x val="0.22124137417926826"/>
          <c:y val="0.77604013216444356"/>
          <c:w val="0.54967530908209183"/>
          <c:h val="0.14370215604616038"/>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50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Ammortization Schedule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2"/>
          <c:tx>
            <c:strRef>
              <c:f>'Annual Amort. Sch.'!$Z$16</c:f>
              <c:strCache>
                <c:ptCount val="1"/>
                <c:pt idx="0">
                  <c:v>PMI</c:v>
                </c:pt>
              </c:strCache>
            </c:strRef>
          </c:tx>
          <c:spPr>
            <a:solidFill>
              <a:schemeClr val="accent4">
                <a:lumMod val="75000"/>
              </a:schemeClr>
            </a:solidFill>
            <a:ln>
              <a:noFill/>
            </a:ln>
            <a:effectLst/>
          </c:spPr>
          <c:invertIfNegative val="0"/>
          <c:val>
            <c:numRef>
              <c:f>'Annual Amort. Sch.'!$Z$17:$Z$116</c:f>
              <c:numCache>
                <c:formatCode>_("$"* #,##0_);_("$"* \(#,##0\);_("$"* "-"??_);_(@_)</c:formatCode>
                <c:ptCount val="100"/>
                <c:pt idx="0">
                  <c:v>1080</c:v>
                </c:pt>
                <c:pt idx="1">
                  <c:v>1080</c:v>
                </c:pt>
                <c:pt idx="2">
                  <c:v>1080</c:v>
                </c:pt>
                <c:pt idx="3">
                  <c:v>1080</c:v>
                </c:pt>
                <c:pt idx="4">
                  <c:v>1080</c:v>
                </c:pt>
                <c:pt idx="5">
                  <c:v>1080</c:v>
                </c:pt>
                <c:pt idx="6">
                  <c:v>90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numCache>
            </c:numRef>
          </c:val>
          <c:extLst>
            <c:ext xmlns:c16="http://schemas.microsoft.com/office/drawing/2014/chart" uri="{C3380CC4-5D6E-409C-BE32-E72D297353CC}">
              <c16:uniqueId val="{00000000-8487-437D-B4C7-A772709B25D5}"/>
            </c:ext>
          </c:extLst>
        </c:ser>
        <c:dLbls>
          <c:showLegendKey val="0"/>
          <c:showVal val="0"/>
          <c:showCatName val="0"/>
          <c:showSerName val="0"/>
          <c:showPercent val="0"/>
          <c:showBubbleSize val="0"/>
        </c:dLbls>
        <c:gapWidth val="65"/>
        <c:axId val="140775991"/>
        <c:axId val="140775271"/>
      </c:barChart>
      <c:lineChart>
        <c:grouping val="standard"/>
        <c:varyColors val="0"/>
        <c:ser>
          <c:idx val="2"/>
          <c:order val="0"/>
          <c:tx>
            <c:strRef>
              <c:f>'Annual Amort. Sch.'!$M$16</c:f>
              <c:strCache>
                <c:ptCount val="1"/>
                <c:pt idx="0">
                  <c:v>Loan Balance (Visual)</c:v>
                </c:pt>
              </c:strCache>
            </c:strRef>
          </c:tx>
          <c:spPr>
            <a:ln w="28575" cap="rnd">
              <a:solidFill>
                <a:schemeClr val="accent3"/>
              </a:solidFill>
              <a:round/>
            </a:ln>
            <a:effectLst/>
          </c:spPr>
          <c:marker>
            <c:symbol val="none"/>
          </c:marker>
          <c:cat>
            <c:numRef>
              <c:f>'Annual Amort. Sch.'!$L$17:$L$116</c:f>
              <c:numCache>
                <c:formatCode>0</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formatCode="General">
                  <c:v>#N/A</c:v>
                </c:pt>
                <c:pt idx="70" formatCode="General">
                  <c:v>#N/A</c:v>
                </c:pt>
                <c:pt idx="71" formatCode="General">
                  <c:v>#N/A</c:v>
                </c:pt>
                <c:pt idx="72" formatCode="General">
                  <c:v>#N/A</c:v>
                </c:pt>
                <c:pt idx="73" formatCode="General">
                  <c:v>#N/A</c:v>
                </c:pt>
                <c:pt idx="74" formatCode="General">
                  <c:v>#N/A</c:v>
                </c:pt>
                <c:pt idx="75" formatCode="General">
                  <c:v>#N/A</c:v>
                </c:pt>
                <c:pt idx="76" formatCode="General">
                  <c:v>#N/A</c:v>
                </c:pt>
                <c:pt idx="77" formatCode="General">
                  <c:v>#N/A</c:v>
                </c:pt>
                <c:pt idx="78" formatCode="General">
                  <c:v>#N/A</c:v>
                </c:pt>
                <c:pt idx="79" formatCode="General">
                  <c:v>#N/A</c:v>
                </c:pt>
                <c:pt idx="80" formatCode="General">
                  <c:v>#N/A</c:v>
                </c:pt>
                <c:pt idx="81" formatCode="General">
                  <c:v>#N/A</c:v>
                </c:pt>
                <c:pt idx="82" formatCode="General">
                  <c:v>#N/A</c:v>
                </c:pt>
                <c:pt idx="83" formatCode="General">
                  <c:v>#N/A</c:v>
                </c:pt>
                <c:pt idx="84" formatCode="General">
                  <c:v>#N/A</c:v>
                </c:pt>
                <c:pt idx="85" formatCode="General">
                  <c:v>#N/A</c:v>
                </c:pt>
                <c:pt idx="86" formatCode="General">
                  <c:v>#N/A</c:v>
                </c:pt>
                <c:pt idx="87" formatCode="General">
                  <c:v>#N/A</c:v>
                </c:pt>
                <c:pt idx="88" formatCode="General">
                  <c:v>#N/A</c:v>
                </c:pt>
                <c:pt idx="89" formatCode="General">
                  <c:v>#N/A</c:v>
                </c:pt>
                <c:pt idx="90" formatCode="General">
                  <c:v>#N/A</c:v>
                </c:pt>
                <c:pt idx="91" formatCode="General">
                  <c:v>#N/A</c:v>
                </c:pt>
                <c:pt idx="92" formatCode="General">
                  <c:v>#N/A</c:v>
                </c:pt>
                <c:pt idx="93" formatCode="General">
                  <c:v>#N/A</c:v>
                </c:pt>
                <c:pt idx="94" formatCode="General">
                  <c:v>#N/A</c:v>
                </c:pt>
                <c:pt idx="95" formatCode="General">
                  <c:v>#N/A</c:v>
                </c:pt>
                <c:pt idx="96" formatCode="General">
                  <c:v>#N/A</c:v>
                </c:pt>
                <c:pt idx="97" formatCode="General">
                  <c:v>#N/A</c:v>
                </c:pt>
                <c:pt idx="98" formatCode="General">
                  <c:v>#N/A</c:v>
                </c:pt>
                <c:pt idx="99" formatCode="General">
                  <c:v>#N/A</c:v>
                </c:pt>
              </c:numCache>
            </c:numRef>
          </c:cat>
          <c:val>
            <c:numRef>
              <c:f>'Annual Amort. Sch.'!$M$17:$M$117</c:f>
              <c:numCache>
                <c:formatCode>_("$"* #,##0.00_);_("$"* \(#,##0.00\);_("$"* "-"??_);_(@_)</c:formatCode>
                <c:ptCount val="101"/>
                <c:pt idx="0">
                  <c:v>540000</c:v>
                </c:pt>
                <c:pt idx="1">
                  <c:v>532353.54796863184</c:v>
                </c:pt>
                <c:pt idx="2">
                  <c:v>524263.01003658189</c:v>
                </c:pt>
                <c:pt idx="3">
                  <c:v>515702.82489138027</c:v>
                </c:pt>
                <c:pt idx="4">
                  <c:v>506126.9876383259</c:v>
                </c:pt>
                <c:pt idx="5">
                  <c:v>491515.04281704815</c:v>
                </c:pt>
                <c:pt idx="6">
                  <c:v>481082.64861849899</c:v>
                </c:pt>
                <c:pt idx="7">
                  <c:v>470046.08848187444</c:v>
                </c:pt>
                <c:pt idx="8">
                  <c:v>454771.45243486785</c:v>
                </c:pt>
                <c:pt idx="9">
                  <c:v>439618.60521305387</c:v>
                </c:pt>
                <c:pt idx="10">
                  <c:v>422185.09350103105</c:v>
                </c:pt>
                <c:pt idx="11">
                  <c:v>407769.00538027869</c:v>
                </c:pt>
                <c:pt idx="12">
                  <c:v>385388.26437171525</c:v>
                </c:pt>
                <c:pt idx="13">
                  <c:v>368128.51619251759</c:v>
                </c:pt>
                <c:pt idx="14">
                  <c:v>351059.12112498662</c:v>
                </c:pt>
                <c:pt idx="15">
                  <c:v>332298.90254059603</c:v>
                </c:pt>
                <c:pt idx="16">
                  <c:v>312717.96032501518</c:v>
                </c:pt>
                <c:pt idx="17">
                  <c:v>292007.17725753045</c:v>
                </c:pt>
                <c:pt idx="18">
                  <c:v>269844.50641869253</c:v>
                </c:pt>
                <c:pt idx="19">
                  <c:v>246660.64221271552</c:v>
                </c:pt>
                <c:pt idx="20">
                  <c:v>221639.7797665768</c:v>
                </c:pt>
                <c:pt idx="21">
                  <c:v>195700.37228194153</c:v>
                </c:pt>
                <c:pt idx="22">
                  <c:v>168265.76698644349</c:v>
                </c:pt>
                <c:pt idx="23">
                  <c:v>139250.0057525356</c:v>
                </c:pt>
                <c:pt idx="24">
                  <c:v>108562.19089161791</c:v>
                </c:pt>
                <c:pt idx="25">
                  <c:v>73082.9265449753</c:v>
                </c:pt>
                <c:pt idx="26">
                  <c:v>39112.130469604541</c:v>
                </c:pt>
                <c:pt idx="27">
                  <c:v>3189.3748847726383</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22-9E68-456D-B4E5-7AF9B306F2B8}"/>
            </c:ext>
          </c:extLst>
        </c:ser>
        <c:ser>
          <c:idx val="1"/>
          <c:order val="1"/>
          <c:tx>
            <c:strRef>
              <c:f>'Annual Amort. Sch.'!$N$16</c:f>
              <c:strCache>
                <c:ptCount val="1"/>
                <c:pt idx="0">
                  <c:v>Cumulative Interest (Visual)</c:v>
                </c:pt>
              </c:strCache>
            </c:strRef>
          </c:tx>
          <c:spPr>
            <a:ln w="28575" cap="rnd">
              <a:solidFill>
                <a:schemeClr val="tx2"/>
              </a:solidFill>
              <a:round/>
            </a:ln>
            <a:effectLst/>
          </c:spPr>
          <c:marker>
            <c:symbol val="none"/>
          </c:marker>
          <c:cat>
            <c:numRef>
              <c:f>'Annual Amort. Sch.'!$L$17:$L$116</c:f>
              <c:numCache>
                <c:formatCode>0</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formatCode="General">
                  <c:v>#N/A</c:v>
                </c:pt>
                <c:pt idx="70" formatCode="General">
                  <c:v>#N/A</c:v>
                </c:pt>
                <c:pt idx="71" formatCode="General">
                  <c:v>#N/A</c:v>
                </c:pt>
                <c:pt idx="72" formatCode="General">
                  <c:v>#N/A</c:v>
                </c:pt>
                <c:pt idx="73" formatCode="General">
                  <c:v>#N/A</c:v>
                </c:pt>
                <c:pt idx="74" formatCode="General">
                  <c:v>#N/A</c:v>
                </c:pt>
                <c:pt idx="75" formatCode="General">
                  <c:v>#N/A</c:v>
                </c:pt>
                <c:pt idx="76" formatCode="General">
                  <c:v>#N/A</c:v>
                </c:pt>
                <c:pt idx="77" formatCode="General">
                  <c:v>#N/A</c:v>
                </c:pt>
                <c:pt idx="78" formatCode="General">
                  <c:v>#N/A</c:v>
                </c:pt>
                <c:pt idx="79" formatCode="General">
                  <c:v>#N/A</c:v>
                </c:pt>
                <c:pt idx="80" formatCode="General">
                  <c:v>#N/A</c:v>
                </c:pt>
                <c:pt idx="81" formatCode="General">
                  <c:v>#N/A</c:v>
                </c:pt>
                <c:pt idx="82" formatCode="General">
                  <c:v>#N/A</c:v>
                </c:pt>
                <c:pt idx="83" formatCode="General">
                  <c:v>#N/A</c:v>
                </c:pt>
                <c:pt idx="84" formatCode="General">
                  <c:v>#N/A</c:v>
                </c:pt>
                <c:pt idx="85" formatCode="General">
                  <c:v>#N/A</c:v>
                </c:pt>
                <c:pt idx="86" formatCode="General">
                  <c:v>#N/A</c:v>
                </c:pt>
                <c:pt idx="87" formatCode="General">
                  <c:v>#N/A</c:v>
                </c:pt>
                <c:pt idx="88" formatCode="General">
                  <c:v>#N/A</c:v>
                </c:pt>
                <c:pt idx="89" formatCode="General">
                  <c:v>#N/A</c:v>
                </c:pt>
                <c:pt idx="90" formatCode="General">
                  <c:v>#N/A</c:v>
                </c:pt>
                <c:pt idx="91" formatCode="General">
                  <c:v>#N/A</c:v>
                </c:pt>
                <c:pt idx="92" formatCode="General">
                  <c:v>#N/A</c:v>
                </c:pt>
                <c:pt idx="93" formatCode="General">
                  <c:v>#N/A</c:v>
                </c:pt>
                <c:pt idx="94" formatCode="General">
                  <c:v>#N/A</c:v>
                </c:pt>
                <c:pt idx="95" formatCode="General">
                  <c:v>#N/A</c:v>
                </c:pt>
                <c:pt idx="96" formatCode="General">
                  <c:v>#N/A</c:v>
                </c:pt>
                <c:pt idx="97" formatCode="General">
                  <c:v>#N/A</c:v>
                </c:pt>
                <c:pt idx="98" formatCode="General">
                  <c:v>#N/A</c:v>
                </c:pt>
                <c:pt idx="99" formatCode="General">
                  <c:v>#N/A</c:v>
                </c:pt>
              </c:numCache>
            </c:numRef>
          </c:cat>
          <c:val>
            <c:numRef>
              <c:f>'Annual Amort. Sch.'!$N$17:$N$117</c:f>
              <c:numCache>
                <c:formatCode>_("$"* #,##0.00_);_("$"* \(#,##0.00\);_("$"* "-"??_);_(@_)</c:formatCode>
                <c:ptCount val="101"/>
                <c:pt idx="0">
                  <c:v>30053.865914192695</c:v>
                </c:pt>
                <c:pt idx="1">
                  <c:v>59663.645927703634</c:v>
                </c:pt>
                <c:pt idx="2">
                  <c:v>88803.778728062869</c:v>
                </c:pt>
                <c:pt idx="3">
                  <c:v>117428.25942056937</c:v>
                </c:pt>
                <c:pt idx="4">
                  <c:v>145516.6325448525</c:v>
                </c:pt>
                <c:pt idx="5">
                  <c:v>172784.55629186425</c:v>
                </c:pt>
                <c:pt idx="6">
                  <c:v>199448.31410080061</c:v>
                </c:pt>
                <c:pt idx="7">
                  <c:v>225373.99599935493</c:v>
                </c:pt>
                <c:pt idx="8">
                  <c:v>250421.46672310185</c:v>
                </c:pt>
                <c:pt idx="9">
                  <c:v>274688.27295663994</c:v>
                </c:pt>
                <c:pt idx="10">
                  <c:v>297972.50278144848</c:v>
                </c:pt>
                <c:pt idx="11">
                  <c:v>320292.07971844595</c:v>
                </c:pt>
                <c:pt idx="12">
                  <c:v>341432.6494848092</c:v>
                </c:pt>
                <c:pt idx="13">
                  <c:v>361613.57236283913</c:v>
                </c:pt>
                <c:pt idx="14">
                  <c:v>380803.67172400944</c:v>
                </c:pt>
                <c:pt idx="15">
                  <c:v>398923.04745398951</c:v>
                </c:pt>
                <c:pt idx="16">
                  <c:v>415912.58233206568</c:v>
                </c:pt>
                <c:pt idx="17">
                  <c:v>431700.22943878866</c:v>
                </c:pt>
                <c:pt idx="18">
                  <c:v>446216.68317837256</c:v>
                </c:pt>
                <c:pt idx="19">
                  <c:v>459396.13867779478</c:v>
                </c:pt>
                <c:pt idx="20">
                  <c:v>471157.04913872044</c:v>
                </c:pt>
                <c:pt idx="21">
                  <c:v>481422.7617887833</c:v>
                </c:pt>
                <c:pt idx="22">
                  <c:v>490107.31850043632</c:v>
                </c:pt>
                <c:pt idx="23">
                  <c:v>497119.82158507954</c:v>
                </c:pt>
                <c:pt idx="24">
                  <c:v>502340.87518399785</c:v>
                </c:pt>
                <c:pt idx="25">
                  <c:v>505570.39705418801</c:v>
                </c:pt>
                <c:pt idx="26">
                  <c:v>506847.95941491699</c:v>
                </c:pt>
                <c:pt idx="27">
                  <c:v>506863.32958102686</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1-B320-46E0-BF23-30391B21E4C5}"/>
            </c:ext>
          </c:extLst>
        </c:ser>
        <c:dLbls>
          <c:showLegendKey val="0"/>
          <c:showVal val="0"/>
          <c:showCatName val="0"/>
          <c:showSerName val="0"/>
          <c:showPercent val="0"/>
          <c:showBubbleSize val="0"/>
        </c:dLbls>
        <c:marker val="1"/>
        <c:smooth val="0"/>
        <c:axId val="825020568"/>
        <c:axId val="825020928"/>
      </c:lineChart>
      <c:dateAx>
        <c:axId val="825020568"/>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5020928"/>
        <c:crosses val="autoZero"/>
        <c:auto val="0"/>
        <c:lblOffset val="100"/>
        <c:baseTimeUnit val="days"/>
      </c:dateAx>
      <c:valAx>
        <c:axId val="8250209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Loan Balance &amp; Interest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5020568"/>
        <c:crosses val="autoZero"/>
        <c:crossBetween val="between"/>
      </c:valAx>
      <c:valAx>
        <c:axId val="140775271"/>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PMI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quot;$&quot;* #,##0_);_(&quot;$&quot;* \(#,##0\);_(&quot;$&quot;*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775991"/>
        <c:crosses val="max"/>
        <c:crossBetween val="between"/>
      </c:valAx>
      <c:catAx>
        <c:axId val="140775991"/>
        <c:scaling>
          <c:orientation val="minMax"/>
        </c:scaling>
        <c:delete val="1"/>
        <c:axPos val="b"/>
        <c:majorTickMark val="out"/>
        <c:minorTickMark val="none"/>
        <c:tickLblPos val="nextTo"/>
        <c:crossAx val="140775271"/>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Equity</a:t>
            </a:r>
            <a:r>
              <a:rPr lang="en-US" baseline="0"/>
              <a:t> &amp; LTV % with PMI</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'Annual Amort. Sch.'!$AJ$16</c:f>
              <c:strCache>
                <c:ptCount val="1"/>
                <c:pt idx="0">
                  <c:v>% Equity in Property (EOY)</c:v>
                </c:pt>
              </c:strCache>
            </c:strRef>
          </c:tx>
          <c:spPr>
            <a:ln w="28575" cap="rnd">
              <a:solidFill>
                <a:schemeClr val="tx2"/>
              </a:solidFill>
              <a:round/>
            </a:ln>
            <a:effectLst/>
          </c:spPr>
          <c:marker>
            <c:symbol val="none"/>
          </c:marker>
          <c:cat>
            <c:numRef>
              <c:f>'Annual Amort. Sch.'!$L$17:$L$116</c:f>
              <c:numCache>
                <c:formatCode>0</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formatCode="General">
                  <c:v>#N/A</c:v>
                </c:pt>
                <c:pt idx="70" formatCode="General">
                  <c:v>#N/A</c:v>
                </c:pt>
                <c:pt idx="71" formatCode="General">
                  <c:v>#N/A</c:v>
                </c:pt>
                <c:pt idx="72" formatCode="General">
                  <c:v>#N/A</c:v>
                </c:pt>
                <c:pt idx="73" formatCode="General">
                  <c:v>#N/A</c:v>
                </c:pt>
                <c:pt idx="74" formatCode="General">
                  <c:v>#N/A</c:v>
                </c:pt>
                <c:pt idx="75" formatCode="General">
                  <c:v>#N/A</c:v>
                </c:pt>
                <c:pt idx="76" formatCode="General">
                  <c:v>#N/A</c:v>
                </c:pt>
                <c:pt idx="77" formatCode="General">
                  <c:v>#N/A</c:v>
                </c:pt>
                <c:pt idx="78" formatCode="General">
                  <c:v>#N/A</c:v>
                </c:pt>
                <c:pt idx="79" formatCode="General">
                  <c:v>#N/A</c:v>
                </c:pt>
                <c:pt idx="80" formatCode="General">
                  <c:v>#N/A</c:v>
                </c:pt>
                <c:pt idx="81" formatCode="General">
                  <c:v>#N/A</c:v>
                </c:pt>
                <c:pt idx="82" formatCode="General">
                  <c:v>#N/A</c:v>
                </c:pt>
                <c:pt idx="83" formatCode="General">
                  <c:v>#N/A</c:v>
                </c:pt>
                <c:pt idx="84" formatCode="General">
                  <c:v>#N/A</c:v>
                </c:pt>
                <c:pt idx="85" formatCode="General">
                  <c:v>#N/A</c:v>
                </c:pt>
                <c:pt idx="86" formatCode="General">
                  <c:v>#N/A</c:v>
                </c:pt>
                <c:pt idx="87" formatCode="General">
                  <c:v>#N/A</c:v>
                </c:pt>
                <c:pt idx="88" formatCode="General">
                  <c:v>#N/A</c:v>
                </c:pt>
                <c:pt idx="89" formatCode="General">
                  <c:v>#N/A</c:v>
                </c:pt>
                <c:pt idx="90" formatCode="General">
                  <c:v>#N/A</c:v>
                </c:pt>
                <c:pt idx="91" formatCode="General">
                  <c:v>#N/A</c:v>
                </c:pt>
                <c:pt idx="92" formatCode="General">
                  <c:v>#N/A</c:v>
                </c:pt>
                <c:pt idx="93" formatCode="General">
                  <c:v>#N/A</c:v>
                </c:pt>
                <c:pt idx="94" formatCode="General">
                  <c:v>#N/A</c:v>
                </c:pt>
                <c:pt idx="95" formatCode="General">
                  <c:v>#N/A</c:v>
                </c:pt>
                <c:pt idx="96" formatCode="General">
                  <c:v>#N/A</c:v>
                </c:pt>
                <c:pt idx="97" formatCode="General">
                  <c:v>#N/A</c:v>
                </c:pt>
                <c:pt idx="98" formatCode="General">
                  <c:v>#N/A</c:v>
                </c:pt>
                <c:pt idx="99" formatCode="General">
                  <c:v>#N/A</c:v>
                </c:pt>
              </c:numCache>
            </c:numRef>
          </c:cat>
          <c:val>
            <c:numRef>
              <c:f>'Annual Amort. Sch.'!$AJ$17:$AJ$116</c:f>
              <c:numCache>
                <c:formatCode>0%</c:formatCode>
                <c:ptCount val="100"/>
                <c:pt idx="0">
                  <c:v>0.11274408671894701</c:v>
                </c:pt>
                <c:pt idx="1">
                  <c:v>0.12622831660569694</c:v>
                </c:pt>
                <c:pt idx="2">
                  <c:v>0.14049529184769971</c:v>
                </c:pt>
                <c:pt idx="3">
                  <c:v>0.15645502060279035</c:v>
                </c:pt>
                <c:pt idx="4">
                  <c:v>0.18080826197158664</c:v>
                </c:pt>
                <c:pt idx="5">
                  <c:v>0.1981955856358352</c:v>
                </c:pt>
                <c:pt idx="6">
                  <c:v>0.21658985253020943</c:v>
                </c:pt>
                <c:pt idx="7">
                  <c:v>0.24204757927522044</c:v>
                </c:pt>
                <c:pt idx="8">
                  <c:v>0.26730232464491038</c:v>
                </c:pt>
                <c:pt idx="9">
                  <c:v>0.29635817749828175</c:v>
                </c:pt>
                <c:pt idx="10">
                  <c:v>0.32038499103286894</c:v>
                </c:pt>
                <c:pt idx="11">
                  <c:v>0.35768622604714129</c:v>
                </c:pt>
                <c:pt idx="12">
                  <c:v>0.38645247301247071</c:v>
                </c:pt>
                <c:pt idx="13">
                  <c:v>0.41490146479168899</c:v>
                </c:pt>
                <c:pt idx="14">
                  <c:v>0.4461684957656733</c:v>
                </c:pt>
                <c:pt idx="15">
                  <c:v>0.47880339945830802</c:v>
                </c:pt>
                <c:pt idx="16">
                  <c:v>0.51332137123744925</c:v>
                </c:pt>
                <c:pt idx="17">
                  <c:v>0.55025915596884578</c:v>
                </c:pt>
                <c:pt idx="18">
                  <c:v>0.58889892964547408</c:v>
                </c:pt>
                <c:pt idx="19">
                  <c:v>0.63060036705570532</c:v>
                </c:pt>
                <c:pt idx="20">
                  <c:v>0.67383271286343072</c:v>
                </c:pt>
                <c:pt idx="21">
                  <c:v>0.71955705502259404</c:v>
                </c:pt>
                <c:pt idx="22">
                  <c:v>0.76791665707910728</c:v>
                </c:pt>
                <c:pt idx="23">
                  <c:v>0.81906301518063673</c:v>
                </c:pt>
                <c:pt idx="24">
                  <c:v>0.87819512242504105</c:v>
                </c:pt>
                <c:pt idx="25">
                  <c:v>0.9348131158839923</c:v>
                </c:pt>
                <c:pt idx="26">
                  <c:v>0.99468437519204556</c:v>
                </c:pt>
                <c:pt idx="27">
                  <c:v>1.0049921799000736</c:v>
                </c:pt>
                <c:pt idx="28">
                  <c:v>1.0049921799000736</c:v>
                </c:pt>
                <c:pt idx="29">
                  <c:v>1.0049921799000736</c:v>
                </c:pt>
                <c:pt idx="30">
                  <c:v>1.0049921799000736</c:v>
                </c:pt>
                <c:pt idx="31">
                  <c:v>1.0049921799000736</c:v>
                </c:pt>
                <c:pt idx="32">
                  <c:v>1.0049921799000736</c:v>
                </c:pt>
                <c:pt idx="33">
                  <c:v>1.0049921799000736</c:v>
                </c:pt>
                <c:pt idx="34">
                  <c:v>1.0049921799000736</c:v>
                </c:pt>
                <c:pt idx="35">
                  <c:v>1.0049921799000736</c:v>
                </c:pt>
                <c:pt idx="36">
                  <c:v>1.0049921799000736</c:v>
                </c:pt>
                <c:pt idx="37">
                  <c:v>1.0049921799000736</c:v>
                </c:pt>
                <c:pt idx="38">
                  <c:v>1.0049921799000736</c:v>
                </c:pt>
                <c:pt idx="39">
                  <c:v>1.0049921799000736</c:v>
                </c:pt>
                <c:pt idx="40">
                  <c:v>1.0049921799000736</c:v>
                </c:pt>
                <c:pt idx="41">
                  <c:v>1.0049921799000736</c:v>
                </c:pt>
                <c:pt idx="42">
                  <c:v>1.0049921799000736</c:v>
                </c:pt>
                <c:pt idx="43">
                  <c:v>1.0049921799000736</c:v>
                </c:pt>
                <c:pt idx="44">
                  <c:v>1.0049921799000736</c:v>
                </c:pt>
                <c:pt idx="45">
                  <c:v>1.0049921799000736</c:v>
                </c:pt>
                <c:pt idx="46">
                  <c:v>1.0049921799000736</c:v>
                </c:pt>
                <c:pt idx="47">
                  <c:v>1.0049921799000736</c:v>
                </c:pt>
                <c:pt idx="48">
                  <c:v>1.0049921799000736</c:v>
                </c:pt>
                <c:pt idx="49">
                  <c:v>1.0049921799000736</c:v>
                </c:pt>
                <c:pt idx="50">
                  <c:v>1.0049921799000736</c:v>
                </c:pt>
                <c:pt idx="51">
                  <c:v>1.0049921799000736</c:v>
                </c:pt>
                <c:pt idx="52">
                  <c:v>1.0049921799000736</c:v>
                </c:pt>
                <c:pt idx="53">
                  <c:v>1.0049921799000736</c:v>
                </c:pt>
                <c:pt idx="54">
                  <c:v>1.0049921799000736</c:v>
                </c:pt>
                <c:pt idx="55">
                  <c:v>1.0049921799000736</c:v>
                </c:pt>
                <c:pt idx="56">
                  <c:v>1.0049921799000736</c:v>
                </c:pt>
                <c:pt idx="57">
                  <c:v>1.0049921799000736</c:v>
                </c:pt>
                <c:pt idx="58">
                  <c:v>1.0049921799000736</c:v>
                </c:pt>
                <c:pt idx="59">
                  <c:v>1.0049921799000736</c:v>
                </c:pt>
                <c:pt idx="60">
                  <c:v>1.0049921799000736</c:v>
                </c:pt>
                <c:pt idx="61">
                  <c:v>1.0049921799000736</c:v>
                </c:pt>
                <c:pt idx="62">
                  <c:v>1.0049921799000736</c:v>
                </c:pt>
                <c:pt idx="63">
                  <c:v>1.0049921799000736</c:v>
                </c:pt>
                <c:pt idx="64">
                  <c:v>1.0049921799000736</c:v>
                </c:pt>
                <c:pt idx="65">
                  <c:v>1.0049921799000736</c:v>
                </c:pt>
                <c:pt idx="66">
                  <c:v>1.0049921799000736</c:v>
                </c:pt>
                <c:pt idx="67">
                  <c:v>1.0049921799000736</c:v>
                </c:pt>
                <c:pt idx="68">
                  <c:v>1.0049921799000736</c:v>
                </c:pt>
                <c:pt idx="69">
                  <c:v>1.0049921799000736</c:v>
                </c:pt>
                <c:pt idx="70">
                  <c:v>1.0049921799000736</c:v>
                </c:pt>
                <c:pt idx="71">
                  <c:v>1.0049921799000736</c:v>
                </c:pt>
                <c:pt idx="72">
                  <c:v>1.0049921799000736</c:v>
                </c:pt>
                <c:pt idx="73">
                  <c:v>1.0049921799000736</c:v>
                </c:pt>
                <c:pt idx="74">
                  <c:v>1.0049921799000736</c:v>
                </c:pt>
                <c:pt idx="75">
                  <c:v>1.0049921799000736</c:v>
                </c:pt>
                <c:pt idx="76">
                  <c:v>1.0049921799000736</c:v>
                </c:pt>
                <c:pt idx="77">
                  <c:v>1.0049921799000736</c:v>
                </c:pt>
                <c:pt idx="78">
                  <c:v>1.0049921799000736</c:v>
                </c:pt>
                <c:pt idx="79">
                  <c:v>1.0049921799000736</c:v>
                </c:pt>
                <c:pt idx="80">
                  <c:v>1.0049921799000736</c:v>
                </c:pt>
                <c:pt idx="81">
                  <c:v>1.0049921799000736</c:v>
                </c:pt>
                <c:pt idx="82">
                  <c:v>1.0049921799000736</c:v>
                </c:pt>
                <c:pt idx="83">
                  <c:v>1.0049921799000736</c:v>
                </c:pt>
                <c:pt idx="84">
                  <c:v>1.0049921799000736</c:v>
                </c:pt>
                <c:pt idx="85">
                  <c:v>1.0049921799000736</c:v>
                </c:pt>
                <c:pt idx="86">
                  <c:v>1.0049921799000736</c:v>
                </c:pt>
                <c:pt idx="87">
                  <c:v>1.0049921799000736</c:v>
                </c:pt>
                <c:pt idx="88">
                  <c:v>1.0049921799000736</c:v>
                </c:pt>
                <c:pt idx="89">
                  <c:v>1.0049921799000736</c:v>
                </c:pt>
                <c:pt idx="90">
                  <c:v>1.0049921799000736</c:v>
                </c:pt>
                <c:pt idx="91">
                  <c:v>1.0049921799000736</c:v>
                </c:pt>
                <c:pt idx="92">
                  <c:v>1.0049921799000736</c:v>
                </c:pt>
                <c:pt idx="93">
                  <c:v>1.0049921799000736</c:v>
                </c:pt>
                <c:pt idx="94">
                  <c:v>1.0049921799000736</c:v>
                </c:pt>
                <c:pt idx="95">
                  <c:v>1.0049921799000736</c:v>
                </c:pt>
                <c:pt idx="96">
                  <c:v>1.0049921799000736</c:v>
                </c:pt>
                <c:pt idx="97">
                  <c:v>1.0049921799000736</c:v>
                </c:pt>
                <c:pt idx="98">
                  <c:v>1.0049921799000736</c:v>
                </c:pt>
                <c:pt idx="99">
                  <c:v>1.0049921799000736</c:v>
                </c:pt>
              </c:numCache>
            </c:numRef>
          </c:val>
          <c:smooth val="0"/>
          <c:extLst>
            <c:ext xmlns:c16="http://schemas.microsoft.com/office/drawing/2014/chart" uri="{C3380CC4-5D6E-409C-BE32-E72D297353CC}">
              <c16:uniqueId val="{00000003-496F-4031-9043-4DF6A31E7092}"/>
            </c:ext>
          </c:extLst>
        </c:ser>
        <c:ser>
          <c:idx val="1"/>
          <c:order val="1"/>
          <c:tx>
            <c:strRef>
              <c:f>'Annual Amort. Sch.'!$AK$16</c:f>
              <c:strCache>
                <c:ptCount val="1"/>
                <c:pt idx="0">
                  <c:v>% Loan-to-Value (LTV) (EOY)</c:v>
                </c:pt>
              </c:strCache>
            </c:strRef>
          </c:tx>
          <c:spPr>
            <a:ln w="28575" cap="rnd">
              <a:solidFill>
                <a:schemeClr val="accent3"/>
              </a:solidFill>
              <a:round/>
            </a:ln>
            <a:effectLst/>
          </c:spPr>
          <c:marker>
            <c:symbol val="none"/>
          </c:marker>
          <c:cat>
            <c:numRef>
              <c:f>'Annual Amort. Sch.'!$L$17:$L$116</c:f>
              <c:numCache>
                <c:formatCode>0</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formatCode="General">
                  <c:v>#N/A</c:v>
                </c:pt>
                <c:pt idx="70" formatCode="General">
                  <c:v>#N/A</c:v>
                </c:pt>
                <c:pt idx="71" formatCode="General">
                  <c:v>#N/A</c:v>
                </c:pt>
                <c:pt idx="72" formatCode="General">
                  <c:v>#N/A</c:v>
                </c:pt>
                <c:pt idx="73" formatCode="General">
                  <c:v>#N/A</c:v>
                </c:pt>
                <c:pt idx="74" formatCode="General">
                  <c:v>#N/A</c:v>
                </c:pt>
                <c:pt idx="75" formatCode="General">
                  <c:v>#N/A</c:v>
                </c:pt>
                <c:pt idx="76" formatCode="General">
                  <c:v>#N/A</c:v>
                </c:pt>
                <c:pt idx="77" formatCode="General">
                  <c:v>#N/A</c:v>
                </c:pt>
                <c:pt idx="78" formatCode="General">
                  <c:v>#N/A</c:v>
                </c:pt>
                <c:pt idx="79" formatCode="General">
                  <c:v>#N/A</c:v>
                </c:pt>
                <c:pt idx="80" formatCode="General">
                  <c:v>#N/A</c:v>
                </c:pt>
                <c:pt idx="81" formatCode="General">
                  <c:v>#N/A</c:v>
                </c:pt>
                <c:pt idx="82" formatCode="General">
                  <c:v>#N/A</c:v>
                </c:pt>
                <c:pt idx="83" formatCode="General">
                  <c:v>#N/A</c:v>
                </c:pt>
                <c:pt idx="84" formatCode="General">
                  <c:v>#N/A</c:v>
                </c:pt>
                <c:pt idx="85" formatCode="General">
                  <c:v>#N/A</c:v>
                </c:pt>
                <c:pt idx="86" formatCode="General">
                  <c:v>#N/A</c:v>
                </c:pt>
                <c:pt idx="87" formatCode="General">
                  <c:v>#N/A</c:v>
                </c:pt>
                <c:pt idx="88" formatCode="General">
                  <c:v>#N/A</c:v>
                </c:pt>
                <c:pt idx="89" formatCode="General">
                  <c:v>#N/A</c:v>
                </c:pt>
                <c:pt idx="90" formatCode="General">
                  <c:v>#N/A</c:v>
                </c:pt>
                <c:pt idx="91" formatCode="General">
                  <c:v>#N/A</c:v>
                </c:pt>
                <c:pt idx="92" formatCode="General">
                  <c:v>#N/A</c:v>
                </c:pt>
                <c:pt idx="93" formatCode="General">
                  <c:v>#N/A</c:v>
                </c:pt>
                <c:pt idx="94" formatCode="General">
                  <c:v>#N/A</c:v>
                </c:pt>
                <c:pt idx="95" formatCode="General">
                  <c:v>#N/A</c:v>
                </c:pt>
                <c:pt idx="96" formatCode="General">
                  <c:v>#N/A</c:v>
                </c:pt>
                <c:pt idx="97" formatCode="General">
                  <c:v>#N/A</c:v>
                </c:pt>
                <c:pt idx="98" formatCode="General">
                  <c:v>#N/A</c:v>
                </c:pt>
                <c:pt idx="99" formatCode="General">
                  <c:v>#N/A</c:v>
                </c:pt>
              </c:numCache>
            </c:numRef>
          </c:cat>
          <c:val>
            <c:numRef>
              <c:f>'Annual Amort. Sch.'!$AK$17:$AK$116</c:f>
              <c:numCache>
                <c:formatCode>0%</c:formatCode>
                <c:ptCount val="100"/>
                <c:pt idx="0">
                  <c:v>0.9</c:v>
                </c:pt>
                <c:pt idx="1">
                  <c:v>0.85725209012662129</c:v>
                </c:pt>
                <c:pt idx="2">
                  <c:v>0.81567521612574689</c:v>
                </c:pt>
                <c:pt idx="3">
                  <c:v>0.77522400200528963</c:v>
                </c:pt>
                <c:pt idx="4">
                  <c:v>0.73510071600985083</c:v>
                </c:pt>
                <c:pt idx="5">
                  <c:v>0.68973746193212182</c:v>
                </c:pt>
                <c:pt idx="6">
                  <c:v>0.65226840769404859</c:v>
                </c:pt>
                <c:pt idx="7">
                  <c:v>0.61575329441923332</c:v>
                </c:pt>
                <c:pt idx="8">
                  <c:v>0.57559782736047926</c:v>
                </c:pt>
                <c:pt idx="9">
                  <c:v>0.53760297765936027</c:v>
                </c:pt>
                <c:pt idx="10">
                  <c:v>0.4988249260845003</c:v>
                </c:pt>
                <c:pt idx="11">
                  <c:v>0.46549938737810126</c:v>
                </c:pt>
                <c:pt idx="12">
                  <c:v>0.42507252786306093</c:v>
                </c:pt>
                <c:pt idx="13">
                  <c:v>0.39230483677965761</c:v>
                </c:pt>
                <c:pt idx="14">
                  <c:v>0.36146322056924945</c:v>
                </c:pt>
                <c:pt idx="15">
                  <c:v>0.33057682917633358</c:v>
                </c:pt>
                <c:pt idx="16">
                  <c:v>0.30057716069804435</c:v>
                </c:pt>
                <c:pt idx="17">
                  <c:v>0.27117917131653085</c:v>
                </c:pt>
                <c:pt idx="18">
                  <c:v>0.24212299329493325</c:v>
                </c:pt>
                <c:pt idx="19">
                  <c:v>0.2138365610690022</c:v>
                </c:pt>
                <c:pt idx="20">
                  <c:v>0.18564765323938393</c:v>
                </c:pt>
                <c:pt idx="21">
                  <c:v>0.15837734408934162</c:v>
                </c:pt>
                <c:pt idx="22">
                  <c:v>0.13156998452723967</c:v>
                </c:pt>
                <c:pt idx="23">
                  <c:v>0.1052000451394338</c:v>
                </c:pt>
                <c:pt idx="24">
                  <c:v>7.9242643286989781E-2</c:v>
                </c:pt>
                <c:pt idx="25">
                  <c:v>5.1541367224243392E-2</c:v>
                </c:pt>
                <c:pt idx="26">
                  <c:v>2.6650853868193481E-2</c:v>
                </c:pt>
                <c:pt idx="27">
                  <c:v>2.0997368746759697E-3</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numCache>
            </c:numRef>
          </c:val>
          <c:smooth val="0"/>
          <c:extLst>
            <c:ext xmlns:c16="http://schemas.microsoft.com/office/drawing/2014/chart" uri="{C3380CC4-5D6E-409C-BE32-E72D297353CC}">
              <c16:uniqueId val="{00000068-496F-4031-9043-4DF6A31E7092}"/>
            </c:ext>
          </c:extLst>
        </c:ser>
        <c:dLbls>
          <c:showLegendKey val="0"/>
          <c:showVal val="0"/>
          <c:showCatName val="0"/>
          <c:showSerName val="0"/>
          <c:showPercent val="0"/>
          <c:showBubbleSize val="0"/>
        </c:dLbls>
        <c:smooth val="0"/>
        <c:axId val="825020568"/>
        <c:axId val="825020928"/>
      </c:lineChart>
      <c:dateAx>
        <c:axId val="825020568"/>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5020928"/>
        <c:crosses val="autoZero"/>
        <c:auto val="0"/>
        <c:lblOffset val="100"/>
        <c:baseTimeUnit val="days"/>
      </c:dateAx>
      <c:valAx>
        <c:axId val="825020928"/>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50205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Cumulative Equity &amp; Appreciation vs. Indirect Housing Expenses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'Annual Amort. Sch.'!$P$16</c:f>
              <c:strCache>
                <c:ptCount val="1"/>
                <c:pt idx="0">
                  <c:v>Cumulative Appreciation (EOY) Visual</c:v>
                </c:pt>
              </c:strCache>
            </c:strRef>
          </c:tx>
          <c:spPr>
            <a:solidFill>
              <a:schemeClr val="tx2"/>
            </a:solidFill>
            <a:ln>
              <a:noFill/>
            </a:ln>
            <a:effectLst/>
          </c:spPr>
          <c:invertIfNegative val="0"/>
          <c:cat>
            <c:numRef>
              <c:f>'Annual Amort. Sch.'!$L$17:$L$116</c:f>
              <c:numCache>
                <c:formatCode>0</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formatCode="General">
                  <c:v>#N/A</c:v>
                </c:pt>
                <c:pt idx="70" formatCode="General">
                  <c:v>#N/A</c:v>
                </c:pt>
                <c:pt idx="71" formatCode="General">
                  <c:v>#N/A</c:v>
                </c:pt>
                <c:pt idx="72" formatCode="General">
                  <c:v>#N/A</c:v>
                </c:pt>
                <c:pt idx="73" formatCode="General">
                  <c:v>#N/A</c:v>
                </c:pt>
                <c:pt idx="74" formatCode="General">
                  <c:v>#N/A</c:v>
                </c:pt>
                <c:pt idx="75" formatCode="General">
                  <c:v>#N/A</c:v>
                </c:pt>
                <c:pt idx="76" formatCode="General">
                  <c:v>#N/A</c:v>
                </c:pt>
                <c:pt idx="77" formatCode="General">
                  <c:v>#N/A</c:v>
                </c:pt>
                <c:pt idx="78" formatCode="General">
                  <c:v>#N/A</c:v>
                </c:pt>
                <c:pt idx="79" formatCode="General">
                  <c:v>#N/A</c:v>
                </c:pt>
                <c:pt idx="80" formatCode="General">
                  <c:v>#N/A</c:v>
                </c:pt>
                <c:pt idx="81" formatCode="General">
                  <c:v>#N/A</c:v>
                </c:pt>
                <c:pt idx="82" formatCode="General">
                  <c:v>#N/A</c:v>
                </c:pt>
                <c:pt idx="83" formatCode="General">
                  <c:v>#N/A</c:v>
                </c:pt>
                <c:pt idx="84" formatCode="General">
                  <c:v>#N/A</c:v>
                </c:pt>
                <c:pt idx="85" formatCode="General">
                  <c:v>#N/A</c:v>
                </c:pt>
                <c:pt idx="86" formatCode="General">
                  <c:v>#N/A</c:v>
                </c:pt>
                <c:pt idx="87" formatCode="General">
                  <c:v>#N/A</c:v>
                </c:pt>
                <c:pt idx="88" formatCode="General">
                  <c:v>#N/A</c:v>
                </c:pt>
                <c:pt idx="89" formatCode="General">
                  <c:v>#N/A</c:v>
                </c:pt>
                <c:pt idx="90" formatCode="General">
                  <c:v>#N/A</c:v>
                </c:pt>
                <c:pt idx="91" formatCode="General">
                  <c:v>#N/A</c:v>
                </c:pt>
                <c:pt idx="92" formatCode="General">
                  <c:v>#N/A</c:v>
                </c:pt>
                <c:pt idx="93" formatCode="General">
                  <c:v>#N/A</c:v>
                </c:pt>
                <c:pt idx="94" formatCode="General">
                  <c:v>#N/A</c:v>
                </c:pt>
                <c:pt idx="95" formatCode="General">
                  <c:v>#N/A</c:v>
                </c:pt>
                <c:pt idx="96" formatCode="General">
                  <c:v>#N/A</c:v>
                </c:pt>
                <c:pt idx="97" formatCode="General">
                  <c:v>#N/A</c:v>
                </c:pt>
                <c:pt idx="98" formatCode="General">
                  <c:v>#N/A</c:v>
                </c:pt>
                <c:pt idx="99" formatCode="General">
                  <c:v>#N/A</c:v>
                </c:pt>
              </c:numCache>
            </c:numRef>
          </c:cat>
          <c:val>
            <c:numRef>
              <c:f>'Annual Amort. Sch.'!$P$17:$P$116</c:f>
              <c:numCache>
                <c:formatCode>_("$"* #,##0.00_);_("$"* \(#,##0.00\);_("$"* "-"??_);_(@_)</c:formatCode>
                <c:ptCount val="100"/>
                <c:pt idx="0">
                  <c:v>21000</c:v>
                </c:pt>
                <c:pt idx="1">
                  <c:v>42735</c:v>
                </c:pt>
                <c:pt idx="2">
                  <c:v>65230.724999999977</c:v>
                </c:pt>
                <c:pt idx="3">
                  <c:v>88513.800374999875</c:v>
                </c:pt>
                <c:pt idx="4">
                  <c:v>112611.78338812478</c:v>
                </c:pt>
                <c:pt idx="5">
                  <c:v>137553.19580670912</c:v>
                </c:pt>
                <c:pt idx="6">
                  <c:v>163367.55765994382</c:v>
                </c:pt>
                <c:pt idx="7">
                  <c:v>190085.42217804177</c:v>
                </c:pt>
                <c:pt idx="8">
                  <c:v>217738.41195427312</c:v>
                </c:pt>
                <c:pt idx="9">
                  <c:v>246359.25637267262</c:v>
                </c:pt>
                <c:pt idx="10">
                  <c:v>275981.83034571609</c:v>
                </c:pt>
                <c:pt idx="11">
                  <c:v>306641.19440781604</c:v>
                </c:pt>
                <c:pt idx="12">
                  <c:v>338373.63621208956</c:v>
                </c:pt>
                <c:pt idx="13">
                  <c:v>371216.7134795126</c:v>
                </c:pt>
                <c:pt idx="14">
                  <c:v>405209.29845129547</c:v>
                </c:pt>
                <c:pt idx="15">
                  <c:v>440391.62389709079</c:v>
                </c:pt>
                <c:pt idx="16">
                  <c:v>476805.33073348878</c:v>
                </c:pt>
                <c:pt idx="17">
                  <c:v>514493.5173091609</c:v>
                </c:pt>
                <c:pt idx="18">
                  <c:v>553500.79041498154</c:v>
                </c:pt>
                <c:pt idx="19">
                  <c:v>593873.31807950581</c:v>
                </c:pt>
                <c:pt idx="20">
                  <c:v>635658.88421228831</c:v>
                </c:pt>
                <c:pt idx="21">
                  <c:v>678906.94515971839</c:v>
                </c:pt>
                <c:pt idx="22">
                  <c:v>723668.68824030855</c:v>
                </c:pt>
                <c:pt idx="23">
                  <c:v>769997.09232871933</c:v>
                </c:pt>
                <c:pt idx="24">
                  <c:v>817946.99056022428</c:v>
                </c:pt>
                <c:pt idx="25">
                  <c:v>867575.13522983203</c:v>
                </c:pt>
                <c:pt idx="26">
                  <c:v>918940.26496287598</c:v>
                </c:pt>
                <c:pt idx="27">
                  <c:v>972103.17423657654</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extLst>
            <c:ext xmlns:c16="http://schemas.microsoft.com/office/drawing/2014/chart" uri="{C3380CC4-5D6E-409C-BE32-E72D297353CC}">
              <c16:uniqueId val="{00000000-C07A-4698-B1AD-7EF27E63A40A}"/>
            </c:ext>
          </c:extLst>
        </c:ser>
        <c:ser>
          <c:idx val="1"/>
          <c:order val="1"/>
          <c:tx>
            <c:strRef>
              <c:f>'Annual Amort. Sch.'!$Q$16</c:f>
              <c:strCache>
                <c:ptCount val="1"/>
                <c:pt idx="0">
                  <c:v>Cumulative Equity (EOY) Visual</c:v>
                </c:pt>
              </c:strCache>
            </c:strRef>
          </c:tx>
          <c:spPr>
            <a:solidFill>
              <a:schemeClr val="accent4">
                <a:lumMod val="75000"/>
              </a:schemeClr>
            </a:solidFill>
            <a:ln>
              <a:noFill/>
            </a:ln>
            <a:effectLst/>
          </c:spPr>
          <c:invertIfNegative val="0"/>
          <c:cat>
            <c:numRef>
              <c:f>'Annual Amort. Sch.'!$L$17:$L$116</c:f>
              <c:numCache>
                <c:formatCode>0</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formatCode="General">
                  <c:v>#N/A</c:v>
                </c:pt>
                <c:pt idx="70" formatCode="General">
                  <c:v>#N/A</c:v>
                </c:pt>
                <c:pt idx="71" formatCode="General">
                  <c:v>#N/A</c:v>
                </c:pt>
                <c:pt idx="72" formatCode="General">
                  <c:v>#N/A</c:v>
                </c:pt>
                <c:pt idx="73" formatCode="General">
                  <c:v>#N/A</c:v>
                </c:pt>
                <c:pt idx="74" formatCode="General">
                  <c:v>#N/A</c:v>
                </c:pt>
                <c:pt idx="75" formatCode="General">
                  <c:v>#N/A</c:v>
                </c:pt>
                <c:pt idx="76" formatCode="General">
                  <c:v>#N/A</c:v>
                </c:pt>
                <c:pt idx="77" formatCode="General">
                  <c:v>#N/A</c:v>
                </c:pt>
                <c:pt idx="78" formatCode="General">
                  <c:v>#N/A</c:v>
                </c:pt>
                <c:pt idx="79" formatCode="General">
                  <c:v>#N/A</c:v>
                </c:pt>
                <c:pt idx="80" formatCode="General">
                  <c:v>#N/A</c:v>
                </c:pt>
                <c:pt idx="81" formatCode="General">
                  <c:v>#N/A</c:v>
                </c:pt>
                <c:pt idx="82" formatCode="General">
                  <c:v>#N/A</c:v>
                </c:pt>
                <c:pt idx="83" formatCode="General">
                  <c:v>#N/A</c:v>
                </c:pt>
                <c:pt idx="84" formatCode="General">
                  <c:v>#N/A</c:v>
                </c:pt>
                <c:pt idx="85" formatCode="General">
                  <c:v>#N/A</c:v>
                </c:pt>
                <c:pt idx="86" formatCode="General">
                  <c:v>#N/A</c:v>
                </c:pt>
                <c:pt idx="87" formatCode="General">
                  <c:v>#N/A</c:v>
                </c:pt>
                <c:pt idx="88" formatCode="General">
                  <c:v>#N/A</c:v>
                </c:pt>
                <c:pt idx="89" formatCode="General">
                  <c:v>#N/A</c:v>
                </c:pt>
                <c:pt idx="90" formatCode="General">
                  <c:v>#N/A</c:v>
                </c:pt>
                <c:pt idx="91" formatCode="General">
                  <c:v>#N/A</c:v>
                </c:pt>
                <c:pt idx="92" formatCode="General">
                  <c:v>#N/A</c:v>
                </c:pt>
                <c:pt idx="93" formatCode="General">
                  <c:v>#N/A</c:v>
                </c:pt>
                <c:pt idx="94" formatCode="General">
                  <c:v>#N/A</c:v>
                </c:pt>
                <c:pt idx="95" formatCode="General">
                  <c:v>#N/A</c:v>
                </c:pt>
                <c:pt idx="96" formatCode="General">
                  <c:v>#N/A</c:v>
                </c:pt>
                <c:pt idx="97" formatCode="General">
                  <c:v>#N/A</c:v>
                </c:pt>
                <c:pt idx="98" formatCode="General">
                  <c:v>#N/A</c:v>
                </c:pt>
                <c:pt idx="99" formatCode="General">
                  <c:v>#N/A</c:v>
                </c:pt>
              </c:numCache>
            </c:numRef>
          </c:cat>
          <c:val>
            <c:numRef>
              <c:f>'Annual Amort. Sch.'!$Q$17:$Q$116</c:f>
              <c:numCache>
                <c:formatCode>_("$"* #,##0.00_);_("$"* \(#,##0.00\);_("$"* "-"??_);_(@_)</c:formatCode>
                <c:ptCount val="100"/>
                <c:pt idx="0">
                  <c:v>67646.452031368201</c:v>
                </c:pt>
                <c:pt idx="1">
                  <c:v>75736.989963418164</c:v>
                </c:pt>
                <c:pt idx="2">
                  <c:v>84297.17510861982</c:v>
                </c:pt>
                <c:pt idx="3">
                  <c:v>93873.012361674206</c:v>
                </c:pt>
                <c:pt idx="4">
                  <c:v>108484.95718295198</c:v>
                </c:pt>
                <c:pt idx="5">
                  <c:v>118917.35138150112</c:v>
                </c:pt>
                <c:pt idx="6">
                  <c:v>129953.91151812566</c:v>
                </c:pt>
                <c:pt idx="7">
                  <c:v>145228.54756513226</c:v>
                </c:pt>
                <c:pt idx="8">
                  <c:v>160381.39478694621</c:v>
                </c:pt>
                <c:pt idx="9">
                  <c:v>177814.90649896904</c:v>
                </c:pt>
                <c:pt idx="10">
                  <c:v>192230.99461972137</c:v>
                </c:pt>
                <c:pt idx="11">
                  <c:v>214611.73562828478</c:v>
                </c:pt>
                <c:pt idx="12">
                  <c:v>231871.48380748244</c:v>
                </c:pt>
                <c:pt idx="13">
                  <c:v>248940.87887501338</c:v>
                </c:pt>
                <c:pt idx="14">
                  <c:v>267701.09745940397</c:v>
                </c:pt>
                <c:pt idx="15">
                  <c:v>287282.03967498482</c:v>
                </c:pt>
                <c:pt idx="16">
                  <c:v>307992.82274246955</c:v>
                </c:pt>
                <c:pt idx="17">
                  <c:v>330155.49358130747</c:v>
                </c:pt>
                <c:pt idx="18">
                  <c:v>353339.35778728448</c:v>
                </c:pt>
                <c:pt idx="19">
                  <c:v>378360.22023342317</c:v>
                </c:pt>
                <c:pt idx="20">
                  <c:v>404299.62771805841</c:v>
                </c:pt>
                <c:pt idx="21">
                  <c:v>431734.23301355646</c:v>
                </c:pt>
                <c:pt idx="22">
                  <c:v>460749.99424746435</c:v>
                </c:pt>
                <c:pt idx="23">
                  <c:v>491437.80910838203</c:v>
                </c:pt>
                <c:pt idx="24">
                  <c:v>526917.07345502463</c:v>
                </c:pt>
                <c:pt idx="25">
                  <c:v>560887.86953039537</c:v>
                </c:pt>
                <c:pt idx="26">
                  <c:v>596810.6251152273</c:v>
                </c:pt>
                <c:pt idx="27">
                  <c:v>602995.30794004421</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extLst>
            <c:ext xmlns:c16="http://schemas.microsoft.com/office/drawing/2014/chart" uri="{C3380CC4-5D6E-409C-BE32-E72D297353CC}">
              <c16:uniqueId val="{00000001-C07A-4698-B1AD-7EF27E63A40A}"/>
            </c:ext>
          </c:extLst>
        </c:ser>
        <c:dLbls>
          <c:showLegendKey val="0"/>
          <c:showVal val="0"/>
          <c:showCatName val="0"/>
          <c:showSerName val="0"/>
          <c:showPercent val="0"/>
          <c:showBubbleSize val="0"/>
        </c:dLbls>
        <c:gapWidth val="65"/>
        <c:overlap val="100"/>
        <c:axId val="140705071"/>
        <c:axId val="140695711"/>
      </c:barChart>
      <c:lineChart>
        <c:grouping val="standard"/>
        <c:varyColors val="0"/>
        <c:ser>
          <c:idx val="2"/>
          <c:order val="2"/>
          <c:tx>
            <c:strRef>
              <c:f>'Annual Amort. Sch.'!$R$16</c:f>
              <c:strCache>
                <c:ptCount val="1"/>
                <c:pt idx="0">
                  <c:v>Cumulative Total Indirect Housing Expenses Visual</c:v>
                </c:pt>
              </c:strCache>
            </c:strRef>
          </c:tx>
          <c:spPr>
            <a:ln w="28575" cap="rnd">
              <a:solidFill>
                <a:schemeClr val="accent3"/>
              </a:solidFill>
              <a:round/>
            </a:ln>
            <a:effectLst/>
          </c:spPr>
          <c:marker>
            <c:symbol val="none"/>
          </c:marker>
          <c:val>
            <c:numRef>
              <c:f>'Annual Amort. Sch.'!$R$17:$R$116</c:f>
              <c:numCache>
                <c:formatCode>_("$"* #,##0.00_);_("$"* \(#,##0.00\);_("$"* "-"??_);_(@_)</c:formatCode>
                <c:ptCount val="100"/>
                <c:pt idx="0">
                  <c:v>16430</c:v>
                </c:pt>
                <c:pt idx="1">
                  <c:v>36963</c:v>
                </c:pt>
                <c:pt idx="2">
                  <c:v>54062.59</c:v>
                </c:pt>
                <c:pt idx="3">
                  <c:v>71642.767699999997</c:v>
                </c:pt>
                <c:pt idx="4">
                  <c:v>89717.95073099999</c:v>
                </c:pt>
                <c:pt idx="5">
                  <c:v>108302.98925293</c:v>
                </c:pt>
                <c:pt idx="6">
                  <c:v>126423.1789305179</c:v>
                </c:pt>
                <c:pt idx="7">
                  <c:v>156994.27429843345</c:v>
                </c:pt>
                <c:pt idx="8">
                  <c:v>179122.50252738644</c:v>
                </c:pt>
                <c:pt idx="9">
                  <c:v>228824.57760320805</c:v>
                </c:pt>
                <c:pt idx="10">
                  <c:v>249117.71493130428</c:v>
                </c:pt>
                <c:pt idx="11">
                  <c:v>270019.64637924341</c:v>
                </c:pt>
                <c:pt idx="12">
                  <c:v>291548.63577062072</c:v>
                </c:pt>
                <c:pt idx="13">
                  <c:v>313723.49484373932</c:v>
                </c:pt>
                <c:pt idx="14">
                  <c:v>336563.59968905151</c:v>
                </c:pt>
                <c:pt idx="15">
                  <c:v>360088.90767972305</c:v>
                </c:pt>
                <c:pt idx="16">
                  <c:v>384319.97491011478</c:v>
                </c:pt>
                <c:pt idx="17">
                  <c:v>409277.97415741824</c:v>
                </c:pt>
                <c:pt idx="18">
                  <c:v>434984.71338214079</c:v>
                </c:pt>
                <c:pt idx="19">
                  <c:v>461462.65478360502</c:v>
                </c:pt>
                <c:pt idx="20">
                  <c:v>488734.93442711316</c:v>
                </c:pt>
                <c:pt idx="21">
                  <c:v>516825.38245992654</c:v>
                </c:pt>
                <c:pt idx="22">
                  <c:v>545758.5439337244</c:v>
                </c:pt>
                <c:pt idx="23">
                  <c:v>575559.7002517361</c:v>
                </c:pt>
                <c:pt idx="24">
                  <c:v>606254.89125928818</c:v>
                </c:pt>
                <c:pt idx="25">
                  <c:v>637870.93799706688</c:v>
                </c:pt>
                <c:pt idx="26">
                  <c:v>670435.46613697894</c:v>
                </c:pt>
                <c:pt idx="27">
                  <c:v>703976.93012108828</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9-C07A-4698-B1AD-7EF27E63A40A}"/>
            </c:ext>
          </c:extLst>
        </c:ser>
        <c:dLbls>
          <c:showLegendKey val="0"/>
          <c:showVal val="0"/>
          <c:showCatName val="0"/>
          <c:showSerName val="0"/>
          <c:showPercent val="0"/>
          <c:showBubbleSize val="0"/>
        </c:dLbls>
        <c:marker val="1"/>
        <c:smooth val="0"/>
        <c:axId val="140705071"/>
        <c:axId val="140695711"/>
      </c:lineChart>
      <c:dateAx>
        <c:axId val="140705071"/>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695711"/>
        <c:crosses val="autoZero"/>
        <c:auto val="0"/>
        <c:lblOffset val="100"/>
        <c:baseTimeUnit val="days"/>
      </c:dateAx>
      <c:valAx>
        <c:axId val="140695711"/>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07050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50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Indirect Housing</a:t>
            </a:r>
            <a:r>
              <a:rPr lang="en-US" baseline="0"/>
              <a:t> Expenses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1"/>
          <c:order val="0"/>
          <c:tx>
            <c:strRef>
              <c:f>'Annual Amort. Sch.'!$R$16</c:f>
              <c:strCache>
                <c:ptCount val="1"/>
                <c:pt idx="0">
                  <c:v>Cumulative Total Indirect Housing Expenses Visual</c:v>
                </c:pt>
              </c:strCache>
            </c:strRef>
          </c:tx>
          <c:spPr>
            <a:solidFill>
              <a:schemeClr val="tx2"/>
            </a:solidFill>
            <a:ln>
              <a:noFill/>
            </a:ln>
            <a:effectLst/>
          </c:spPr>
          <c:invertIfNegative val="0"/>
          <c:cat>
            <c:numRef>
              <c:f>'Annual Amort. Sch.'!$L$17:$L$116</c:f>
              <c:numCache>
                <c:formatCode>0</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formatCode="General">
                  <c:v>#N/A</c:v>
                </c:pt>
                <c:pt idx="70" formatCode="General">
                  <c:v>#N/A</c:v>
                </c:pt>
                <c:pt idx="71" formatCode="General">
                  <c:v>#N/A</c:v>
                </c:pt>
                <c:pt idx="72" formatCode="General">
                  <c:v>#N/A</c:v>
                </c:pt>
                <c:pt idx="73" formatCode="General">
                  <c:v>#N/A</c:v>
                </c:pt>
                <c:pt idx="74" formatCode="General">
                  <c:v>#N/A</c:v>
                </c:pt>
                <c:pt idx="75" formatCode="General">
                  <c:v>#N/A</c:v>
                </c:pt>
                <c:pt idx="76" formatCode="General">
                  <c:v>#N/A</c:v>
                </c:pt>
                <c:pt idx="77" formatCode="General">
                  <c:v>#N/A</c:v>
                </c:pt>
                <c:pt idx="78" formatCode="General">
                  <c:v>#N/A</c:v>
                </c:pt>
                <c:pt idx="79" formatCode="General">
                  <c:v>#N/A</c:v>
                </c:pt>
                <c:pt idx="80" formatCode="General">
                  <c:v>#N/A</c:v>
                </c:pt>
                <c:pt idx="81" formatCode="General">
                  <c:v>#N/A</c:v>
                </c:pt>
                <c:pt idx="82" formatCode="General">
                  <c:v>#N/A</c:v>
                </c:pt>
                <c:pt idx="83" formatCode="General">
                  <c:v>#N/A</c:v>
                </c:pt>
                <c:pt idx="84" formatCode="General">
                  <c:v>#N/A</c:v>
                </c:pt>
                <c:pt idx="85" formatCode="General">
                  <c:v>#N/A</c:v>
                </c:pt>
                <c:pt idx="86" formatCode="General">
                  <c:v>#N/A</c:v>
                </c:pt>
                <c:pt idx="87" formatCode="General">
                  <c:v>#N/A</c:v>
                </c:pt>
                <c:pt idx="88" formatCode="General">
                  <c:v>#N/A</c:v>
                </c:pt>
                <c:pt idx="89" formatCode="General">
                  <c:v>#N/A</c:v>
                </c:pt>
                <c:pt idx="90" formatCode="General">
                  <c:v>#N/A</c:v>
                </c:pt>
                <c:pt idx="91" formatCode="General">
                  <c:v>#N/A</c:v>
                </c:pt>
                <c:pt idx="92" formatCode="General">
                  <c:v>#N/A</c:v>
                </c:pt>
                <c:pt idx="93" formatCode="General">
                  <c:v>#N/A</c:v>
                </c:pt>
                <c:pt idx="94" formatCode="General">
                  <c:v>#N/A</c:v>
                </c:pt>
                <c:pt idx="95" formatCode="General">
                  <c:v>#N/A</c:v>
                </c:pt>
                <c:pt idx="96" formatCode="General">
                  <c:v>#N/A</c:v>
                </c:pt>
                <c:pt idx="97" formatCode="General">
                  <c:v>#N/A</c:v>
                </c:pt>
                <c:pt idx="98" formatCode="General">
                  <c:v>#N/A</c:v>
                </c:pt>
                <c:pt idx="99" formatCode="General">
                  <c:v>#N/A</c:v>
                </c:pt>
              </c:numCache>
            </c:numRef>
          </c:cat>
          <c:val>
            <c:numRef>
              <c:f>'Annual Amort. Sch.'!$R$17:$R$116</c:f>
              <c:numCache>
                <c:formatCode>_("$"* #,##0.00_);_("$"* \(#,##0.00\);_("$"* "-"??_);_(@_)</c:formatCode>
                <c:ptCount val="100"/>
                <c:pt idx="0">
                  <c:v>16430</c:v>
                </c:pt>
                <c:pt idx="1">
                  <c:v>36963</c:v>
                </c:pt>
                <c:pt idx="2">
                  <c:v>54062.59</c:v>
                </c:pt>
                <c:pt idx="3">
                  <c:v>71642.767699999997</c:v>
                </c:pt>
                <c:pt idx="4">
                  <c:v>89717.95073099999</c:v>
                </c:pt>
                <c:pt idx="5">
                  <c:v>108302.98925293</c:v>
                </c:pt>
                <c:pt idx="6">
                  <c:v>126423.1789305179</c:v>
                </c:pt>
                <c:pt idx="7">
                  <c:v>156994.27429843345</c:v>
                </c:pt>
                <c:pt idx="8">
                  <c:v>179122.50252738644</c:v>
                </c:pt>
                <c:pt idx="9">
                  <c:v>228824.57760320805</c:v>
                </c:pt>
                <c:pt idx="10">
                  <c:v>249117.71493130428</c:v>
                </c:pt>
                <c:pt idx="11">
                  <c:v>270019.64637924341</c:v>
                </c:pt>
                <c:pt idx="12">
                  <c:v>291548.63577062072</c:v>
                </c:pt>
                <c:pt idx="13">
                  <c:v>313723.49484373932</c:v>
                </c:pt>
                <c:pt idx="14">
                  <c:v>336563.59968905151</c:v>
                </c:pt>
                <c:pt idx="15">
                  <c:v>360088.90767972305</c:v>
                </c:pt>
                <c:pt idx="16">
                  <c:v>384319.97491011478</c:v>
                </c:pt>
                <c:pt idx="17">
                  <c:v>409277.97415741824</c:v>
                </c:pt>
                <c:pt idx="18">
                  <c:v>434984.71338214079</c:v>
                </c:pt>
                <c:pt idx="19">
                  <c:v>461462.65478360502</c:v>
                </c:pt>
                <c:pt idx="20">
                  <c:v>488734.93442711316</c:v>
                </c:pt>
                <c:pt idx="21">
                  <c:v>516825.38245992654</c:v>
                </c:pt>
                <c:pt idx="22">
                  <c:v>545758.5439337244</c:v>
                </c:pt>
                <c:pt idx="23">
                  <c:v>575559.7002517361</c:v>
                </c:pt>
                <c:pt idx="24">
                  <c:v>606254.89125928818</c:v>
                </c:pt>
                <c:pt idx="25">
                  <c:v>637870.93799706688</c:v>
                </c:pt>
                <c:pt idx="26">
                  <c:v>670435.46613697894</c:v>
                </c:pt>
                <c:pt idx="27">
                  <c:v>703976.93012108828</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extLst>
            <c:ext xmlns:c16="http://schemas.microsoft.com/office/drawing/2014/chart" uri="{C3380CC4-5D6E-409C-BE32-E72D297353CC}">
              <c16:uniqueId val="{00000003-53B8-441A-8AF0-CCCC5A8F17C6}"/>
            </c:ext>
          </c:extLst>
        </c:ser>
        <c:dLbls>
          <c:showLegendKey val="0"/>
          <c:showVal val="0"/>
          <c:showCatName val="0"/>
          <c:showSerName val="0"/>
          <c:showPercent val="0"/>
          <c:showBubbleSize val="0"/>
        </c:dLbls>
        <c:gapWidth val="65"/>
        <c:axId val="825020568"/>
        <c:axId val="825020928"/>
      </c:barChart>
      <c:lineChart>
        <c:grouping val="standard"/>
        <c:varyColors val="0"/>
        <c:ser>
          <c:idx val="0"/>
          <c:order val="1"/>
          <c:tx>
            <c:strRef>
              <c:f>'Annual Amort. Sch.'!$S$16</c:f>
              <c:strCache>
                <c:ptCount val="1"/>
                <c:pt idx="0">
                  <c:v>Total Annual Indirect Housing Expenses Visual</c:v>
                </c:pt>
              </c:strCache>
            </c:strRef>
          </c:tx>
          <c:spPr>
            <a:ln w="28575" cap="rnd">
              <a:solidFill>
                <a:schemeClr val="bg2">
                  <a:lumMod val="75000"/>
                </a:schemeClr>
              </a:solidFill>
              <a:round/>
            </a:ln>
            <a:effectLst/>
          </c:spPr>
          <c:marker>
            <c:symbol val="none"/>
          </c:marker>
          <c:cat>
            <c:numRef>
              <c:f>'Annual Amort. Sch.'!$L$17:$L$116</c:f>
              <c:numCache>
                <c:formatCode>0</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formatCode="General">
                  <c:v>#N/A</c:v>
                </c:pt>
                <c:pt idx="70" formatCode="General">
                  <c:v>#N/A</c:v>
                </c:pt>
                <c:pt idx="71" formatCode="General">
                  <c:v>#N/A</c:v>
                </c:pt>
                <c:pt idx="72" formatCode="General">
                  <c:v>#N/A</c:v>
                </c:pt>
                <c:pt idx="73" formatCode="General">
                  <c:v>#N/A</c:v>
                </c:pt>
                <c:pt idx="74" formatCode="General">
                  <c:v>#N/A</c:v>
                </c:pt>
                <c:pt idx="75" formatCode="General">
                  <c:v>#N/A</c:v>
                </c:pt>
                <c:pt idx="76" formatCode="General">
                  <c:v>#N/A</c:v>
                </c:pt>
                <c:pt idx="77" formatCode="General">
                  <c:v>#N/A</c:v>
                </c:pt>
                <c:pt idx="78" formatCode="General">
                  <c:v>#N/A</c:v>
                </c:pt>
                <c:pt idx="79" formatCode="General">
                  <c:v>#N/A</c:v>
                </c:pt>
                <c:pt idx="80" formatCode="General">
                  <c:v>#N/A</c:v>
                </c:pt>
                <c:pt idx="81" formatCode="General">
                  <c:v>#N/A</c:v>
                </c:pt>
                <c:pt idx="82" formatCode="General">
                  <c:v>#N/A</c:v>
                </c:pt>
                <c:pt idx="83" formatCode="General">
                  <c:v>#N/A</c:v>
                </c:pt>
                <c:pt idx="84" formatCode="General">
                  <c:v>#N/A</c:v>
                </c:pt>
                <c:pt idx="85" formatCode="General">
                  <c:v>#N/A</c:v>
                </c:pt>
                <c:pt idx="86" formatCode="General">
                  <c:v>#N/A</c:v>
                </c:pt>
                <c:pt idx="87" formatCode="General">
                  <c:v>#N/A</c:v>
                </c:pt>
                <c:pt idx="88" formatCode="General">
                  <c:v>#N/A</c:v>
                </c:pt>
                <c:pt idx="89" formatCode="General">
                  <c:v>#N/A</c:v>
                </c:pt>
                <c:pt idx="90" formatCode="General">
                  <c:v>#N/A</c:v>
                </c:pt>
                <c:pt idx="91" formatCode="General">
                  <c:v>#N/A</c:v>
                </c:pt>
                <c:pt idx="92" formatCode="General">
                  <c:v>#N/A</c:v>
                </c:pt>
                <c:pt idx="93" formatCode="General">
                  <c:v>#N/A</c:v>
                </c:pt>
                <c:pt idx="94" formatCode="General">
                  <c:v>#N/A</c:v>
                </c:pt>
                <c:pt idx="95" formatCode="General">
                  <c:v>#N/A</c:v>
                </c:pt>
                <c:pt idx="96" formatCode="General">
                  <c:v>#N/A</c:v>
                </c:pt>
                <c:pt idx="97" formatCode="General">
                  <c:v>#N/A</c:v>
                </c:pt>
                <c:pt idx="98" formatCode="General">
                  <c:v>#N/A</c:v>
                </c:pt>
                <c:pt idx="99" formatCode="General">
                  <c:v>#N/A</c:v>
                </c:pt>
              </c:numCache>
            </c:numRef>
          </c:cat>
          <c:val>
            <c:numRef>
              <c:f>'Annual Amort. Sch.'!$S$17:$S$116</c:f>
              <c:numCache>
                <c:formatCode>_("$"* #,##0.00_);_("$"* \(#,##0.00\);_("$"* "-"??_);_(@_)</c:formatCode>
                <c:ptCount val="100"/>
                <c:pt idx="0">
                  <c:v>16430</c:v>
                </c:pt>
                <c:pt idx="1">
                  <c:v>20533</c:v>
                </c:pt>
                <c:pt idx="2">
                  <c:v>17099.59</c:v>
                </c:pt>
                <c:pt idx="3">
                  <c:v>17580.1777</c:v>
                </c:pt>
                <c:pt idx="4">
                  <c:v>18075.183031</c:v>
                </c:pt>
                <c:pt idx="5">
                  <c:v>18585.038521930004</c:v>
                </c:pt>
                <c:pt idx="6">
                  <c:v>18120.189677587903</c:v>
                </c:pt>
                <c:pt idx="7">
                  <c:v>30571.095367915543</c:v>
                </c:pt>
                <c:pt idx="8">
                  <c:v>22128.228228953009</c:v>
                </c:pt>
                <c:pt idx="9">
                  <c:v>49702.075075821602</c:v>
                </c:pt>
                <c:pt idx="10">
                  <c:v>20293.137328096243</c:v>
                </c:pt>
                <c:pt idx="11">
                  <c:v>20901.931447939132</c:v>
                </c:pt>
                <c:pt idx="12">
                  <c:v>21528.989391377305</c:v>
                </c:pt>
                <c:pt idx="13">
                  <c:v>22174.859073118627</c:v>
                </c:pt>
                <c:pt idx="14">
                  <c:v>22840.104845312188</c:v>
                </c:pt>
                <c:pt idx="15">
                  <c:v>23525.307990671554</c:v>
                </c:pt>
                <c:pt idx="16">
                  <c:v>24231.067230391702</c:v>
                </c:pt>
                <c:pt idx="17">
                  <c:v>24957.999247303454</c:v>
                </c:pt>
                <c:pt idx="18">
                  <c:v>25706.739224722558</c:v>
                </c:pt>
                <c:pt idx="19">
                  <c:v>26477.941401464235</c:v>
                </c:pt>
                <c:pt idx="20">
                  <c:v>27272.279643508162</c:v>
                </c:pt>
                <c:pt idx="21">
                  <c:v>28090.448032813409</c:v>
                </c:pt>
                <c:pt idx="22">
                  <c:v>28933.161473797813</c:v>
                </c:pt>
                <c:pt idx="23">
                  <c:v>29801.156318011748</c:v>
                </c:pt>
                <c:pt idx="24">
                  <c:v>30695.191007552105</c:v>
                </c:pt>
                <c:pt idx="25">
                  <c:v>31616.04673777867</c:v>
                </c:pt>
                <c:pt idx="26">
                  <c:v>32564.528139912029</c:v>
                </c:pt>
                <c:pt idx="27">
                  <c:v>33541.463984109389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0-D002-4449-821C-75849CF22B7B}"/>
            </c:ext>
          </c:extLst>
        </c:ser>
        <c:dLbls>
          <c:showLegendKey val="0"/>
          <c:showVal val="0"/>
          <c:showCatName val="0"/>
          <c:showSerName val="0"/>
          <c:showPercent val="0"/>
          <c:showBubbleSize val="0"/>
        </c:dLbls>
        <c:marker val="1"/>
        <c:smooth val="0"/>
        <c:axId val="217815383"/>
        <c:axId val="217813223"/>
      </c:lineChart>
      <c:dateAx>
        <c:axId val="825020568"/>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5020928"/>
        <c:crosses val="autoZero"/>
        <c:auto val="0"/>
        <c:lblOffset val="100"/>
        <c:baseTimeUnit val="days"/>
      </c:dateAx>
      <c:valAx>
        <c:axId val="825020928"/>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Cumulative</a:t>
                </a:r>
                <a:r>
                  <a:rPr lang="en-US" baseline="0"/>
                  <a:t> Indirect Housing Expenses ($)</a:t>
                </a:r>
                <a:endParaRPr lang="en-US"/>
              </a:p>
            </c:rich>
          </c:tx>
          <c:layout>
            <c:manualLayout>
              <c:xMode val="edge"/>
              <c:yMode val="edge"/>
              <c:x val="2.4552148828553184E-2"/>
              <c:y val="0.10147765717673471"/>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5020568"/>
        <c:crosses val="autoZero"/>
        <c:crossBetween val="between"/>
      </c:valAx>
      <c:valAx>
        <c:axId val="217813223"/>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Annual Indirect Housing Expenses ($)</a:t>
                </a:r>
              </a:p>
            </c:rich>
          </c:tx>
          <c:layout>
            <c:manualLayout>
              <c:xMode val="edge"/>
              <c:yMode val="edge"/>
              <c:x val="0.94760833501417818"/>
              <c:y val="0.17038507490652285"/>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_(&quot;$&quot;* #,##0_);_(&quot;$&quot;* \(#,##0\);_(&quot;$&quot;* &quot;-&quot;_);_(@_)" sourceLinked="0"/>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17815383"/>
        <c:crosses val="max"/>
        <c:crossBetween val="between"/>
      </c:valAx>
      <c:catAx>
        <c:axId val="217815383"/>
        <c:scaling>
          <c:orientation val="minMax"/>
        </c:scaling>
        <c:delete val="1"/>
        <c:axPos val="b"/>
        <c:numFmt formatCode="0" sourceLinked="1"/>
        <c:majorTickMark val="out"/>
        <c:minorTickMark val="none"/>
        <c:tickLblPos val="nextTo"/>
        <c:crossAx val="217813223"/>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Projected</a:t>
            </a:r>
            <a:r>
              <a:rPr lang="en-US" baseline="0"/>
              <a:t> Home Value</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'Annual Amort. Sch.'!$T$16</c:f>
              <c:strCache>
                <c:ptCount val="1"/>
                <c:pt idx="0">
                  <c:v>Est. Home Value (EOY) Visual</c:v>
                </c:pt>
              </c:strCache>
            </c:strRef>
          </c:tx>
          <c:spPr>
            <a:solidFill>
              <a:schemeClr val="tx2">
                <a:lumMod val="75000"/>
              </a:schemeClr>
            </a:solidFill>
            <a:ln>
              <a:noFill/>
            </a:ln>
            <a:effectLst/>
          </c:spPr>
          <c:invertIfNegative val="0"/>
          <c:cat>
            <c:numRef>
              <c:f>'Annual Amort. Sch.'!$L$17:$L$56</c:f>
              <c:numCache>
                <c:formatCode>0</c:formatCode>
                <c:ptCount val="4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numCache>
            </c:numRef>
          </c:cat>
          <c:val>
            <c:numRef>
              <c:f>'Annual Amort. Sch.'!$T$17:$T$116</c:f>
              <c:numCache>
                <c:formatCode>_("$"* #,##0.00_);_("$"* \(#,##0.00\);_("$"* "-"??_);_(@_)</c:formatCode>
                <c:ptCount val="100"/>
                <c:pt idx="0">
                  <c:v>600000</c:v>
                </c:pt>
                <c:pt idx="1">
                  <c:v>621000</c:v>
                </c:pt>
                <c:pt idx="2">
                  <c:v>642735</c:v>
                </c:pt>
                <c:pt idx="3">
                  <c:v>665230.72499999998</c:v>
                </c:pt>
                <c:pt idx="4">
                  <c:v>688513.80037499988</c:v>
                </c:pt>
                <c:pt idx="5">
                  <c:v>712611.78338812478</c:v>
                </c:pt>
                <c:pt idx="6">
                  <c:v>737553.19580670912</c:v>
                </c:pt>
                <c:pt idx="7">
                  <c:v>763367.55765994382</c:v>
                </c:pt>
                <c:pt idx="8">
                  <c:v>790085.42217804177</c:v>
                </c:pt>
                <c:pt idx="9">
                  <c:v>817738.41195427312</c:v>
                </c:pt>
                <c:pt idx="10">
                  <c:v>846359.25637267262</c:v>
                </c:pt>
                <c:pt idx="11">
                  <c:v>875981.83034571609</c:v>
                </c:pt>
                <c:pt idx="12">
                  <c:v>906641.19440781604</c:v>
                </c:pt>
                <c:pt idx="13">
                  <c:v>938373.63621208956</c:v>
                </c:pt>
                <c:pt idx="14">
                  <c:v>971216.7134795126</c:v>
                </c:pt>
                <c:pt idx="15">
                  <c:v>1005209.2984512955</c:v>
                </c:pt>
                <c:pt idx="16">
                  <c:v>1040391.6238970908</c:v>
                </c:pt>
                <c:pt idx="17">
                  <c:v>1076805.3307334888</c:v>
                </c:pt>
                <c:pt idx="18">
                  <c:v>1114493.5173091609</c:v>
                </c:pt>
                <c:pt idx="19">
                  <c:v>1153500.7904149815</c:v>
                </c:pt>
                <c:pt idx="20">
                  <c:v>1193873.3180795058</c:v>
                </c:pt>
                <c:pt idx="21">
                  <c:v>1235658.8842122883</c:v>
                </c:pt>
                <c:pt idx="22">
                  <c:v>1278906.9451597184</c:v>
                </c:pt>
                <c:pt idx="23">
                  <c:v>1323668.6882403085</c:v>
                </c:pt>
                <c:pt idx="24">
                  <c:v>1369997.0923287193</c:v>
                </c:pt>
                <c:pt idx="25">
                  <c:v>1417946.9905602243</c:v>
                </c:pt>
                <c:pt idx="26">
                  <c:v>1467575.135229832</c:v>
                </c:pt>
                <c:pt idx="27">
                  <c:v>1518940.264962876</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extLst>
            <c:ext xmlns:c16="http://schemas.microsoft.com/office/drawing/2014/chart" uri="{C3380CC4-5D6E-409C-BE32-E72D297353CC}">
              <c16:uniqueId val="{00000000-D6A0-452E-A062-E51825D2CDD6}"/>
            </c:ext>
          </c:extLst>
        </c:ser>
        <c:dLbls>
          <c:showLegendKey val="0"/>
          <c:showVal val="0"/>
          <c:showCatName val="0"/>
          <c:showSerName val="0"/>
          <c:showPercent val="0"/>
          <c:showBubbleSize val="0"/>
        </c:dLbls>
        <c:gapWidth val="65"/>
        <c:axId val="825020568"/>
        <c:axId val="825020928"/>
      </c:barChart>
      <c:dateAx>
        <c:axId val="825020568"/>
        <c:scaling>
          <c:orientation val="minMax"/>
        </c:scaling>
        <c:delete val="0"/>
        <c:axPos val="b"/>
        <c:numFmt formatCode="0"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5020928"/>
        <c:crosses val="autoZero"/>
        <c:auto val="0"/>
        <c:lblOffset val="100"/>
        <c:baseTimeUnit val="days"/>
      </c:dateAx>
      <c:valAx>
        <c:axId val="82502092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50205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Difference</a:t>
            </a:r>
            <a:r>
              <a:rPr lang="en-US" baseline="0"/>
              <a:t> in Funds Available YoY: Rent vs. Buy</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'Difference in Expenses'!$O$17</c:f>
              <c:strCache>
                <c:ptCount val="1"/>
                <c:pt idx="0">
                  <c:v>Buy, Instead of Rent Visual</c:v>
                </c:pt>
              </c:strCache>
            </c:strRef>
          </c:tx>
          <c:spPr>
            <a:ln w="28575" cap="rnd">
              <a:solidFill>
                <a:schemeClr val="tx2"/>
              </a:solidFill>
              <a:round/>
            </a:ln>
            <a:effectLst/>
          </c:spPr>
          <c:marker>
            <c:symbol val="none"/>
          </c:marker>
          <c:cat>
            <c:numRef>
              <c:f>'Difference in Expenses'!$N$18:$N$117</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pt idx="29">
                  <c:v>2051</c:v>
                </c:pt>
                <c:pt idx="30">
                  <c:v>2052</c:v>
                </c:pt>
                <c:pt idx="31">
                  <c:v>2053</c:v>
                </c:pt>
                <c:pt idx="32">
                  <c:v>2054</c:v>
                </c:pt>
                <c:pt idx="33">
                  <c:v>2055</c:v>
                </c:pt>
                <c:pt idx="34">
                  <c:v>2056</c:v>
                </c:pt>
                <c:pt idx="35">
                  <c:v>2057</c:v>
                </c:pt>
                <c:pt idx="36">
                  <c:v>2058</c:v>
                </c:pt>
                <c:pt idx="37">
                  <c:v>2059</c:v>
                </c:pt>
                <c:pt idx="38">
                  <c:v>2060</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'Difference in Expenses'!$O$18:$O$117</c:f>
              <c:numCache>
                <c:formatCode>_("$"* #,##0.00_);_("$"* \(#,##0.00\);_("$"* "-"??_);_(@_)</c:formatCode>
                <c:ptCount val="100"/>
                <c:pt idx="0">
                  <c:v>0</c:v>
                </c:pt>
                <c:pt idx="1">
                  <c:v>0</c:v>
                </c:pt>
                <c:pt idx="2">
                  <c:v>0</c:v>
                </c:pt>
                <c:pt idx="3">
                  <c:v>0</c:v>
                </c:pt>
                <c:pt idx="4">
                  <c:v>0</c:v>
                </c:pt>
                <c:pt idx="5">
                  <c:v>0</c:v>
                </c:pt>
                <c:pt idx="6">
                  <c:v>0</c:v>
                </c:pt>
                <c:pt idx="7">
                  <c:v>0</c:v>
                </c:pt>
                <c:pt idx="8">
                  <c:v>0</c:v>
                </c:pt>
                <c:pt idx="9">
                  <c:v>0</c:v>
                </c:pt>
                <c:pt idx="10">
                  <c:v>0</c:v>
                </c:pt>
                <c:pt idx="11">
                  <c:v>0</c:v>
                </c:pt>
                <c:pt idx="12">
                  <c:v>0</c:v>
                </c:pt>
                <c:pt idx="13">
                  <c:v>567.46924449446669</c:v>
                </c:pt>
                <c:pt idx="14">
                  <c:v>2299.9293228278621</c:v>
                </c:pt>
                <c:pt idx="15">
                  <c:v>4108.3402620165361</c:v>
                </c:pt>
                <c:pt idx="16">
                  <c:v>5995.9396702263548</c:v>
                </c:pt>
                <c:pt idx="17">
                  <c:v>7966.1006471617729</c:v>
                </c:pt>
                <c:pt idx="18">
                  <c:v>10022.337383343707</c:v>
                </c:pt>
                <c:pt idx="19">
                  <c:v>12168.310988747122</c:v>
                </c:pt>
                <c:pt idx="20">
                  <c:v>14407.835560134095</c:v>
                </c:pt>
                <c:pt idx="21">
                  <c:v>16744.884496796978</c:v>
                </c:pt>
                <c:pt idx="22">
                  <c:v>19183.597074819423</c:v>
                </c:pt>
                <c:pt idx="23">
                  <c:v>21728.285290372616</c:v>
                </c:pt>
                <c:pt idx="24">
                  <c:v>24383.440982990083</c:v>
                </c:pt>
                <c:pt idx="25">
                  <c:v>27153.743250207626</c:v>
                </c:pt>
                <c:pt idx="26">
                  <c:v>30044.066165416167</c:v>
                </c:pt>
                <c:pt idx="27">
                  <c:v>64059.751765888454</c:v>
                </c:pt>
                <c:pt idx="28">
                  <c:v>73405.611586928964</c:v>
                </c:pt>
                <c:pt idx="29">
                  <c:v>76687.313129442453</c:v>
                </c:pt>
                <c:pt idx="30">
                  <c:v>80110.64704602756</c:v>
                </c:pt>
                <c:pt idx="31">
                  <c:v>83681.589561018307</c:v>
                </c:pt>
                <c:pt idx="32">
                  <c:v>87406.365275603166</c:v>
                </c:pt>
                <c:pt idx="33">
                  <c:v>91291.457382735767</c:v>
                </c:pt>
                <c:pt idx="34">
                  <c:v>95343.618299036898</c:v>
                </c:pt>
                <c:pt idx="35">
                  <c:v>99569.880730619843</c:v>
                </c:pt>
                <c:pt idx="36">
                  <c:v>103977.56919045474</c:v>
                </c:pt>
                <c:pt idx="37">
                  <c:v>108574.31198560134</c:v>
                </c:pt>
                <c:pt idx="38">
                  <c:v>113368.05369337965</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0-EEED-4CEA-A304-A130776A3384}"/>
            </c:ext>
          </c:extLst>
        </c:ser>
        <c:ser>
          <c:idx val="1"/>
          <c:order val="1"/>
          <c:tx>
            <c:strRef>
              <c:f>'Difference in Expenses'!$P$17</c:f>
              <c:strCache>
                <c:ptCount val="1"/>
                <c:pt idx="0">
                  <c:v>Rent, Instead of Buy Visual</c:v>
                </c:pt>
              </c:strCache>
            </c:strRef>
          </c:tx>
          <c:spPr>
            <a:ln w="28575" cap="rnd">
              <a:solidFill>
                <a:schemeClr val="accent4">
                  <a:lumMod val="75000"/>
                </a:schemeClr>
              </a:solidFill>
              <a:round/>
            </a:ln>
            <a:effectLst/>
          </c:spPr>
          <c:marker>
            <c:symbol val="none"/>
          </c:marker>
          <c:dPt>
            <c:idx val="4"/>
            <c:marker>
              <c:symbol val="none"/>
            </c:marker>
            <c:bubble3D val="0"/>
            <c:extLst>
              <c:ext xmlns:c16="http://schemas.microsoft.com/office/drawing/2014/chart" uri="{C3380CC4-5D6E-409C-BE32-E72D297353CC}">
                <c16:uniqueId val="{00000000-08DE-4AB5-9381-85C3FA9BE0FB}"/>
              </c:ext>
            </c:extLst>
          </c:dPt>
          <c:cat>
            <c:numRef>
              <c:f>'Difference in Expenses'!$N$18:$N$117</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pt idx="29">
                  <c:v>2051</c:v>
                </c:pt>
                <c:pt idx="30">
                  <c:v>2052</c:v>
                </c:pt>
                <c:pt idx="31">
                  <c:v>2053</c:v>
                </c:pt>
                <c:pt idx="32">
                  <c:v>2054</c:v>
                </c:pt>
                <c:pt idx="33">
                  <c:v>2055</c:v>
                </c:pt>
                <c:pt idx="34">
                  <c:v>2056</c:v>
                </c:pt>
                <c:pt idx="35">
                  <c:v>2057</c:v>
                </c:pt>
                <c:pt idx="36">
                  <c:v>2058</c:v>
                </c:pt>
                <c:pt idx="37">
                  <c:v>2059</c:v>
                </c:pt>
                <c:pt idx="38">
                  <c:v>2060</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'Difference in Expenses'!$P$18:$P$117</c:f>
              <c:numCache>
                <c:formatCode>_("$"* #,##0.00_);_("$"* \(#,##0.00\);_("$"* "-"??_);_(@_)</c:formatCode>
                <c:ptCount val="100"/>
                <c:pt idx="0">
                  <c:v>88705.317945560906</c:v>
                </c:pt>
                <c:pt idx="1">
                  <c:v>20293.317945560899</c:v>
                </c:pt>
                <c:pt idx="2">
                  <c:v>15362.307945560889</c:v>
                </c:pt>
                <c:pt idx="3">
                  <c:v>14285.3916455609</c:v>
                </c:pt>
                <c:pt idx="4">
                  <c:v>13160.592816560893</c:v>
                </c:pt>
                <c:pt idx="5">
                  <c:v>11985.851981090898</c:v>
                </c:pt>
                <c:pt idx="6">
                  <c:v>9769.0229572928001</c:v>
                </c:pt>
                <c:pt idx="7">
                  <c:v>20397.869260986183</c:v>
                </c:pt>
                <c:pt idx="8">
                  <c:v>10060.060359924049</c:v>
                </c:pt>
                <c:pt idx="9">
                  <c:v>35663.167774209054</c:v>
                </c:pt>
                <c:pt idx="10">
                  <c:v>4204.6610165967431</c:v>
                </c:pt>
                <c:pt idx="11">
                  <c:v>2681.9033661572248</c:v>
                </c:pt>
                <c:pt idx="12">
                  <c:v>1092.1474685016801</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1-EEED-4CEA-A304-A130776A3384}"/>
            </c:ext>
          </c:extLst>
        </c:ser>
        <c:dLbls>
          <c:showLegendKey val="0"/>
          <c:showVal val="0"/>
          <c:showCatName val="0"/>
          <c:showSerName val="0"/>
          <c:showPercent val="0"/>
          <c:showBubbleSize val="0"/>
        </c:dLbls>
        <c:smooth val="0"/>
        <c:axId val="1299246768"/>
        <c:axId val="1299247488"/>
      </c:lineChart>
      <c:dateAx>
        <c:axId val="1299246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9247488"/>
        <c:crosses val="autoZero"/>
        <c:auto val="0"/>
        <c:lblOffset val="0"/>
        <c:baseTimeUnit val="days"/>
        <c:majorUnit val="2"/>
      </c:dateAx>
      <c:valAx>
        <c:axId val="129924748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9246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Annual Housing Expenses: Rent vs.</a:t>
            </a:r>
            <a:r>
              <a:rPr lang="en-US" baseline="0"/>
              <a:t> Buy</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'Difference in Expenses'!$Q$17</c:f>
              <c:strCache>
                <c:ptCount val="1"/>
                <c:pt idx="0">
                  <c:v>Total Annual Direct Housing Expenses Visual</c:v>
                </c:pt>
              </c:strCache>
            </c:strRef>
          </c:tx>
          <c:spPr>
            <a:solidFill>
              <a:schemeClr val="tx2"/>
            </a:solidFill>
            <a:ln>
              <a:solidFill>
                <a:schemeClr val="tx2"/>
              </a:solidFill>
            </a:ln>
            <a:effectLst/>
          </c:spPr>
          <c:invertIfNegative val="0"/>
          <c:cat>
            <c:numRef>
              <c:f>'Difference in Expenses'!$N$18:$N$117</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pt idx="29">
                  <c:v>2051</c:v>
                </c:pt>
                <c:pt idx="30">
                  <c:v>2052</c:v>
                </c:pt>
                <c:pt idx="31">
                  <c:v>2053</c:v>
                </c:pt>
                <c:pt idx="32">
                  <c:v>2054</c:v>
                </c:pt>
                <c:pt idx="33">
                  <c:v>2055</c:v>
                </c:pt>
                <c:pt idx="34">
                  <c:v>2056</c:v>
                </c:pt>
                <c:pt idx="35">
                  <c:v>2057</c:v>
                </c:pt>
                <c:pt idx="36">
                  <c:v>2058</c:v>
                </c:pt>
                <c:pt idx="37">
                  <c:v>2059</c:v>
                </c:pt>
                <c:pt idx="38">
                  <c:v>2060</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'Difference in Expenses'!$Q$18:$Q$117</c:f>
              <c:numCache>
                <c:formatCode>_("$"* #,##0.00_);_("$"* \(#,##0.00\);_("$"* "-"??_);_(@_)</c:formatCode>
                <c:ptCount val="100"/>
                <c:pt idx="0">
                  <c:v>37200.317945560899</c:v>
                </c:pt>
                <c:pt idx="1">
                  <c:v>37200.317945560899</c:v>
                </c:pt>
                <c:pt idx="2">
                  <c:v>37200.317945560892</c:v>
                </c:pt>
                <c:pt idx="3">
                  <c:v>37200.317945560899</c:v>
                </c:pt>
                <c:pt idx="4">
                  <c:v>37200.317945560892</c:v>
                </c:pt>
                <c:pt idx="5">
                  <c:v>37200.317945560899</c:v>
                </c:pt>
                <c:pt idx="6">
                  <c:v>37200.317945560899</c:v>
                </c:pt>
                <c:pt idx="7">
                  <c:v>37200.317945560892</c:v>
                </c:pt>
                <c:pt idx="8">
                  <c:v>37200.317945560892</c:v>
                </c:pt>
                <c:pt idx="9">
                  <c:v>37200.317945560899</c:v>
                </c:pt>
                <c:pt idx="10">
                  <c:v>37200.317945560892</c:v>
                </c:pt>
                <c:pt idx="11">
                  <c:v>37200.317945560899</c:v>
                </c:pt>
                <c:pt idx="12">
                  <c:v>37200.317945560899</c:v>
                </c:pt>
                <c:pt idx="13">
                  <c:v>37200.317945560892</c:v>
                </c:pt>
                <c:pt idx="14">
                  <c:v>37200.317945560892</c:v>
                </c:pt>
                <c:pt idx="15">
                  <c:v>37200.317945560899</c:v>
                </c:pt>
                <c:pt idx="16">
                  <c:v>37200.317945560892</c:v>
                </c:pt>
                <c:pt idx="17">
                  <c:v>37200.317945560892</c:v>
                </c:pt>
                <c:pt idx="18">
                  <c:v>37200.317945560899</c:v>
                </c:pt>
                <c:pt idx="19">
                  <c:v>37200.317945560899</c:v>
                </c:pt>
                <c:pt idx="20">
                  <c:v>37200.317945560892</c:v>
                </c:pt>
                <c:pt idx="21">
                  <c:v>37200.317945560892</c:v>
                </c:pt>
                <c:pt idx="22">
                  <c:v>37200.317945560906</c:v>
                </c:pt>
                <c:pt idx="23">
                  <c:v>37200.317945560892</c:v>
                </c:pt>
                <c:pt idx="24">
                  <c:v>37200.317945560892</c:v>
                </c:pt>
                <c:pt idx="25">
                  <c:v>37200.317945560899</c:v>
                </c:pt>
                <c:pt idx="26">
                  <c:v>37200.317945560892</c:v>
                </c:pt>
                <c:pt idx="27">
                  <c:v>6200.0529909268162</c:v>
                </c:pt>
                <c:pt idx="28">
                  <c:v>0</c:v>
                </c:pt>
                <c:pt idx="29">
                  <c:v>0</c:v>
                </c:pt>
                <c:pt idx="30">
                  <c:v>0</c:v>
                </c:pt>
                <c:pt idx="31">
                  <c:v>0</c:v>
                </c:pt>
                <c:pt idx="32">
                  <c:v>0</c:v>
                </c:pt>
                <c:pt idx="33">
                  <c:v>0</c:v>
                </c:pt>
                <c:pt idx="34">
                  <c:v>0</c:v>
                </c:pt>
                <c:pt idx="35">
                  <c:v>0</c:v>
                </c:pt>
                <c:pt idx="36">
                  <c:v>0</c:v>
                </c:pt>
                <c:pt idx="37">
                  <c:v>0</c:v>
                </c:pt>
                <c:pt idx="38">
                  <c:v>0</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extLst>
            <c:ext xmlns:c16="http://schemas.microsoft.com/office/drawing/2014/chart" uri="{C3380CC4-5D6E-409C-BE32-E72D297353CC}">
              <c16:uniqueId val="{00000000-DE0E-4B80-9FF3-86294CE46F76}"/>
            </c:ext>
          </c:extLst>
        </c:ser>
        <c:ser>
          <c:idx val="1"/>
          <c:order val="1"/>
          <c:tx>
            <c:strRef>
              <c:f>'Difference in Expenses'!$R$17</c:f>
              <c:strCache>
                <c:ptCount val="1"/>
                <c:pt idx="0">
                  <c:v>Total Annual Indirect Housing Expenses Visual</c:v>
                </c:pt>
              </c:strCache>
            </c:strRef>
          </c:tx>
          <c:spPr>
            <a:solidFill>
              <a:schemeClr val="accent4">
                <a:lumMod val="75000"/>
              </a:schemeClr>
            </a:solidFill>
            <a:ln>
              <a:solidFill>
                <a:schemeClr val="accent4">
                  <a:lumMod val="75000"/>
                </a:schemeClr>
              </a:solidFill>
            </a:ln>
            <a:effectLst/>
          </c:spPr>
          <c:invertIfNegative val="0"/>
          <c:cat>
            <c:numRef>
              <c:f>'Difference in Expenses'!$N$18:$N$117</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pt idx="29">
                  <c:v>2051</c:v>
                </c:pt>
                <c:pt idx="30">
                  <c:v>2052</c:v>
                </c:pt>
                <c:pt idx="31">
                  <c:v>2053</c:v>
                </c:pt>
                <c:pt idx="32">
                  <c:v>2054</c:v>
                </c:pt>
                <c:pt idx="33">
                  <c:v>2055</c:v>
                </c:pt>
                <c:pt idx="34">
                  <c:v>2056</c:v>
                </c:pt>
                <c:pt idx="35">
                  <c:v>2057</c:v>
                </c:pt>
                <c:pt idx="36">
                  <c:v>2058</c:v>
                </c:pt>
                <c:pt idx="37">
                  <c:v>2059</c:v>
                </c:pt>
                <c:pt idx="38">
                  <c:v>2060</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'Difference in Expenses'!$R$18:$R$117</c:f>
              <c:numCache>
                <c:formatCode>_("$"* #,##0.00_);_("$"* \(#,##0.00\);_("$"* "-"??_);_(@_)</c:formatCode>
                <c:ptCount val="100"/>
                <c:pt idx="0">
                  <c:v>16430</c:v>
                </c:pt>
                <c:pt idx="1">
                  <c:v>20533</c:v>
                </c:pt>
                <c:pt idx="2">
                  <c:v>17099.59</c:v>
                </c:pt>
                <c:pt idx="3">
                  <c:v>17580.1777</c:v>
                </c:pt>
                <c:pt idx="4">
                  <c:v>18075.183031</c:v>
                </c:pt>
                <c:pt idx="5">
                  <c:v>18585.038521930004</c:v>
                </c:pt>
                <c:pt idx="6">
                  <c:v>18120.189677587903</c:v>
                </c:pt>
                <c:pt idx="7">
                  <c:v>30571.095367915543</c:v>
                </c:pt>
                <c:pt idx="8">
                  <c:v>22128.228228953009</c:v>
                </c:pt>
                <c:pt idx="9">
                  <c:v>49702.075075821602</c:v>
                </c:pt>
                <c:pt idx="10">
                  <c:v>20293.137328096243</c:v>
                </c:pt>
                <c:pt idx="11">
                  <c:v>20901.931447939132</c:v>
                </c:pt>
                <c:pt idx="12">
                  <c:v>21528.989391377305</c:v>
                </c:pt>
                <c:pt idx="13">
                  <c:v>22174.859073118627</c:v>
                </c:pt>
                <c:pt idx="14">
                  <c:v>22840.104845312188</c:v>
                </c:pt>
                <c:pt idx="15">
                  <c:v>23525.307990671554</c:v>
                </c:pt>
                <c:pt idx="16">
                  <c:v>24231.067230391702</c:v>
                </c:pt>
                <c:pt idx="17">
                  <c:v>24957.999247303454</c:v>
                </c:pt>
                <c:pt idx="18">
                  <c:v>25706.739224722558</c:v>
                </c:pt>
                <c:pt idx="19">
                  <c:v>26477.941401464235</c:v>
                </c:pt>
                <c:pt idx="20">
                  <c:v>27272.279643508162</c:v>
                </c:pt>
                <c:pt idx="21">
                  <c:v>28090.448032813409</c:v>
                </c:pt>
                <c:pt idx="22">
                  <c:v>28933.161473797813</c:v>
                </c:pt>
                <c:pt idx="23">
                  <c:v>29801.156318011748</c:v>
                </c:pt>
                <c:pt idx="24">
                  <c:v>30695.191007552105</c:v>
                </c:pt>
                <c:pt idx="25">
                  <c:v>31616.04673777867</c:v>
                </c:pt>
                <c:pt idx="26">
                  <c:v>32564.528139912029</c:v>
                </c:pt>
                <c:pt idx="27">
                  <c:v>33541.463984109389</c:v>
                </c:pt>
                <c:pt idx="28">
                  <c:v>34547.707903632676</c:v>
                </c:pt>
                <c:pt idx="29">
                  <c:v>35584.139140741652</c:v>
                </c:pt>
                <c:pt idx="30">
                  <c:v>36651.663314963902</c:v>
                </c:pt>
                <c:pt idx="31">
                  <c:v>37751.213214412826</c:v>
                </c:pt>
                <c:pt idx="32">
                  <c:v>38883.749610845211</c:v>
                </c:pt>
                <c:pt idx="33">
                  <c:v>40050.262099170563</c:v>
                </c:pt>
                <c:pt idx="34">
                  <c:v>41251.769962145685</c:v>
                </c:pt>
                <c:pt idx="35">
                  <c:v>42489.323061010058</c:v>
                </c:pt>
                <c:pt idx="36">
                  <c:v>43764.002752840359</c:v>
                </c:pt>
                <c:pt idx="37">
                  <c:v>45076.922835425576</c:v>
                </c:pt>
                <c:pt idx="38">
                  <c:v>46429.230520488345</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extLst>
            <c:ext xmlns:c16="http://schemas.microsoft.com/office/drawing/2014/chart" uri="{C3380CC4-5D6E-409C-BE32-E72D297353CC}">
              <c16:uniqueId val="{00000001-DE0E-4B80-9FF3-86294CE46F76}"/>
            </c:ext>
          </c:extLst>
        </c:ser>
        <c:dLbls>
          <c:showLegendKey val="0"/>
          <c:showVal val="0"/>
          <c:showCatName val="0"/>
          <c:showSerName val="0"/>
          <c:showPercent val="0"/>
          <c:showBubbleSize val="0"/>
        </c:dLbls>
        <c:gapWidth val="65"/>
        <c:overlap val="100"/>
        <c:axId val="1299246768"/>
        <c:axId val="1299247488"/>
      </c:barChart>
      <c:lineChart>
        <c:grouping val="standard"/>
        <c:varyColors val="0"/>
        <c:ser>
          <c:idx val="2"/>
          <c:order val="2"/>
          <c:tx>
            <c:strRef>
              <c:f>'Difference in Expenses'!$S$17</c:f>
              <c:strCache>
                <c:ptCount val="1"/>
                <c:pt idx="0">
                  <c:v>Total Annual Rental Expenses Visual</c:v>
                </c:pt>
              </c:strCache>
            </c:strRef>
          </c:tx>
          <c:spPr>
            <a:ln w="28575" cap="rnd">
              <a:solidFill>
                <a:schemeClr val="accent3"/>
              </a:solidFill>
              <a:round/>
            </a:ln>
            <a:effectLst/>
          </c:spPr>
          <c:marker>
            <c:symbol val="none"/>
          </c:marker>
          <c:val>
            <c:numRef>
              <c:f>'Difference in Expenses'!$S$18:$S$117</c:f>
              <c:numCache>
                <c:formatCode>_("$"* #,##0.00_);_("$"* \(#,##0.00\);_("$"* "-"??_);_(@_)</c:formatCode>
                <c:ptCount val="100"/>
                <c:pt idx="0">
                  <c:v>36000</c:v>
                </c:pt>
                <c:pt idx="1">
                  <c:v>37440</c:v>
                </c:pt>
                <c:pt idx="2">
                  <c:v>38937.599999999999</c:v>
                </c:pt>
                <c:pt idx="3">
                  <c:v>40495.103999999999</c:v>
                </c:pt>
                <c:pt idx="4">
                  <c:v>42114.908159999999</c:v>
                </c:pt>
                <c:pt idx="5">
                  <c:v>43799.504486400001</c:v>
                </c:pt>
                <c:pt idx="6">
                  <c:v>45551.484665856005</c:v>
                </c:pt>
                <c:pt idx="7">
                  <c:v>47373.544052490244</c:v>
                </c:pt>
                <c:pt idx="8">
                  <c:v>49268.485814589854</c:v>
                </c:pt>
                <c:pt idx="9">
                  <c:v>51239.225247173454</c:v>
                </c:pt>
                <c:pt idx="10">
                  <c:v>53288.794257060392</c:v>
                </c:pt>
                <c:pt idx="11">
                  <c:v>55420.346027342806</c:v>
                </c:pt>
                <c:pt idx="12">
                  <c:v>57637.159868436524</c:v>
                </c:pt>
                <c:pt idx="13">
                  <c:v>59942.646263173985</c:v>
                </c:pt>
                <c:pt idx="14">
                  <c:v>62340.352113700945</c:v>
                </c:pt>
                <c:pt idx="15">
                  <c:v>64833.966198248985</c:v>
                </c:pt>
                <c:pt idx="16">
                  <c:v>67427.324846178948</c:v>
                </c:pt>
                <c:pt idx="17">
                  <c:v>70124.417840026115</c:v>
                </c:pt>
                <c:pt idx="18">
                  <c:v>72929.394553627164</c:v>
                </c:pt>
                <c:pt idx="19">
                  <c:v>75846.570335772252</c:v>
                </c:pt>
                <c:pt idx="20">
                  <c:v>78880.433149203149</c:v>
                </c:pt>
                <c:pt idx="21">
                  <c:v>82035.650475171278</c:v>
                </c:pt>
                <c:pt idx="22">
                  <c:v>85317.076494178138</c:v>
                </c:pt>
                <c:pt idx="23">
                  <c:v>88729.75955394526</c:v>
                </c:pt>
                <c:pt idx="24">
                  <c:v>92278.949936103076</c:v>
                </c:pt>
                <c:pt idx="25">
                  <c:v>95970.107933547202</c:v>
                </c:pt>
                <c:pt idx="26">
                  <c:v>99808.912250889087</c:v>
                </c:pt>
                <c:pt idx="27">
                  <c:v>103801.26874092466</c:v>
                </c:pt>
                <c:pt idx="28">
                  <c:v>107953.31949056164</c:v>
                </c:pt>
                <c:pt idx="29">
                  <c:v>112271.45227018411</c:v>
                </c:pt>
                <c:pt idx="30">
                  <c:v>116762.31036099147</c:v>
                </c:pt>
                <c:pt idx="31">
                  <c:v>121432.80277543113</c:v>
                </c:pt>
                <c:pt idx="32">
                  <c:v>126290.11488644838</c:v>
                </c:pt>
                <c:pt idx="33">
                  <c:v>131341.71948190633</c:v>
                </c:pt>
                <c:pt idx="34">
                  <c:v>136595.38826118258</c:v>
                </c:pt>
                <c:pt idx="35">
                  <c:v>142059.2037916299</c:v>
                </c:pt>
                <c:pt idx="36">
                  <c:v>147741.5719432951</c:v>
                </c:pt>
                <c:pt idx="37">
                  <c:v>153651.23482102691</c:v>
                </c:pt>
                <c:pt idx="38">
                  <c:v>159797.284213868</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2-DE0E-4B80-9FF3-86294CE46F76}"/>
            </c:ext>
          </c:extLst>
        </c:ser>
        <c:dLbls>
          <c:showLegendKey val="0"/>
          <c:showVal val="0"/>
          <c:showCatName val="0"/>
          <c:showSerName val="0"/>
          <c:showPercent val="0"/>
          <c:showBubbleSize val="0"/>
        </c:dLbls>
        <c:marker val="1"/>
        <c:smooth val="0"/>
        <c:axId val="1299246768"/>
        <c:axId val="1299247488"/>
      </c:lineChart>
      <c:dateAx>
        <c:axId val="1299246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9247488"/>
        <c:crosses val="autoZero"/>
        <c:auto val="0"/>
        <c:lblOffset val="0"/>
        <c:baseTimeUnit val="days"/>
      </c:dateAx>
      <c:valAx>
        <c:axId val="129924748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9246768"/>
        <c:crosses val="autoZero"/>
        <c:crossBetween val="between"/>
      </c:valAx>
      <c:spPr>
        <a:noFill/>
        <a:ln>
          <a:noFill/>
        </a:ln>
        <a:effectLst/>
      </c:spPr>
    </c:plotArea>
    <c:legend>
      <c:legendPos val="b"/>
      <c:layout>
        <c:manualLayout>
          <c:xMode val="edge"/>
          <c:yMode val="edge"/>
          <c:x val="0.12424621681560237"/>
          <c:y val="0.8264289118012681"/>
          <c:w val="0.82977531835714902"/>
          <c:h val="0.13320898154467856"/>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Average Monthly Housing Cost:</a:t>
            </a:r>
            <a:r>
              <a:rPr lang="en-US" baseline="0"/>
              <a:t> Rent vs. Buy</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1"/>
          <c:order val="0"/>
          <c:tx>
            <c:strRef>
              <c:f>'Difference in Expenses'!$U$17</c:f>
              <c:strCache>
                <c:ptCount val="1"/>
                <c:pt idx="0">
                  <c:v>Buying Average Monthly Cost Visual</c:v>
                </c:pt>
              </c:strCache>
            </c:strRef>
          </c:tx>
          <c:spPr>
            <a:ln w="28575" cap="rnd">
              <a:solidFill>
                <a:schemeClr val="tx2"/>
              </a:solidFill>
              <a:round/>
            </a:ln>
            <a:effectLst/>
          </c:spPr>
          <c:marker>
            <c:symbol val="none"/>
          </c:marker>
          <c:cat>
            <c:numRef>
              <c:f>'Difference in Expenses'!$N$18:$N$117</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pt idx="29">
                  <c:v>2051</c:v>
                </c:pt>
                <c:pt idx="30">
                  <c:v>2052</c:v>
                </c:pt>
                <c:pt idx="31">
                  <c:v>2053</c:v>
                </c:pt>
                <c:pt idx="32">
                  <c:v>2054</c:v>
                </c:pt>
                <c:pt idx="33">
                  <c:v>2055</c:v>
                </c:pt>
                <c:pt idx="34">
                  <c:v>2056</c:v>
                </c:pt>
                <c:pt idx="35">
                  <c:v>2057</c:v>
                </c:pt>
                <c:pt idx="36">
                  <c:v>2058</c:v>
                </c:pt>
                <c:pt idx="37">
                  <c:v>2059</c:v>
                </c:pt>
                <c:pt idx="38">
                  <c:v>2060</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'Difference in Expenses'!$U$18:$U$117</c:f>
              <c:numCache>
                <c:formatCode>_("$"* #,##0.00_);_("$"* \(#,##0.00\);_("$"* "-"??_);_(@_)</c:formatCode>
                <c:ptCount val="100"/>
                <c:pt idx="0">
                  <c:v>4469.1931621300746</c:v>
                </c:pt>
                <c:pt idx="1">
                  <c:v>4811.1098287967416</c:v>
                </c:pt>
                <c:pt idx="2">
                  <c:v>4524.9923287967404</c:v>
                </c:pt>
                <c:pt idx="3">
                  <c:v>4565.0413037967419</c:v>
                </c:pt>
                <c:pt idx="4">
                  <c:v>4606.2917480467413</c:v>
                </c:pt>
                <c:pt idx="5">
                  <c:v>4648.7797056242416</c:v>
                </c:pt>
                <c:pt idx="6">
                  <c:v>4610.0423019290674</c:v>
                </c:pt>
                <c:pt idx="7">
                  <c:v>5647.6177761230356</c:v>
                </c:pt>
                <c:pt idx="8">
                  <c:v>4944.045514542825</c:v>
                </c:pt>
                <c:pt idx="9">
                  <c:v>7241.866085115209</c:v>
                </c:pt>
                <c:pt idx="10">
                  <c:v>4791.1212728047612</c:v>
                </c:pt>
                <c:pt idx="11">
                  <c:v>4841.8541161250023</c:v>
                </c:pt>
                <c:pt idx="12">
                  <c:v>4894.1089447448503</c:v>
                </c:pt>
                <c:pt idx="13">
                  <c:v>4947.9314182232929</c:v>
                </c:pt>
                <c:pt idx="14">
                  <c:v>5003.3685659060902</c:v>
                </c:pt>
                <c:pt idx="15">
                  <c:v>5060.4688280193704</c:v>
                </c:pt>
                <c:pt idx="16">
                  <c:v>5119.2820979960497</c:v>
                </c:pt>
                <c:pt idx="17">
                  <c:v>5179.8597660720288</c:v>
                </c:pt>
                <c:pt idx="18">
                  <c:v>5242.2547641902884</c:v>
                </c:pt>
                <c:pt idx="19">
                  <c:v>5306.5216122520942</c:v>
                </c:pt>
                <c:pt idx="20">
                  <c:v>5372.7164657557541</c:v>
                </c:pt>
                <c:pt idx="21">
                  <c:v>5440.8971648645247</c:v>
                </c:pt>
                <c:pt idx="22">
                  <c:v>5511.1232849465596</c:v>
                </c:pt>
                <c:pt idx="23">
                  <c:v>5583.4561886310539</c:v>
                </c:pt>
                <c:pt idx="24">
                  <c:v>5657.959079426083</c:v>
                </c:pt>
                <c:pt idx="25">
                  <c:v>5734.697056944965</c:v>
                </c:pt>
                <c:pt idx="26">
                  <c:v>5813.73717378941</c:v>
                </c:pt>
                <c:pt idx="27">
                  <c:v>3311.7930812530171</c:v>
                </c:pt>
                <c:pt idx="28">
                  <c:v>2878.9756586360563</c:v>
                </c:pt>
                <c:pt idx="29">
                  <c:v>2965.3449283951377</c:v>
                </c:pt>
                <c:pt idx="30">
                  <c:v>3054.305276246992</c:v>
                </c:pt>
                <c:pt idx="31">
                  <c:v>3145.934434534402</c:v>
                </c:pt>
                <c:pt idx="32">
                  <c:v>3240.3124675704344</c:v>
                </c:pt>
                <c:pt idx="33">
                  <c:v>3337.5218415975469</c:v>
                </c:pt>
                <c:pt idx="34">
                  <c:v>3437.6474968454736</c:v>
                </c:pt>
                <c:pt idx="35">
                  <c:v>3540.776921750838</c:v>
                </c:pt>
                <c:pt idx="36">
                  <c:v>3647.0002294033634</c:v>
                </c:pt>
                <c:pt idx="37">
                  <c:v>3756.4102362854646</c:v>
                </c:pt>
                <c:pt idx="38">
                  <c:v>3869.1025433740288</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1-4580-47B1-8591-77B4C3099CB3}"/>
            </c:ext>
          </c:extLst>
        </c:ser>
        <c:ser>
          <c:idx val="2"/>
          <c:order val="1"/>
          <c:tx>
            <c:strRef>
              <c:f>'Difference in Expenses'!$V$17</c:f>
              <c:strCache>
                <c:ptCount val="1"/>
                <c:pt idx="0">
                  <c:v>Renting Average Monthly Cost Visual</c:v>
                </c:pt>
              </c:strCache>
            </c:strRef>
          </c:tx>
          <c:spPr>
            <a:ln w="28575" cap="rnd">
              <a:solidFill>
                <a:schemeClr val="accent3"/>
              </a:solidFill>
              <a:round/>
            </a:ln>
            <a:effectLst/>
          </c:spPr>
          <c:marker>
            <c:symbol val="none"/>
          </c:marker>
          <c:val>
            <c:numRef>
              <c:f>'Difference in Expenses'!$V$18:$V$117</c:f>
              <c:numCache>
                <c:formatCode>_("$"* #,##0.00_);_("$"* \(#,##0.00\);_("$"* "-"??_);_(@_)</c:formatCode>
                <c:ptCount val="100"/>
                <c:pt idx="0">
                  <c:v>3000</c:v>
                </c:pt>
                <c:pt idx="1">
                  <c:v>3120</c:v>
                </c:pt>
                <c:pt idx="2">
                  <c:v>3244.7999999999997</c:v>
                </c:pt>
                <c:pt idx="3">
                  <c:v>3374.5920000000001</c:v>
                </c:pt>
                <c:pt idx="4">
                  <c:v>3509.5756799999999</c:v>
                </c:pt>
                <c:pt idx="5">
                  <c:v>3649.9587071999999</c:v>
                </c:pt>
                <c:pt idx="6">
                  <c:v>3795.9570554880006</c:v>
                </c:pt>
                <c:pt idx="7">
                  <c:v>3947.7953377075205</c:v>
                </c:pt>
                <c:pt idx="8">
                  <c:v>4105.7071512158209</c:v>
                </c:pt>
                <c:pt idx="9">
                  <c:v>4269.9354372644548</c:v>
                </c:pt>
                <c:pt idx="10">
                  <c:v>4440.7328547550323</c:v>
                </c:pt>
                <c:pt idx="11">
                  <c:v>4618.3621689452339</c:v>
                </c:pt>
                <c:pt idx="12">
                  <c:v>4803.0966557030433</c:v>
                </c:pt>
                <c:pt idx="13">
                  <c:v>4995.2205219311654</c:v>
                </c:pt>
                <c:pt idx="14">
                  <c:v>5195.0293428084124</c:v>
                </c:pt>
                <c:pt idx="15">
                  <c:v>5402.8305165207485</c:v>
                </c:pt>
                <c:pt idx="16">
                  <c:v>5618.9437371815793</c:v>
                </c:pt>
                <c:pt idx="17">
                  <c:v>5843.7014866688432</c:v>
                </c:pt>
                <c:pt idx="18">
                  <c:v>6077.4495461355973</c:v>
                </c:pt>
                <c:pt idx="19">
                  <c:v>6320.5475279810207</c:v>
                </c:pt>
                <c:pt idx="20">
                  <c:v>6573.3694291002621</c:v>
                </c:pt>
                <c:pt idx="21">
                  <c:v>6836.3042062642735</c:v>
                </c:pt>
                <c:pt idx="22">
                  <c:v>7109.7563745148445</c:v>
                </c:pt>
                <c:pt idx="23">
                  <c:v>7394.146629495438</c:v>
                </c:pt>
                <c:pt idx="24">
                  <c:v>7689.9124946752563</c:v>
                </c:pt>
                <c:pt idx="25">
                  <c:v>7997.5089944622669</c:v>
                </c:pt>
                <c:pt idx="26">
                  <c:v>8317.4093542407572</c:v>
                </c:pt>
                <c:pt idx="27">
                  <c:v>8650.1057284103881</c:v>
                </c:pt>
                <c:pt idx="28">
                  <c:v>8996.1099575468033</c:v>
                </c:pt>
                <c:pt idx="29">
                  <c:v>9355.9543558486748</c:v>
                </c:pt>
                <c:pt idx="30">
                  <c:v>9730.1925300826224</c:v>
                </c:pt>
                <c:pt idx="31">
                  <c:v>10119.400231285928</c:v>
                </c:pt>
                <c:pt idx="32">
                  <c:v>10524.176240537365</c:v>
                </c:pt>
                <c:pt idx="33">
                  <c:v>10945.143290158861</c:v>
                </c:pt>
                <c:pt idx="34">
                  <c:v>11382.949021765215</c:v>
                </c:pt>
                <c:pt idx="35">
                  <c:v>11838.266982635825</c:v>
                </c:pt>
                <c:pt idx="36">
                  <c:v>12311.797661941258</c:v>
                </c:pt>
                <c:pt idx="37">
                  <c:v>12804.269568418909</c:v>
                </c:pt>
                <c:pt idx="38">
                  <c:v>13316.440351155667</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2-4580-47B1-8591-77B4C3099CB3}"/>
            </c:ext>
          </c:extLst>
        </c:ser>
        <c:dLbls>
          <c:showLegendKey val="0"/>
          <c:showVal val="0"/>
          <c:showCatName val="0"/>
          <c:showSerName val="0"/>
          <c:showPercent val="0"/>
          <c:showBubbleSize val="0"/>
        </c:dLbls>
        <c:smooth val="0"/>
        <c:axId val="1299246768"/>
        <c:axId val="1299247488"/>
      </c:lineChart>
      <c:dateAx>
        <c:axId val="1299246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9247488"/>
        <c:crosses val="autoZero"/>
        <c:auto val="0"/>
        <c:lblOffset val="0"/>
        <c:baseTimeUnit val="days"/>
      </c:dateAx>
      <c:valAx>
        <c:axId val="129924748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99246768"/>
        <c:crosses val="autoZero"/>
        <c:crossBetween val="between"/>
      </c:valAx>
      <c:spPr>
        <a:noFill/>
        <a:ln>
          <a:noFill/>
        </a:ln>
        <a:effectLst/>
      </c:spPr>
    </c:plotArea>
    <c:legend>
      <c:legendPos val="b"/>
      <c:layout>
        <c:manualLayout>
          <c:xMode val="edge"/>
          <c:yMode val="edge"/>
          <c:x val="9.5806589862642483E-2"/>
          <c:y val="0.91028308885098275"/>
          <c:w val="0.89999993871255923"/>
          <c:h val="6.9200829451602303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Simulated</a:t>
            </a:r>
            <a:r>
              <a:rPr lang="en-US" baseline="0"/>
              <a:t> EOY Return Investment Balance ($): </a:t>
            </a:r>
          </a:p>
          <a:p>
            <a:pPr>
              <a:defRPr/>
            </a:pPr>
            <a:r>
              <a:rPr lang="en-US" baseline="0"/>
              <a:t>Rent vs. Buy</a:t>
            </a:r>
            <a:endParaRPr lang="en-US"/>
          </a:p>
        </c:rich>
      </c:tx>
      <c:layout>
        <c:manualLayout>
          <c:xMode val="edge"/>
          <c:yMode val="edge"/>
          <c:x val="0.17069587510413536"/>
          <c:y val="2.938924333371085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'Investment Simulation'!$O$21</c:f>
              <c:strCache>
                <c:ptCount val="1"/>
                <c:pt idx="0">
                  <c:v>Buy: Simulated EOY Investment Balance ($) Visual</c:v>
                </c:pt>
              </c:strCache>
            </c:strRef>
          </c:tx>
          <c:spPr>
            <a:ln w="28575" cap="rnd">
              <a:solidFill>
                <a:schemeClr val="tx2"/>
              </a:solidFill>
              <a:round/>
            </a:ln>
            <a:effectLst/>
          </c:spPr>
          <c:marker>
            <c:symbol val="none"/>
          </c:marker>
          <c:cat>
            <c:numRef>
              <c:f>'Investment Simulation'!$N$22:$N$121</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'Investment Simulation'!$O$22:$O$121</c:f>
              <c:numCache>
                <c:formatCode>_("$"* #,##0.00_);_("$"* \(#,##0.00\);_("$"* "-"??_);_(@_)</c:formatCode>
                <c:ptCount val="100"/>
                <c:pt idx="0">
                  <c:v>0</c:v>
                </c:pt>
                <c:pt idx="1">
                  <c:v>0</c:v>
                </c:pt>
                <c:pt idx="2">
                  <c:v>0</c:v>
                </c:pt>
                <c:pt idx="3">
                  <c:v>0</c:v>
                </c:pt>
                <c:pt idx="4">
                  <c:v>0</c:v>
                </c:pt>
                <c:pt idx="5">
                  <c:v>0</c:v>
                </c:pt>
                <c:pt idx="6">
                  <c:v>0</c:v>
                </c:pt>
                <c:pt idx="7">
                  <c:v>0</c:v>
                </c:pt>
                <c:pt idx="8">
                  <c:v>0</c:v>
                </c:pt>
                <c:pt idx="9">
                  <c:v>0</c:v>
                </c:pt>
                <c:pt idx="10">
                  <c:v>0</c:v>
                </c:pt>
                <c:pt idx="11">
                  <c:v>0</c:v>
                </c:pt>
                <c:pt idx="12">
                  <c:v>0</c:v>
                </c:pt>
                <c:pt idx="13">
                  <c:v>622.39754734715916</c:v>
                </c:pt>
                <c:pt idx="14">
                  <c:v>2958.2817054433767</c:v>
                </c:pt>
                <c:pt idx="15">
                  <c:v>5476.1012012831652</c:v>
                </c:pt>
                <c:pt idx="16">
                  <c:v>13002.52364571086</c:v>
                </c:pt>
                <c:pt idx="17">
                  <c:v>21254.719582846377</c:v>
                </c:pt>
                <c:pt idx="18">
                  <c:v>28482.894081805469</c:v>
                </c:pt>
                <c:pt idx="19">
                  <c:v>52253.967454229714</c:v>
                </c:pt>
                <c:pt idx="20">
                  <c:v>70070.754712929469</c:v>
                </c:pt>
                <c:pt idx="21">
                  <c:v>87902.936170007364</c:v>
                </c:pt>
                <c:pt idx="22">
                  <c:v>110809.54231383487</c:v>
                </c:pt>
                <c:pt idx="23">
                  <c:v>136817.24750475408</c:v>
                </c:pt>
                <c:pt idx="24">
                  <c:v>176321.82921729414</c:v>
                </c:pt>
                <c:pt idx="25">
                  <c:v>250233.55727730936</c:v>
                </c:pt>
                <c:pt idx="26">
                  <c:v>320676.0165769186</c:v>
                </c:pt>
                <c:pt idx="27">
                  <c:v>409233.44087675482</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0-522E-49FF-B91E-42CAFC784755}"/>
            </c:ext>
          </c:extLst>
        </c:ser>
        <c:ser>
          <c:idx val="1"/>
          <c:order val="1"/>
          <c:tx>
            <c:strRef>
              <c:f>'Investment Simulation'!$P$21</c:f>
              <c:strCache>
                <c:ptCount val="1"/>
                <c:pt idx="0">
                  <c:v>Rent: Simulated EOY Investment Balance ($) Visual</c:v>
                </c:pt>
              </c:strCache>
            </c:strRef>
          </c:tx>
          <c:spPr>
            <a:ln w="28575" cap="rnd">
              <a:solidFill>
                <a:schemeClr val="accent4">
                  <a:lumMod val="75000"/>
                </a:schemeClr>
              </a:solidFill>
              <a:round/>
            </a:ln>
            <a:effectLst/>
          </c:spPr>
          <c:marker>
            <c:symbol val="none"/>
          </c:marker>
          <c:cat>
            <c:numRef>
              <c:f>'Investment Simulation'!$N$22:$N$121</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'Investment Simulation'!$P$22:$P$121</c:f>
              <c:numCache>
                <c:formatCode>_("$"* #,##0.00_);_("$"* \(#,##0.00\);_("$"* "-"??_);_(@_)</c:formatCode>
                <c:ptCount val="100"/>
                <c:pt idx="0">
                  <c:v>90252.426817340442</c:v>
                </c:pt>
                <c:pt idx="1">
                  <c:v>113531.44977059828</c:v>
                </c:pt>
                <c:pt idx="2">
                  <c:v>146052.57501020347</c:v>
                </c:pt>
                <c:pt idx="3">
                  <c:v>202455.02846165275</c:v>
                </c:pt>
                <c:pt idx="4">
                  <c:v>240329.92799976165</c:v>
                </c:pt>
                <c:pt idx="5">
                  <c:v>262760.51595829939</c:v>
                </c:pt>
                <c:pt idx="6">
                  <c:v>249276.07230801781</c:v>
                </c:pt>
                <c:pt idx="7">
                  <c:v>254554.18050398459</c:v>
                </c:pt>
                <c:pt idx="8">
                  <c:v>328568.71159153676</c:v>
                </c:pt>
                <c:pt idx="9">
                  <c:v>321929.92456646741</c:v>
                </c:pt>
                <c:pt idx="10">
                  <c:v>334476.74744929594</c:v>
                </c:pt>
                <c:pt idx="11">
                  <c:v>363247.93918858422</c:v>
                </c:pt>
                <c:pt idx="12">
                  <c:v>504635.42969370179</c:v>
                </c:pt>
                <c:pt idx="13">
                  <c:v>602328.0112083446</c:v>
                </c:pt>
                <c:pt idx="14">
                  <c:v>614547.07360623369</c:v>
                </c:pt>
                <c:pt idx="15">
                  <c:v>419542.72957331245</c:v>
                </c:pt>
                <c:pt idx="16">
                  <c:v>495315.39160263911</c:v>
                </c:pt>
                <c:pt idx="17">
                  <c:v>503658.20067374891</c:v>
                </c:pt>
                <c:pt idx="18">
                  <c:v>450079.08558614616</c:v>
                </c:pt>
                <c:pt idx="19">
                  <c:v>601152.45597635279</c:v>
                </c:pt>
                <c:pt idx="20">
                  <c:v>635618.86321270408</c:v>
                </c:pt>
                <c:pt idx="21">
                  <c:v>644429.14230177668</c:v>
                </c:pt>
                <c:pt idx="22">
                  <c:v>669037.81012699509</c:v>
                </c:pt>
                <c:pt idx="23">
                  <c:v>692568.72989686835</c:v>
                </c:pt>
                <c:pt idx="24">
                  <c:v>762849.25979034323</c:v>
                </c:pt>
                <c:pt idx="25">
                  <c:v>950682.53059851343</c:v>
                </c:pt>
                <c:pt idx="26">
                  <c:v>1095471.3607407992</c:v>
                </c:pt>
                <c:pt idx="27">
                  <c:v>1171558.8297608984</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0-8137-4499-A17F-7476F39F1021}"/>
            </c:ext>
          </c:extLst>
        </c:ser>
        <c:dLbls>
          <c:showLegendKey val="0"/>
          <c:showVal val="0"/>
          <c:showCatName val="0"/>
          <c:showSerName val="0"/>
          <c:showPercent val="0"/>
          <c:showBubbleSize val="0"/>
        </c:dLbls>
        <c:smooth val="0"/>
        <c:axId val="739995264"/>
        <c:axId val="739992024"/>
      </c:lineChart>
      <c:dateAx>
        <c:axId val="739995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9992024"/>
        <c:crosses val="autoZero"/>
        <c:auto val="0"/>
        <c:lblOffset val="100"/>
        <c:baseTimeUnit val="days"/>
      </c:dateAx>
      <c:valAx>
        <c:axId val="739992024"/>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9995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Fixed Average Return</a:t>
            </a:r>
            <a:r>
              <a:rPr lang="en-US" baseline="0"/>
              <a:t> EOY Investment Balance ($): Rent vs. Buy</a:t>
            </a:r>
            <a:endParaRPr lang="en-US"/>
          </a:p>
        </c:rich>
      </c:tx>
      <c:layout>
        <c:manualLayout>
          <c:xMode val="edge"/>
          <c:yMode val="edge"/>
          <c:x val="0.17069587510413536"/>
          <c:y val="2.938924333371085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'Investment Simulation'!$Q$21</c:f>
              <c:strCache>
                <c:ptCount val="1"/>
                <c:pt idx="0">
                  <c:v>Buy: Fixed Average Return EOY Investment Balance ($) Visual</c:v>
                </c:pt>
              </c:strCache>
            </c:strRef>
          </c:tx>
          <c:spPr>
            <a:ln w="28575" cap="rnd">
              <a:solidFill>
                <a:schemeClr val="tx2"/>
              </a:solidFill>
              <a:round/>
            </a:ln>
            <a:effectLst/>
          </c:spPr>
          <c:marker>
            <c:symbol val="none"/>
          </c:marker>
          <c:cat>
            <c:numRef>
              <c:f>'Investment Simulation'!$N$22:$N$121</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'Investment Simulation'!$Q$22:$Q$121</c:f>
              <c:numCache>
                <c:formatCode>_("$"* #,##0.00_);_("$"* \(#,##0.00\);_("$"* "-"??_);_(@_)</c:formatCode>
                <c:ptCount val="100"/>
                <c:pt idx="0">
                  <c:v>0</c:v>
                </c:pt>
                <c:pt idx="1">
                  <c:v>0</c:v>
                </c:pt>
                <c:pt idx="2">
                  <c:v>0</c:v>
                </c:pt>
                <c:pt idx="3">
                  <c:v>0</c:v>
                </c:pt>
                <c:pt idx="4">
                  <c:v>0</c:v>
                </c:pt>
                <c:pt idx="5">
                  <c:v>0</c:v>
                </c:pt>
                <c:pt idx="6">
                  <c:v>0</c:v>
                </c:pt>
                <c:pt idx="7">
                  <c:v>0</c:v>
                </c:pt>
                <c:pt idx="8">
                  <c:v>0</c:v>
                </c:pt>
                <c:pt idx="9">
                  <c:v>0</c:v>
                </c:pt>
                <c:pt idx="10">
                  <c:v>0</c:v>
                </c:pt>
                <c:pt idx="11">
                  <c:v>0</c:v>
                </c:pt>
                <c:pt idx="12">
                  <c:v>0</c:v>
                </c:pt>
                <c:pt idx="13">
                  <c:v>612.86678405402404</c:v>
                </c:pt>
                <c:pt idx="14">
                  <c:v>3145.8197954324369</c:v>
                </c:pt>
                <c:pt idx="15">
                  <c:v>7834.4928620448909</c:v>
                </c:pt>
                <c:pt idx="16">
                  <c:v>14936.867134852946</c:v>
                </c:pt>
                <c:pt idx="17">
                  <c:v>24735.205204575897</c:v>
                </c:pt>
                <c:pt idx="18">
                  <c:v>37538.145994953171</c:v>
                </c:pt>
                <c:pt idx="19">
                  <c:v>53682.973542396314</c:v>
                </c:pt>
                <c:pt idx="20">
                  <c:v>73538.073830732843</c:v>
                </c:pt>
                <c:pt idx="21">
                  <c:v>97505.5949937322</c:v>
                </c:pt>
                <c:pt idx="22">
                  <c:v>126024.32743403575</c:v>
                </c:pt>
                <c:pt idx="23">
                  <c:v>159572.82174236103</c:v>
                </c:pt>
                <c:pt idx="24">
                  <c:v>198672.76374337921</c:v>
                </c:pt>
                <c:pt idx="25">
                  <c:v>243892.62755307378</c:v>
                </c:pt>
                <c:pt idx="26">
                  <c:v>295851.62921596918</c:v>
                </c:pt>
                <c:pt idx="27">
                  <c:v>388704.29146040627</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0-B491-42EB-B521-8249EDEFE692}"/>
            </c:ext>
          </c:extLst>
        </c:ser>
        <c:ser>
          <c:idx val="1"/>
          <c:order val="1"/>
          <c:tx>
            <c:strRef>
              <c:f>'Investment Simulation'!$R$21</c:f>
              <c:strCache>
                <c:ptCount val="1"/>
                <c:pt idx="0">
                  <c:v>Rent: Fixed Average Return EOY Investment Balance ($) Visual</c:v>
                </c:pt>
              </c:strCache>
            </c:strRef>
          </c:tx>
          <c:spPr>
            <a:ln w="28575" cap="rnd">
              <a:solidFill>
                <a:schemeClr val="accent4">
                  <a:lumMod val="75000"/>
                </a:schemeClr>
              </a:solidFill>
              <a:round/>
            </a:ln>
            <a:effectLst/>
          </c:spPr>
          <c:marker>
            <c:symbol val="none"/>
          </c:marker>
          <c:cat>
            <c:numRef>
              <c:f>'Investment Simulation'!$N$22:$N$121</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'Investment Simulation'!$R$22:$R$121</c:f>
              <c:numCache>
                <c:formatCode>_("$"* #,##0.00_);_("$"* \(#,##0.00\);_("$"* "-"??_);_(@_)</c:formatCode>
                <c:ptCount val="100"/>
                <c:pt idx="0">
                  <c:v>92253.530663383339</c:v>
                </c:pt>
                <c:pt idx="1">
                  <c:v>120738.86377983735</c:v>
                </c:pt>
                <c:pt idx="2">
                  <c:v>146374.77314560767</c:v>
                </c:pt>
                <c:pt idx="3">
                  <c:v>172941.56230863964</c:v>
                </c:pt>
                <c:pt idx="4">
                  <c:v>200463.90382255413</c:v>
                </c:pt>
                <c:pt idx="5">
                  <c:v>228966.30218869299</c:v>
                </c:pt>
                <c:pt idx="6">
                  <c:v>257443.39023937294</c:v>
                </c:pt>
                <c:pt idx="7">
                  <c:v>299252.64548994839</c:v>
                </c:pt>
                <c:pt idx="8">
                  <c:v>333655.31990346528</c:v>
                </c:pt>
                <c:pt idx="9">
                  <c:v>397437.43998091994</c:v>
                </c:pt>
                <c:pt idx="10">
                  <c:v>433605.2826366541</c:v>
                </c:pt>
                <c:pt idx="11">
                  <c:v>471082.88474838994</c:v>
                </c:pt>
                <c:pt idx="12">
                  <c:v>509905.34889550292</c:v>
                </c:pt>
                <c:pt idx="13">
                  <c:v>550697.77680714312</c:v>
                </c:pt>
                <c:pt idx="14">
                  <c:v>594753.59895171458</c:v>
                </c:pt>
                <c:pt idx="15">
                  <c:v>642333.88686785172</c:v>
                </c:pt>
                <c:pt idx="16">
                  <c:v>693720.59781727986</c:v>
                </c:pt>
                <c:pt idx="17">
                  <c:v>749218.24564266228</c:v>
                </c:pt>
                <c:pt idx="18">
                  <c:v>809155.70529407531</c:v>
                </c:pt>
                <c:pt idx="19">
                  <c:v>873888.16171760135</c:v>
                </c:pt>
                <c:pt idx="20">
                  <c:v>943799.21465500945</c:v>
                </c:pt>
                <c:pt idx="21">
                  <c:v>1019303.1518274102</c:v>
                </c:pt>
                <c:pt idx="22">
                  <c:v>1100847.4039736029</c:v>
                </c:pt>
                <c:pt idx="23">
                  <c:v>1188915.1962914912</c:v>
                </c:pt>
                <c:pt idx="24">
                  <c:v>1284028.4119948104</c:v>
                </c:pt>
                <c:pt idx="25">
                  <c:v>1386750.6849543953</c:v>
                </c:pt>
                <c:pt idx="26">
                  <c:v>1497690.7397507469</c:v>
                </c:pt>
                <c:pt idx="27">
                  <c:v>1617505.9989308065</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1-B491-42EB-B521-8249EDEFE692}"/>
            </c:ext>
          </c:extLst>
        </c:ser>
        <c:dLbls>
          <c:showLegendKey val="0"/>
          <c:showVal val="0"/>
          <c:showCatName val="0"/>
          <c:showSerName val="0"/>
          <c:showPercent val="0"/>
          <c:showBubbleSize val="0"/>
        </c:dLbls>
        <c:smooth val="0"/>
        <c:axId val="739995264"/>
        <c:axId val="739992024"/>
      </c:lineChart>
      <c:dateAx>
        <c:axId val="739995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9992024"/>
        <c:crosses val="autoZero"/>
        <c:auto val="0"/>
        <c:lblOffset val="100"/>
        <c:baseTimeUnit val="days"/>
      </c:dateAx>
      <c:valAx>
        <c:axId val="739992024"/>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9995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mn-lt"/>
                <a:ea typeface="+mn-ea"/>
                <a:cs typeface="+mn-cs"/>
              </a:defRPr>
            </a:pPr>
            <a:r>
              <a:rPr lang="en-US" b="1"/>
              <a:t>Rent: </a:t>
            </a:r>
            <a:r>
              <a:rPr lang="en-US" b="0"/>
              <a:t>Cumulative Brokerage (Simulated)</a:t>
            </a:r>
            <a:r>
              <a:rPr lang="en-US" b="0" baseline="0"/>
              <a:t> vs. </a:t>
            </a:r>
          </a:p>
          <a:p>
            <a:pPr algn="l">
              <a:defRPr/>
            </a:pPr>
            <a:r>
              <a:rPr lang="en-US" b="1"/>
              <a:t>Buy: </a:t>
            </a:r>
            <a:r>
              <a:rPr lang="en-US"/>
              <a:t>Cumulative Equity, Appreciation, and Brokerage (Simulated)</a:t>
            </a:r>
          </a:p>
        </c:rich>
      </c:tx>
      <c:layout>
        <c:manualLayout>
          <c:xMode val="edge"/>
          <c:yMode val="edge"/>
          <c:x val="0.10139086944840556"/>
          <c:y val="5.0204716054444008E-2"/>
        </c:manualLayout>
      </c:layout>
      <c:overlay val="0"/>
      <c:spPr>
        <a:noFill/>
        <a:ln>
          <a:noFill/>
        </a:ln>
        <a:effectLst/>
      </c:spPr>
      <c:txPr>
        <a:bodyPr rot="0" spcFirstLastPara="1" vertOverflow="ellipsis" vert="horz" wrap="square" anchor="ctr" anchorCtr="1"/>
        <a:lstStyle/>
        <a:p>
          <a:pPr algn="l">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747317033948437"/>
          <c:y val="0.34102286992233849"/>
          <c:w val="0.7931749340960389"/>
          <c:h val="0.47111463941317844"/>
        </c:manualLayout>
      </c:layout>
      <c:lineChart>
        <c:grouping val="standard"/>
        <c:varyColors val="0"/>
        <c:ser>
          <c:idx val="0"/>
          <c:order val="0"/>
          <c:tx>
            <c:strRef>
              <c:f>'Total Projected Assets'!$O$16</c:f>
              <c:strCache>
                <c:ptCount val="1"/>
                <c:pt idx="0">
                  <c:v>Buy Total Assets Visual</c:v>
                </c:pt>
              </c:strCache>
            </c:strRef>
          </c:tx>
          <c:spPr>
            <a:ln w="28575" cap="rnd">
              <a:solidFill>
                <a:schemeClr val="tx2"/>
              </a:solidFill>
              <a:round/>
            </a:ln>
            <a:effectLst/>
          </c:spPr>
          <c:marker>
            <c:symbol val="none"/>
          </c:marker>
          <c:cat>
            <c:numRef>
              <c:f>'Total Projected Assets'!$N$17:$N$116</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pt idx="29">
                  <c:v>2051</c:v>
                </c:pt>
                <c:pt idx="30">
                  <c:v>2052</c:v>
                </c:pt>
                <c:pt idx="31">
                  <c:v>2053</c:v>
                </c:pt>
                <c:pt idx="32">
                  <c:v>2054</c:v>
                </c:pt>
                <c:pt idx="33">
                  <c:v>2055</c:v>
                </c:pt>
                <c:pt idx="34">
                  <c:v>2056</c:v>
                </c:pt>
                <c:pt idx="35">
                  <c:v>2057</c:v>
                </c:pt>
                <c:pt idx="36">
                  <c:v>2058</c:v>
                </c:pt>
                <c:pt idx="37">
                  <c:v>2059</c:v>
                </c:pt>
                <c:pt idx="38">
                  <c:v>2060</c:v>
                </c:pt>
                <c:pt idx="39">
                  <c:v>2061</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'Total Projected Assets'!$O$17:$O$116</c:f>
              <c:numCache>
                <c:formatCode>_("$"* #,##0.00_);_("$"* \(#,##0.00\);_("$"* "-"??_);_(@_)</c:formatCode>
                <c:ptCount val="100"/>
                <c:pt idx="0">
                  <c:v>88646.452031368201</c:v>
                </c:pt>
                <c:pt idx="1">
                  <c:v>118471.98996341816</c:v>
                </c:pt>
                <c:pt idx="2">
                  <c:v>149527.9001086198</c:v>
                </c:pt>
                <c:pt idx="3">
                  <c:v>182386.8127366741</c:v>
                </c:pt>
                <c:pt idx="4">
                  <c:v>221096.74057107675</c:v>
                </c:pt>
                <c:pt idx="5">
                  <c:v>256470.54718821024</c:v>
                </c:pt>
                <c:pt idx="6">
                  <c:v>293321.4691780695</c:v>
                </c:pt>
                <c:pt idx="7">
                  <c:v>335313.96974317404</c:v>
                </c:pt>
                <c:pt idx="8">
                  <c:v>378119.80674121936</c:v>
                </c:pt>
                <c:pt idx="9">
                  <c:v>424174.16287164169</c:v>
                </c:pt>
                <c:pt idx="10">
                  <c:v>468212.82496543747</c:v>
                </c:pt>
                <c:pt idx="11">
                  <c:v>521252.93003610079</c:v>
                </c:pt>
                <c:pt idx="12">
                  <c:v>570245.12001957197</c:v>
                </c:pt>
                <c:pt idx="13">
                  <c:v>620779.98990187317</c:v>
                </c:pt>
                <c:pt idx="14">
                  <c:v>675868.67761614278</c:v>
                </c:pt>
                <c:pt idx="15">
                  <c:v>733149.76477335871</c:v>
                </c:pt>
                <c:pt idx="16">
                  <c:v>797800.67712166929</c:v>
                </c:pt>
                <c:pt idx="17">
                  <c:v>865903.73047331476</c:v>
                </c:pt>
                <c:pt idx="18">
                  <c:v>935323.04228407156</c:v>
                </c:pt>
                <c:pt idx="19">
                  <c:v>1024487.5057671587</c:v>
                </c:pt>
                <c:pt idx="20">
                  <c:v>1110029.2666432762</c:v>
                </c:pt>
                <c:pt idx="21">
                  <c:v>1198544.1143432821</c:v>
                </c:pt>
                <c:pt idx="22">
                  <c:v>1295228.2248016077</c:v>
                </c:pt>
                <c:pt idx="23">
                  <c:v>1398252.1489418554</c:v>
                </c:pt>
                <c:pt idx="24">
                  <c:v>1521185.893232543</c:v>
                </c:pt>
                <c:pt idx="25">
                  <c:v>1678696.5620375369</c:v>
                </c:pt>
                <c:pt idx="26">
                  <c:v>1836426.9066550217</c:v>
                </c:pt>
                <c:pt idx="27">
                  <c:v>1984331.9230533754</c:v>
                </c:pt>
                <c:pt idx="28">
                  <c:v>2065094.9330314286</c:v>
                </c:pt>
                <c:pt idx="29">
                  <c:v>2292441.0903825453</c:v>
                </c:pt>
                <c:pt idx="30">
                  <c:v>2483979.8969512158</c:v>
                </c:pt>
                <c:pt idx="31">
                  <c:v>2684409.7902172115</c:v>
                </c:pt>
                <c:pt idx="32">
                  <c:v>3040526.5955002103</c:v>
                </c:pt>
                <c:pt idx="33">
                  <c:v>3545381.4858237915</c:v>
                </c:pt>
                <c:pt idx="34">
                  <c:v>4227023.0175464544</c:v>
                </c:pt>
                <c:pt idx="35">
                  <c:v>4478281.9653925011</c:v>
                </c:pt>
                <c:pt idx="36">
                  <c:v>5323776.1010231823</c:v>
                </c:pt>
                <c:pt idx="37">
                  <c:v>5623945.8733035084</c:v>
                </c:pt>
                <c:pt idx="38">
                  <c:v>6642613.4305080101</c:v>
                </c:pt>
                <c:pt idx="39">
                  <c:v>7504864.4923480954</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0-6175-429D-A993-A8B0AE536EFA}"/>
            </c:ext>
          </c:extLst>
        </c:ser>
        <c:ser>
          <c:idx val="1"/>
          <c:order val="1"/>
          <c:tx>
            <c:strRef>
              <c:f>'Total Projected Assets'!$P$16</c:f>
              <c:strCache>
                <c:ptCount val="1"/>
                <c:pt idx="0">
                  <c:v>Rent Total Assets Visual</c:v>
                </c:pt>
              </c:strCache>
            </c:strRef>
          </c:tx>
          <c:spPr>
            <a:ln w="28575" cap="rnd">
              <a:solidFill>
                <a:schemeClr val="accent4">
                  <a:lumMod val="75000"/>
                </a:schemeClr>
              </a:solidFill>
              <a:round/>
            </a:ln>
            <a:effectLst/>
          </c:spPr>
          <c:marker>
            <c:symbol val="none"/>
          </c:marker>
          <c:cat>
            <c:numRef>
              <c:f>'Total Projected Assets'!$N$17:$N$116</c:f>
              <c:numCache>
                <c:formatCode>General</c:formatCode>
                <c:ptCount val="100"/>
                <c:pt idx="0">
                  <c:v>2022</c:v>
                </c:pt>
                <c:pt idx="1">
                  <c:v>2023</c:v>
                </c:pt>
                <c:pt idx="2">
                  <c:v>2024</c:v>
                </c:pt>
                <c:pt idx="3">
                  <c:v>2025</c:v>
                </c:pt>
                <c:pt idx="4">
                  <c:v>2026</c:v>
                </c:pt>
                <c:pt idx="5">
                  <c:v>2027</c:v>
                </c:pt>
                <c:pt idx="6">
                  <c:v>2028</c:v>
                </c:pt>
                <c:pt idx="7">
                  <c:v>2029</c:v>
                </c:pt>
                <c:pt idx="8">
                  <c:v>2030</c:v>
                </c:pt>
                <c:pt idx="9">
                  <c:v>2031</c:v>
                </c:pt>
                <c:pt idx="10">
                  <c:v>2032</c:v>
                </c:pt>
                <c:pt idx="11">
                  <c:v>2033</c:v>
                </c:pt>
                <c:pt idx="12">
                  <c:v>2034</c:v>
                </c:pt>
                <c:pt idx="13">
                  <c:v>2035</c:v>
                </c:pt>
                <c:pt idx="14">
                  <c:v>2036</c:v>
                </c:pt>
                <c:pt idx="15">
                  <c:v>2037</c:v>
                </c:pt>
                <c:pt idx="16">
                  <c:v>2038</c:v>
                </c:pt>
                <c:pt idx="17">
                  <c:v>2039</c:v>
                </c:pt>
                <c:pt idx="18">
                  <c:v>2040</c:v>
                </c:pt>
                <c:pt idx="19">
                  <c:v>2041</c:v>
                </c:pt>
                <c:pt idx="20">
                  <c:v>2042</c:v>
                </c:pt>
                <c:pt idx="21">
                  <c:v>2043</c:v>
                </c:pt>
                <c:pt idx="22">
                  <c:v>2044</c:v>
                </c:pt>
                <c:pt idx="23">
                  <c:v>2045</c:v>
                </c:pt>
                <c:pt idx="24">
                  <c:v>2046</c:v>
                </c:pt>
                <c:pt idx="25">
                  <c:v>2047</c:v>
                </c:pt>
                <c:pt idx="26">
                  <c:v>2048</c:v>
                </c:pt>
                <c:pt idx="27">
                  <c:v>2049</c:v>
                </c:pt>
                <c:pt idx="28">
                  <c:v>2050</c:v>
                </c:pt>
                <c:pt idx="29">
                  <c:v>2051</c:v>
                </c:pt>
                <c:pt idx="30">
                  <c:v>2052</c:v>
                </c:pt>
                <c:pt idx="31">
                  <c:v>2053</c:v>
                </c:pt>
                <c:pt idx="32">
                  <c:v>2054</c:v>
                </c:pt>
                <c:pt idx="33">
                  <c:v>2055</c:v>
                </c:pt>
                <c:pt idx="34">
                  <c:v>2056</c:v>
                </c:pt>
                <c:pt idx="35">
                  <c:v>2057</c:v>
                </c:pt>
                <c:pt idx="36">
                  <c:v>2058</c:v>
                </c:pt>
                <c:pt idx="37">
                  <c:v>2059</c:v>
                </c:pt>
                <c:pt idx="38">
                  <c:v>2060</c:v>
                </c:pt>
                <c:pt idx="39">
                  <c:v>2061</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cat>
          <c:val>
            <c:numRef>
              <c:f>'Total Projected Assets'!$P$17:$P$116</c:f>
              <c:numCache>
                <c:formatCode>_("$"* #,##0.00_);_("$"* \(#,##0.00\);_("$"* "-"??_);_(@_)</c:formatCode>
                <c:ptCount val="100"/>
                <c:pt idx="0">
                  <c:v>90252.426817340442</c:v>
                </c:pt>
                <c:pt idx="1">
                  <c:v>113531.44977059828</c:v>
                </c:pt>
                <c:pt idx="2">
                  <c:v>146052.57501020347</c:v>
                </c:pt>
                <c:pt idx="3">
                  <c:v>202455.02846165275</c:v>
                </c:pt>
                <c:pt idx="4">
                  <c:v>240329.92799976165</c:v>
                </c:pt>
                <c:pt idx="5">
                  <c:v>262760.51595829939</c:v>
                </c:pt>
                <c:pt idx="6">
                  <c:v>249276.07230801781</c:v>
                </c:pt>
                <c:pt idx="7">
                  <c:v>254554.18050398459</c:v>
                </c:pt>
                <c:pt idx="8">
                  <c:v>328568.71159153676</c:v>
                </c:pt>
                <c:pt idx="9">
                  <c:v>321929.92456646741</c:v>
                </c:pt>
                <c:pt idx="10">
                  <c:v>334476.74744929594</c:v>
                </c:pt>
                <c:pt idx="11">
                  <c:v>363247.93918858422</c:v>
                </c:pt>
                <c:pt idx="12">
                  <c:v>504635.42969370179</c:v>
                </c:pt>
                <c:pt idx="13">
                  <c:v>602328.0112083446</c:v>
                </c:pt>
                <c:pt idx="14">
                  <c:v>614547.07360623369</c:v>
                </c:pt>
                <c:pt idx="15">
                  <c:v>419542.72957331245</c:v>
                </c:pt>
                <c:pt idx="16">
                  <c:v>495315.39160263911</c:v>
                </c:pt>
                <c:pt idx="17">
                  <c:v>503658.20067374891</c:v>
                </c:pt>
                <c:pt idx="18">
                  <c:v>450079.08558614616</c:v>
                </c:pt>
                <c:pt idx="19">
                  <c:v>601152.45597635279</c:v>
                </c:pt>
                <c:pt idx="20">
                  <c:v>635618.86321270408</c:v>
                </c:pt>
                <c:pt idx="21">
                  <c:v>644429.14230177668</c:v>
                </c:pt>
                <c:pt idx="22">
                  <c:v>669037.81012699509</c:v>
                </c:pt>
                <c:pt idx="23">
                  <c:v>692568.72989686835</c:v>
                </c:pt>
                <c:pt idx="24">
                  <c:v>762849.25979034323</c:v>
                </c:pt>
                <c:pt idx="25">
                  <c:v>950682.53059851343</c:v>
                </c:pt>
                <c:pt idx="26">
                  <c:v>1095471.3607407992</c:v>
                </c:pt>
                <c:pt idx="27">
                  <c:v>1171558.8297608984</c:v>
                </c:pt>
                <c:pt idx="28">
                  <c:v>1046330.6770926371</c:v>
                </c:pt>
                <c:pt idx="29">
                  <c:v>1253488.1029609826</c:v>
                </c:pt>
                <c:pt idx="30">
                  <c:v>1355420.8625618834</c:v>
                </c:pt>
                <c:pt idx="31">
                  <c:v>1452309.9514391113</c:v>
                </c:pt>
                <c:pt idx="32">
                  <c:v>1776436.5174752171</c:v>
                </c:pt>
                <c:pt idx="33">
                  <c:v>2285130.3927923124</c:v>
                </c:pt>
                <c:pt idx="34">
                  <c:v>3000168.4015886444</c:v>
                </c:pt>
                <c:pt idx="35">
                  <c:v>3107952.737532645</c:v>
                </c:pt>
                <c:pt idx="36">
                  <c:v>3954233.5353162726</c:v>
                </c:pt>
                <c:pt idx="37">
                  <c:v>4096874.1861281586</c:v>
                </c:pt>
                <c:pt idx="38">
                  <c:v>5076899.318676726</c:v>
                </c:pt>
                <c:pt idx="39">
                  <c:v>5841909.5197382215</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val>
          <c:smooth val="0"/>
          <c:extLst>
            <c:ext xmlns:c16="http://schemas.microsoft.com/office/drawing/2014/chart" uri="{C3380CC4-5D6E-409C-BE32-E72D297353CC}">
              <c16:uniqueId val="{00000001-6175-429D-A993-A8B0AE536EFA}"/>
            </c:ext>
          </c:extLst>
        </c:ser>
        <c:dLbls>
          <c:showLegendKey val="0"/>
          <c:showVal val="0"/>
          <c:showCatName val="0"/>
          <c:showSerName val="0"/>
          <c:showPercent val="0"/>
          <c:showBubbleSize val="0"/>
        </c:dLbls>
        <c:smooth val="0"/>
        <c:axId val="823292600"/>
        <c:axId val="823291880"/>
      </c:lineChart>
      <c:dateAx>
        <c:axId val="823292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3291880"/>
        <c:crosses val="autoZero"/>
        <c:auto val="0"/>
        <c:lblOffset val="100"/>
        <c:baseTimeUnit val="days"/>
      </c:dateAx>
      <c:valAx>
        <c:axId val="823291880"/>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_);_(&quot;$&quot;* \(#,##0\);_(&quot;$&quot;* &quot;-&quot;_);_(@_)"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232926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2">
          <a:lumMod val="50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'Wedding Business Cash Flow'!$AM$2</c:f>
              <c:strCache>
                <c:ptCount val="1"/>
                <c:pt idx="0">
                  <c:v>Interest</c:v>
                </c:pt>
              </c:strCache>
            </c:strRef>
          </c:tx>
          <c:spPr>
            <a:ln w="28575" cap="rnd">
              <a:solidFill>
                <a:schemeClr val="accent1"/>
              </a:solidFill>
              <a:round/>
            </a:ln>
            <a:effectLst/>
          </c:spPr>
          <c:marker>
            <c:symbol val="none"/>
          </c:marker>
          <c:val>
            <c:numRef>
              <c:f>'Wedding Business Cash Flow'!$AM$3:$AM$302</c:f>
              <c:numCache>
                <c:formatCode>_("$"* #,##0.00_);_("$"* \(#,##0.00\);_("$"* "-"??_);_(@_)</c:formatCode>
                <c:ptCount val="3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numCache>
            </c:numRef>
          </c:val>
          <c:smooth val="0"/>
          <c:extLst>
            <c:ext xmlns:c16="http://schemas.microsoft.com/office/drawing/2014/chart" uri="{C3380CC4-5D6E-409C-BE32-E72D297353CC}">
              <c16:uniqueId val="{00000000-077D-4777-BB47-249F763D58B1}"/>
            </c:ext>
          </c:extLst>
        </c:ser>
        <c:ser>
          <c:idx val="1"/>
          <c:order val="1"/>
          <c:tx>
            <c:strRef>
              <c:f>'Wedding Business Cash Flow'!$AO$2</c:f>
              <c:strCache>
                <c:ptCount val="1"/>
                <c:pt idx="0">
                  <c:v>Principal</c:v>
                </c:pt>
              </c:strCache>
            </c:strRef>
          </c:tx>
          <c:spPr>
            <a:ln w="28575" cap="rnd">
              <a:solidFill>
                <a:schemeClr val="accent2"/>
              </a:solidFill>
              <a:round/>
            </a:ln>
            <a:effectLst/>
          </c:spPr>
          <c:marker>
            <c:symbol val="none"/>
          </c:marker>
          <c:val>
            <c:numRef>
              <c:f>'Wedding Business Cash Flow'!$AO$3:$AO$302</c:f>
              <c:numCache>
                <c:formatCode>"$"#,##0.00_);[Red]\("$"#,##0.00\)</c:formatCode>
                <c:ptCount val="3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numCache>
            </c:numRef>
          </c:val>
          <c:smooth val="0"/>
          <c:extLst>
            <c:ext xmlns:c16="http://schemas.microsoft.com/office/drawing/2014/chart" uri="{C3380CC4-5D6E-409C-BE32-E72D297353CC}">
              <c16:uniqueId val="{00000001-077D-4777-BB47-249F763D58B1}"/>
            </c:ext>
          </c:extLst>
        </c:ser>
        <c:dLbls>
          <c:showLegendKey val="0"/>
          <c:showVal val="0"/>
          <c:showCatName val="0"/>
          <c:showSerName val="0"/>
          <c:showPercent val="0"/>
          <c:showBubbleSize val="0"/>
        </c:dLbls>
        <c:smooth val="0"/>
        <c:axId val="490204432"/>
        <c:axId val="490198672"/>
      </c:lineChart>
      <c:catAx>
        <c:axId val="4902044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0198672"/>
        <c:crosses val="autoZero"/>
        <c:auto val="1"/>
        <c:lblAlgn val="ctr"/>
        <c:lblOffset val="100"/>
        <c:noMultiLvlLbl val="0"/>
      </c:catAx>
      <c:valAx>
        <c:axId val="490198672"/>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02044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'Wedding Business Cash Flow (2)'!$AM$2</c:f>
              <c:strCache>
                <c:ptCount val="1"/>
                <c:pt idx="0">
                  <c:v>Interest</c:v>
                </c:pt>
              </c:strCache>
            </c:strRef>
          </c:tx>
          <c:spPr>
            <a:ln w="28575" cap="rnd">
              <a:solidFill>
                <a:schemeClr val="accent1"/>
              </a:solidFill>
              <a:round/>
            </a:ln>
            <a:effectLst/>
          </c:spPr>
          <c:marker>
            <c:symbol val="none"/>
          </c:marker>
          <c:val>
            <c:numRef>
              <c:f>'Wedding Business Cash Flow (2)'!$AM$3:$AM$302</c:f>
              <c:numCache>
                <c:formatCode>_("$"* #,##0.00_);_("$"* \(#,##0.00\);_("$"* "-"??_);_(@_)</c:formatCode>
                <c:ptCount val="3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numCache>
            </c:numRef>
          </c:val>
          <c:smooth val="0"/>
          <c:extLst>
            <c:ext xmlns:c16="http://schemas.microsoft.com/office/drawing/2014/chart" uri="{C3380CC4-5D6E-409C-BE32-E72D297353CC}">
              <c16:uniqueId val="{00000000-F64C-4829-9AA1-B1733E417A90}"/>
            </c:ext>
          </c:extLst>
        </c:ser>
        <c:ser>
          <c:idx val="1"/>
          <c:order val="1"/>
          <c:tx>
            <c:strRef>
              <c:f>'Wedding Business Cash Flow (2)'!$AO$2</c:f>
              <c:strCache>
                <c:ptCount val="1"/>
                <c:pt idx="0">
                  <c:v>Principal</c:v>
                </c:pt>
              </c:strCache>
            </c:strRef>
          </c:tx>
          <c:spPr>
            <a:ln w="28575" cap="rnd">
              <a:solidFill>
                <a:schemeClr val="accent2"/>
              </a:solidFill>
              <a:round/>
            </a:ln>
            <a:effectLst/>
          </c:spPr>
          <c:marker>
            <c:symbol val="none"/>
          </c:marker>
          <c:val>
            <c:numRef>
              <c:f>'Wedding Business Cash Flow (2)'!$AO$3:$AO$302</c:f>
              <c:numCache>
                <c:formatCode>"$"#,##0.00_);[Red]\("$"#,##0.00\)</c:formatCode>
                <c:ptCount val="3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0</c:v>
                </c:pt>
                <c:pt idx="101">
                  <c:v>0</c:v>
                </c:pt>
                <c:pt idx="102">
                  <c:v>0</c:v>
                </c:pt>
                <c:pt idx="103">
                  <c:v>0</c:v>
                </c:pt>
                <c:pt idx="104">
                  <c:v>0</c:v>
                </c:pt>
                <c:pt idx="105">
                  <c:v>0</c:v>
                </c:pt>
                <c:pt idx="106">
                  <c:v>0</c:v>
                </c:pt>
                <c:pt idx="107">
                  <c:v>0</c:v>
                </c:pt>
                <c:pt idx="108">
                  <c:v>0</c:v>
                </c:pt>
                <c:pt idx="109">
                  <c:v>0</c:v>
                </c:pt>
                <c:pt idx="110">
                  <c:v>0</c:v>
                </c:pt>
                <c:pt idx="111">
                  <c:v>0</c:v>
                </c:pt>
                <c:pt idx="112">
                  <c:v>0</c:v>
                </c:pt>
                <c:pt idx="113">
                  <c:v>0</c:v>
                </c:pt>
                <c:pt idx="114">
                  <c:v>0</c:v>
                </c:pt>
                <c:pt idx="115">
                  <c:v>0</c:v>
                </c:pt>
                <c:pt idx="116">
                  <c:v>0</c:v>
                </c:pt>
                <c:pt idx="117">
                  <c:v>0</c:v>
                </c:pt>
                <c:pt idx="118">
                  <c:v>0</c:v>
                </c:pt>
                <c:pt idx="119">
                  <c:v>0</c:v>
                </c:pt>
                <c:pt idx="120">
                  <c:v>0</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pt idx="253">
                  <c:v>0</c:v>
                </c:pt>
                <c:pt idx="254">
                  <c:v>0</c:v>
                </c:pt>
                <c:pt idx="255">
                  <c:v>0</c:v>
                </c:pt>
                <c:pt idx="256">
                  <c:v>0</c:v>
                </c:pt>
                <c:pt idx="257">
                  <c:v>0</c:v>
                </c:pt>
                <c:pt idx="258">
                  <c:v>0</c:v>
                </c:pt>
                <c:pt idx="259">
                  <c:v>0</c:v>
                </c:pt>
                <c:pt idx="260">
                  <c:v>0</c:v>
                </c:pt>
                <c:pt idx="261">
                  <c:v>0</c:v>
                </c:pt>
                <c:pt idx="262">
                  <c:v>0</c:v>
                </c:pt>
                <c:pt idx="263">
                  <c:v>0</c:v>
                </c:pt>
                <c:pt idx="264">
                  <c:v>0</c:v>
                </c:pt>
                <c:pt idx="265">
                  <c:v>0</c:v>
                </c:pt>
                <c:pt idx="266">
                  <c:v>0</c:v>
                </c:pt>
                <c:pt idx="267">
                  <c:v>0</c:v>
                </c:pt>
                <c:pt idx="268">
                  <c:v>0</c:v>
                </c:pt>
                <c:pt idx="269">
                  <c:v>0</c:v>
                </c:pt>
                <c:pt idx="270">
                  <c:v>0</c:v>
                </c:pt>
                <c:pt idx="271">
                  <c:v>0</c:v>
                </c:pt>
                <c:pt idx="272">
                  <c:v>0</c:v>
                </c:pt>
                <c:pt idx="273">
                  <c:v>0</c:v>
                </c:pt>
                <c:pt idx="274">
                  <c:v>0</c:v>
                </c:pt>
                <c:pt idx="275">
                  <c:v>0</c:v>
                </c:pt>
                <c:pt idx="276">
                  <c:v>0</c:v>
                </c:pt>
                <c:pt idx="277">
                  <c:v>0</c:v>
                </c:pt>
                <c:pt idx="278">
                  <c:v>0</c:v>
                </c:pt>
                <c:pt idx="279">
                  <c:v>0</c:v>
                </c:pt>
                <c:pt idx="280">
                  <c:v>0</c:v>
                </c:pt>
                <c:pt idx="281">
                  <c:v>0</c:v>
                </c:pt>
                <c:pt idx="282">
                  <c:v>0</c:v>
                </c:pt>
                <c:pt idx="283">
                  <c:v>0</c:v>
                </c:pt>
                <c:pt idx="284">
                  <c:v>0</c:v>
                </c:pt>
                <c:pt idx="285">
                  <c:v>0</c:v>
                </c:pt>
                <c:pt idx="286">
                  <c:v>0</c:v>
                </c:pt>
                <c:pt idx="287">
                  <c:v>0</c:v>
                </c:pt>
                <c:pt idx="288">
                  <c:v>0</c:v>
                </c:pt>
                <c:pt idx="289">
                  <c:v>0</c:v>
                </c:pt>
                <c:pt idx="290">
                  <c:v>0</c:v>
                </c:pt>
                <c:pt idx="291">
                  <c:v>0</c:v>
                </c:pt>
                <c:pt idx="292">
                  <c:v>0</c:v>
                </c:pt>
                <c:pt idx="293">
                  <c:v>0</c:v>
                </c:pt>
                <c:pt idx="294">
                  <c:v>0</c:v>
                </c:pt>
                <c:pt idx="295">
                  <c:v>0</c:v>
                </c:pt>
                <c:pt idx="296">
                  <c:v>0</c:v>
                </c:pt>
                <c:pt idx="297">
                  <c:v>0</c:v>
                </c:pt>
                <c:pt idx="298">
                  <c:v>0</c:v>
                </c:pt>
                <c:pt idx="299">
                  <c:v>0</c:v>
                </c:pt>
              </c:numCache>
            </c:numRef>
          </c:val>
          <c:smooth val="0"/>
          <c:extLst>
            <c:ext xmlns:c16="http://schemas.microsoft.com/office/drawing/2014/chart" uri="{C3380CC4-5D6E-409C-BE32-E72D297353CC}">
              <c16:uniqueId val="{00000001-F64C-4829-9AA1-B1733E417A90}"/>
            </c:ext>
          </c:extLst>
        </c:ser>
        <c:dLbls>
          <c:showLegendKey val="0"/>
          <c:showVal val="0"/>
          <c:showCatName val="0"/>
          <c:showSerName val="0"/>
          <c:showPercent val="0"/>
          <c:showBubbleSize val="0"/>
        </c:dLbls>
        <c:smooth val="0"/>
        <c:axId val="490204432"/>
        <c:axId val="490198672"/>
      </c:lineChart>
      <c:catAx>
        <c:axId val="4902044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0198672"/>
        <c:crosses val="autoZero"/>
        <c:auto val="1"/>
        <c:lblAlgn val="ctr"/>
        <c:lblOffset val="100"/>
        <c:noMultiLvlLbl val="0"/>
      </c:catAx>
      <c:valAx>
        <c:axId val="490198672"/>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02044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numDim type="val">
        <cx:f>_xlchart.v1.5</cx:f>
      </cx:numDim>
    </cx:data>
    <cx:data id="1">
      <cx:numDim type="val">
        <cx:f>_xlchart.v1.3</cx:f>
      </cx:numDim>
    </cx:data>
  </cx:chartData>
  <cx:chart>
    <cx:title pos="t" align="ctr" overlay="0">
      <cx:tx>
        <cx:rich>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Spread of Simulation Outcomes for Total Assets in </a:t>
            </a:r>
          </a:p>
          <a:p>
            <a:pPr algn="ctr" rtl="0">
              <a:defRPr/>
            </a:pPr>
            <a:r>
              <a:rPr lang="en-US" sz="1400" b="0" i="0" u="none" strike="noStrike" baseline="0">
                <a:solidFill>
                  <a:sysClr val="windowText" lastClr="000000">
                    <a:lumMod val="65000"/>
                    <a:lumOff val="35000"/>
                  </a:sysClr>
                </a:solidFill>
                <a:latin typeface="Calibri" panose="020F0502020204030204"/>
              </a:rPr>
              <a:t>Rent vs. Buy Scenarios</a:t>
            </a:r>
          </a:p>
        </cx:rich>
      </cx:tx>
    </cx:title>
    <cx:plotArea>
      <cx:plotAreaRegion>
        <cx:series layoutId="boxWhisker" uniqueId="{00000004-F214-40A2-BFC2-8EB85493E3E1}" formatIdx="1">
          <cx:tx>
            <cx:txData>
              <cx:f>_xlchart.v1.4</cx:f>
              <cx:v>Rent - Projected Assets at 30 Years</cx:v>
            </cx:txData>
          </cx:tx>
          <cx:spPr>
            <a:solidFill>
              <a:schemeClr val="accent4">
                <a:lumMod val="75000"/>
                <a:alpha val="75000"/>
              </a:schemeClr>
            </a:solidFill>
            <a:ln w="5080">
              <a:solidFill>
                <a:sysClr val="windowText" lastClr="000000"/>
              </a:solidFill>
            </a:ln>
          </cx:spPr>
          <cx:dataId val="0"/>
          <cx:layoutPr>
            <cx:visibility outliers="1"/>
            <cx:statistics quartileMethod="exclusive"/>
          </cx:layoutPr>
        </cx:series>
        <cx:series layoutId="boxWhisker" uniqueId="{00000005-F214-40A2-BFC2-8EB85493E3E1}">
          <cx:tx>
            <cx:txData>
              <cx:f>_xlchart.v1.2</cx:f>
              <cx:v>Buy - Projected Assets at 30 Years</cx:v>
            </cx:txData>
          </cx:tx>
          <cx:spPr>
            <a:solidFill>
              <a:schemeClr val="accent5">
                <a:lumMod val="75000"/>
                <a:alpha val="75000"/>
              </a:schemeClr>
            </a:solidFill>
            <a:ln w="5080">
              <a:solidFill>
                <a:schemeClr val="tx1"/>
              </a:solidFill>
            </a:ln>
          </cx:spPr>
          <cx:dataId val="1"/>
          <cx:layoutPr>
            <cx:statistics quartileMethod="exclusive"/>
          </cx:layoutPr>
        </cx:series>
      </cx:plotAreaRegion>
      <cx:axis id="0" hidden="1">
        <cx:catScaling gapWidth="0.100000001"/>
        <cx:tickLabels/>
        <cx:numFmt formatCode="0.00,," sourceLinked="0"/>
      </cx:axis>
      <cx:axis id="1">
        <cx:valScaling/>
        <cx:majorGridlines/>
        <cx:tickLabels/>
        <cx:numFmt formatCode="$0,, &quot;M&quot;" sourceLinked="0"/>
      </cx:axis>
    </cx:plotArea>
    <cx:legend pos="b" align="ctr" overlay="0">
      <cx:txPr>
        <a:bodyPr spcFirstLastPara="1" vertOverflow="ellipsis" horzOverflow="overflow" wrap="square" lIns="0" tIns="0" rIns="0" bIns="0" anchor="ctr" anchorCtr="1"/>
        <a:lstStyle/>
        <a:p>
          <a:pPr algn="ctr" rtl="0">
            <a:defRPr/>
          </a:pPr>
          <a:endParaRPr lang="en-US" sz="900" b="0" i="0" u="none" strike="noStrike" baseline="0">
            <a:solidFill>
              <a:sysClr val="windowText" lastClr="000000">
                <a:lumMod val="65000"/>
                <a:lumOff val="35000"/>
              </a:sysClr>
            </a:solidFill>
            <a:latin typeface="Calibri" panose="020F0502020204030204"/>
          </a:endParaRPr>
        </a:p>
      </cx:txPr>
    </cx:legend>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numDim type="val">
        <cx:f>_xlchart.v1.1</cx:f>
      </cx:numDim>
    </cx:data>
  </cx:chartData>
  <cx:chart>
    <cx:title pos="t" align="ctr" overlay="0">
      <cx:tx>
        <cx:txData>
          <cx:v>Rent - Spread of Simulation Results (Total Assets) </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Rent - Spread of Simulation Results (Total Assets) </a:t>
          </a:r>
        </a:p>
      </cx:txPr>
    </cx:title>
    <cx:plotArea>
      <cx:plotAreaRegion>
        <cx:series layoutId="clusteredColumn" uniqueId="{00000000-2C91-4BF4-BD83-BC99B4D9BB58}">
          <cx:tx>
            <cx:txData>
              <cx:f>_xlchart.v1.0</cx:f>
              <cx:v>Rent - Projected Assets at 30 Years</cx:v>
            </cx:txData>
          </cx:tx>
          <cx:dataId val="0"/>
          <cx:layoutPr>
            <cx:binning intervalClosed="r">
              <cx:binCount val="15"/>
            </cx:binning>
          </cx:layoutPr>
        </cx:series>
      </cx:plotAreaRegion>
      <cx:axis id="0">
        <cx:catScaling gapWidth="0"/>
        <cx:title>
          <cx:tx>
            <cx:rich>
              <a:bodyPr spcFirstLastPara="1" vertOverflow="ellipsis" horzOverflow="overflow" wrap="square" lIns="0" tIns="0" rIns="0" bIns="0" anchor="ctr" anchorCtr="1"/>
              <a:lstStyle/>
              <a:p>
                <a:pPr rtl="0"/>
                <a:r>
                  <a:rPr lang="en-US" sz="900" b="0" i="0" baseline="0">
                    <a:solidFill>
                      <a:schemeClr val="tx1">
                        <a:lumMod val="65000"/>
                        <a:lumOff val="35000"/>
                      </a:schemeClr>
                    </a:solidFill>
                    <a:effectLst/>
                    <a:latin typeface="+mn-lt"/>
                  </a:rPr>
                  <a:t>$ (In Millions) of Total Assets</a:t>
                </a:r>
                <a:endParaRPr lang="en-US" sz="200">
                  <a:solidFill>
                    <a:schemeClr val="tx1">
                      <a:lumMod val="65000"/>
                      <a:lumOff val="35000"/>
                    </a:schemeClr>
                  </a:solidFill>
                  <a:effectLst/>
                  <a:latin typeface="+mn-lt"/>
                </a:endParaRPr>
              </a:p>
            </cx:rich>
          </cx:tx>
        </cx:title>
        <cx:tickLabels/>
        <cx:numFmt formatCode="0.000,," sourceLinked="0"/>
      </cx:axis>
      <cx:axis id="1">
        <cx:valScaling/>
        <cx:title>
          <cx:tx>
            <cx:txData>
              <cx:v>Trial Runs</cx:v>
            </cx:txData>
          </cx:tx>
          <cx:txPr>
            <a:bodyPr spcFirstLastPara="1" vertOverflow="ellipsis" horzOverflow="overflow" wrap="square" lIns="0" tIns="0" rIns="0" bIns="0" anchor="ctr" anchorCtr="1"/>
            <a:lstStyle/>
            <a:p>
              <a:pPr algn="ctr" rtl="0">
                <a:defRPr/>
              </a:pPr>
              <a:r>
                <a:rPr lang="en-US" sz="900" b="0" i="0" u="none" strike="noStrike" baseline="0">
                  <a:solidFill>
                    <a:sysClr val="windowText" lastClr="000000">
                      <a:lumMod val="65000"/>
                      <a:lumOff val="35000"/>
                    </a:sysClr>
                  </a:solidFill>
                  <a:latin typeface="Calibri" panose="020F0502020204030204"/>
                </a:rPr>
                <a:t>Trial Runs</a:t>
              </a:r>
            </a:p>
          </cx:txPr>
        </cx:title>
        <cx:majorGridlines/>
        <cx:tickLabels/>
      </cx:axis>
    </cx:plotArea>
  </cx:chart>
</cx:chartSpace>
</file>

<file path=xl/charts/chartEx3.xml><?xml version="1.0" encoding="utf-8"?>
<cx:chartSpace xmlns:a="http://schemas.openxmlformats.org/drawingml/2006/main" xmlns:r="http://schemas.openxmlformats.org/officeDocument/2006/relationships" xmlns:cx="http://schemas.microsoft.com/office/drawing/2014/chartex">
  <cx:chartData>
    <cx:data id="0">
      <cx:numDim type="val">
        <cx:f>_xlchart.v1.7</cx:f>
      </cx:numDim>
    </cx:data>
  </cx:chartData>
  <cx:chart>
    <cx:title pos="t" align="ctr" overlay="0">
      <cx:tx>
        <cx:txData>
          <cx:v>Buy - Spread of Simuation Results (Total Assets)</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Buy - Spread of Simuation Results (Total Assets)</a:t>
          </a:r>
        </a:p>
      </cx:txPr>
    </cx:title>
    <cx:plotArea>
      <cx:plotAreaRegion>
        <cx:series layoutId="clusteredColumn" uniqueId="{88EFE3EC-3846-4E11-881C-14A31801D20B}">
          <cx:tx>
            <cx:txData>
              <cx:f>_xlchart.v1.6</cx:f>
              <cx:v>Buy - Projected Assets at 30 Years</cx:v>
            </cx:txData>
          </cx:tx>
          <cx:dataId val="0"/>
          <cx:layoutPr>
            <cx:binning intervalClosed="r"/>
          </cx:layoutPr>
        </cx:series>
      </cx:plotAreaRegion>
      <cx:axis id="0">
        <cx:catScaling gapWidth="0"/>
        <cx:title>
          <cx:tx>
            <cx:txData>
              <cx:v>$ (In Millions) of Total Assets</cx:v>
            </cx:txData>
          </cx:tx>
          <cx:txPr>
            <a:bodyPr spcFirstLastPara="1" vertOverflow="ellipsis" horzOverflow="overflow" wrap="square" lIns="0" tIns="0" rIns="0" bIns="0" anchor="ctr" anchorCtr="1"/>
            <a:lstStyle/>
            <a:p>
              <a:pPr algn="ctr" rtl="0">
                <a:defRPr/>
              </a:pPr>
              <a:r>
                <a:rPr lang="en-US" sz="900" b="0" i="0" u="none" strike="noStrike" baseline="0">
                  <a:solidFill>
                    <a:sysClr val="windowText" lastClr="000000">
                      <a:lumMod val="65000"/>
                      <a:lumOff val="35000"/>
                    </a:sysClr>
                  </a:solidFill>
                  <a:latin typeface="Calibri" panose="020F0502020204030204"/>
                </a:rPr>
                <a:t>$ (In Millions) of Total Assets</a:t>
              </a:r>
            </a:p>
          </cx:txPr>
        </cx:title>
        <cx:tickLabels/>
        <cx:numFmt formatCode="$0.000,," sourceLinked="0"/>
      </cx:axis>
      <cx:axis id="1">
        <cx:valScaling/>
        <cx:title>
          <cx:tx>
            <cx:txData>
              <cx:v>Trial Runs</cx:v>
            </cx:txData>
          </cx:tx>
          <cx:txPr>
            <a:bodyPr spcFirstLastPara="1" vertOverflow="ellipsis" horzOverflow="overflow" wrap="square" lIns="0" tIns="0" rIns="0" bIns="0" anchor="ctr" anchorCtr="1"/>
            <a:lstStyle/>
            <a:p>
              <a:pPr algn="ctr" rtl="0">
                <a:defRPr/>
              </a:pPr>
              <a:r>
                <a:rPr lang="en-US" sz="900" b="0" i="0" u="none" strike="noStrike" baseline="0">
                  <a:solidFill>
                    <a:sysClr val="windowText" lastClr="000000">
                      <a:lumMod val="65000"/>
                      <a:lumOff val="35000"/>
                    </a:sysClr>
                  </a:solidFill>
                  <a:latin typeface="Calibri" panose="020F0502020204030204"/>
                </a:rPr>
                <a:t>Trial Runs</a:t>
              </a:r>
            </a:p>
          </cx:txPr>
        </cx:title>
        <cx:majorGridlines/>
        <cx:tickLabels/>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6.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7.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Spin" dx="26" fmlaLink="$C$7" max="2100" min="1950" page="10" val="2022"/>
</file>

<file path=xl/ctrlProps/ctrlProp2.xml><?xml version="1.0" encoding="utf-8"?>
<formControlPr xmlns="http://schemas.microsoft.com/office/spreadsheetml/2009/9/main" objectType="Spin" dx="26" fmlaLink="$C$9" max="2100" min="1950" page="10" val="2061"/>
</file>

<file path=xl/ctrlProps/ctrlProp3.xml><?xml version="1.0" encoding="utf-8"?>
<formControlPr xmlns="http://schemas.microsoft.com/office/spreadsheetml/2009/9/main" objectType="Spin" dx="26" fmlaLink="$C$8" max="2100" min="1950" page="10" val="2022"/>
</file>

<file path=xl/ctrlProps/ctrlProp4.xml><?xml version="1.0" encoding="utf-8"?>
<formControlPr xmlns="http://schemas.microsoft.com/office/spreadsheetml/2009/9/main" objectType="Spin" dx="26" fmlaLink="$C$10" max="2100" min="1950" page="10" val="2049"/>
</file>

<file path=xl/ctrlProps/ctrlProp5.xml><?xml version="1.0" encoding="utf-8"?>
<formControlPr xmlns="http://schemas.microsoft.com/office/spreadsheetml/2009/9/main" objectType="Spin" dx="26" fmlaLink="$C$8" max="2100" min="1950" page="10" val="2022"/>
</file>

<file path=xl/ctrlProps/ctrlProp6.xml><?xml version="1.0" encoding="utf-8"?>
<formControlPr xmlns="http://schemas.microsoft.com/office/spreadsheetml/2009/9/main" objectType="Spin" dx="26" fmlaLink="$C$10" max="2100" min="1950" page="10" val="2060"/>
</file>

<file path=xl/ctrlProps/ctrlProp7.xml><?xml version="1.0" encoding="utf-8"?>
<formControlPr xmlns="http://schemas.microsoft.com/office/spreadsheetml/2009/9/main" objectType="Spin" dx="26" fmlaLink="$C$8" max="2100" min="1950" page="10" val="2022"/>
</file>

<file path=xl/ctrlProps/ctrlProp8.xml><?xml version="1.0" encoding="utf-8"?>
<formControlPr xmlns="http://schemas.microsoft.com/office/spreadsheetml/2009/9/main" objectType="Spin" dx="26" fmlaLink="$C$10" max="2100" min="1950" page="10" val="2049"/>
</file>

<file path=xl/ctrlProps/ctrlProp9.xml><?xml version="1.0" encoding="utf-8"?>
<formControlPr xmlns="http://schemas.microsoft.com/office/spreadsheetml/2009/9/main" objectType="Spin" dx="26" fmlaLink="$C$8" max="2100" min="1950" page="10" val="2017"/>
</file>

<file path=xl/ctrlProps/ctrlProp10.xml><?xml version="1.0" encoding="utf-8"?>
<formControlPr xmlns="http://schemas.microsoft.com/office/spreadsheetml/2009/9/main" objectType="Spin" dx="26" fmlaLink="$C$10" max="2100" min="1950" page="10" val="206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Annual Amort. Sch.'!A1"/><Relationship Id="rId7" Type="http://schemas.openxmlformats.org/officeDocument/2006/relationships/hyperlink" Target="#'Monte Carlo Simulation'!A1"/><Relationship Id="rId2" Type="http://schemas.openxmlformats.org/officeDocument/2006/relationships/hyperlink" Target="#'Data Entry'!A1"/><Relationship Id="rId1" Type="http://schemas.openxmlformats.org/officeDocument/2006/relationships/hyperlink" Target="#'Monthly Amort. Sch.'!A1"/><Relationship Id="rId6" Type="http://schemas.openxmlformats.org/officeDocument/2006/relationships/hyperlink" Target="#'Total Projected Assets'!A1"/><Relationship Id="rId5" Type="http://schemas.openxmlformats.org/officeDocument/2006/relationships/hyperlink" Target="#'Investment Simulation'!A1"/><Relationship Id="rId4" Type="http://schemas.openxmlformats.org/officeDocument/2006/relationships/hyperlink" Target="#'Difference in Expenses'!A1"/></Relationships>
</file>

<file path=xl/drawings/_rels/drawing3.xml.rels><?xml version="1.0" encoding="UTF-8" standalone="yes"?>
<Relationships xmlns="http://schemas.openxmlformats.org/package/2006/relationships"><Relationship Id="rId1" Type="http://schemas.openxmlformats.org/officeDocument/2006/relationships/hyperlink" Target="#'Navigation Pane'!A1"/></Relationships>
</file>

<file path=xl/drawings/_rels/drawing4.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hyperlink" Target="#'Navigation Pane'!A1"/></Relationships>
</file>

<file path=xl/drawings/_rels/drawing5.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6" Type="http://schemas.openxmlformats.org/officeDocument/2006/relationships/chart" Target="../charts/chart8.xml"/><Relationship Id="rId5" Type="http://schemas.openxmlformats.org/officeDocument/2006/relationships/chart" Target="../charts/chart7.xml"/><Relationship Id="rId4" Type="http://schemas.openxmlformats.org/officeDocument/2006/relationships/hyperlink" Target="#'Navigation Pane'!A1"/></Relationships>
</file>

<file path=xl/drawings/_rels/drawing6.xml.rels><?xml version="1.0" encoding="UTF-8" standalone="yes"?>
<Relationships xmlns="http://schemas.openxmlformats.org/package/2006/relationships"><Relationship Id="rId3" Type="http://schemas.openxmlformats.org/officeDocument/2006/relationships/hyperlink" Target="#'Navigation Pane'!A1"/><Relationship Id="rId2" Type="http://schemas.openxmlformats.org/officeDocument/2006/relationships/chart" Target="../charts/chart10.xml"/><Relationship Id="rId1" Type="http://schemas.openxmlformats.org/officeDocument/2006/relationships/chart" Target="../charts/chart9.xml"/><Relationship Id="rId4" Type="http://schemas.openxmlformats.org/officeDocument/2006/relationships/chart" Target="../charts/chart11.xml"/></Relationships>
</file>

<file path=xl/drawings/_rels/drawing7.xml.rels><?xml version="1.0" encoding="UTF-8" standalone="yes"?>
<Relationships xmlns="http://schemas.openxmlformats.org/package/2006/relationships"><Relationship Id="rId3" Type="http://schemas.openxmlformats.org/officeDocument/2006/relationships/hyperlink" Target="#'Navigation Pane'!A1"/><Relationship Id="rId2" Type="http://schemas.openxmlformats.org/officeDocument/2006/relationships/hyperlink" Target="#simulation_stock_market_mean_return"/><Relationship Id="rId1" Type="http://schemas.openxmlformats.org/officeDocument/2006/relationships/chart" Target="../charts/chart12.xml"/><Relationship Id="rId4" Type="http://schemas.openxmlformats.org/officeDocument/2006/relationships/chart" Target="../charts/chart13.xml"/></Relationships>
</file>

<file path=xl/drawings/_rels/drawing8.xml.rels><?xml version="1.0" encoding="UTF-8" standalone="yes"?>
<Relationships xmlns="http://schemas.openxmlformats.org/package/2006/relationships"><Relationship Id="rId2" Type="http://schemas.openxmlformats.org/officeDocument/2006/relationships/hyperlink" Target="#'Navigation Pane'!A1"/><Relationship Id="rId1" Type="http://schemas.openxmlformats.org/officeDocument/2006/relationships/chart" Target="../charts/chart14.xml"/></Relationships>
</file>

<file path=xl/drawings/_rels/drawing9.xml.rels><?xml version="1.0" encoding="UTF-8" standalone="yes"?>
<Relationships xmlns="http://schemas.openxmlformats.org/package/2006/relationships"><Relationship Id="rId3" Type="http://schemas.microsoft.com/office/2014/relationships/chartEx" Target="../charts/chartEx3.xml"/><Relationship Id="rId2" Type="http://schemas.microsoft.com/office/2014/relationships/chartEx" Target="../charts/chartEx2.xml"/><Relationship Id="rId1" Type="http://schemas.microsoft.com/office/2014/relationships/chartEx" Target="../charts/chartEx1.xml"/><Relationship Id="rId4" Type="http://schemas.openxmlformats.org/officeDocument/2006/relationships/hyperlink" Target="#'Navigation Pane'!A1"/></Relationships>
</file>

<file path=xl/drawings/_rels/drawing10.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6.xml"/></Relationships>
</file>

<file path=xl/drawings/drawing1.xml><?xml version="1.0" encoding="utf-8"?>
<xdr:wsDr xmlns:xdr="http://schemas.openxmlformats.org/drawingml/2006/spreadsheetDrawing" xmlns:a="http://schemas.openxmlformats.org/drawingml/2006/main">
  <xdr:twoCellAnchor editAs="oneCell">
    <xdr:from>
      <xdr:col>0</xdr:col>
      <xdr:colOff>434340</xdr:colOff>
      <xdr:row>2</xdr:row>
      <xdr:rowOff>91439</xdr:rowOff>
    </xdr:from>
    <xdr:to>
      <xdr:col>4</xdr:col>
      <xdr:colOff>76200</xdr:colOff>
      <xdr:row>12</xdr:row>
      <xdr:rowOff>59454</xdr:rowOff>
    </xdr:to>
    <xdr:pic>
      <xdr:nvPicPr>
        <xdr:cNvPr id="2" name="Picture 1">
          <a:extLst>
            <a:ext uri="{FF2B5EF4-FFF2-40B4-BE49-F238E27FC236}">
              <a16:creationId xmlns:a16="http://schemas.microsoft.com/office/drawing/2014/main" id="{72FB4B28-3F51-9942-54E6-DB1989B47204}"/>
            </a:ext>
          </a:extLst>
        </xdr:cNvPr>
        <xdr:cNvPicPr>
          <a:picLocks noChangeAspect="1"/>
        </xdr:cNvPicPr>
      </xdr:nvPicPr>
      <xdr:blipFill rotWithShape="1">
        <a:blip xmlns:r="http://schemas.openxmlformats.org/officeDocument/2006/relationships" r:embed="rId1"/>
        <a:srcRect l="14524"/>
        <a:stretch/>
      </xdr:blipFill>
      <xdr:spPr>
        <a:xfrm>
          <a:off x="434340" y="426719"/>
          <a:ext cx="2080260" cy="1644415"/>
        </a:xfrm>
        <a:prstGeom prst="rect">
          <a:avLst/>
        </a:prstGeom>
      </xdr:spPr>
    </xdr:pic>
    <xdr:clientData/>
  </xdr:twoCellAnchor>
  <xdr:twoCellAnchor>
    <xdr:from>
      <xdr:col>5</xdr:col>
      <xdr:colOff>15240</xdr:colOff>
      <xdr:row>1</xdr:row>
      <xdr:rowOff>160020</xdr:rowOff>
    </xdr:from>
    <xdr:to>
      <xdr:col>15</xdr:col>
      <xdr:colOff>251460</xdr:colOff>
      <xdr:row>11</xdr:row>
      <xdr:rowOff>38100</xdr:rowOff>
    </xdr:to>
    <xdr:sp macro="" textlink="">
      <xdr:nvSpPr>
        <xdr:cNvPr id="3" name="Rectangle 2">
          <a:extLst>
            <a:ext uri="{FF2B5EF4-FFF2-40B4-BE49-F238E27FC236}">
              <a16:creationId xmlns:a16="http://schemas.microsoft.com/office/drawing/2014/main" id="{4488370D-7CF8-DCE0-C936-F76E724F996F}"/>
            </a:ext>
          </a:extLst>
        </xdr:cNvPr>
        <xdr:cNvSpPr/>
      </xdr:nvSpPr>
      <xdr:spPr>
        <a:xfrm>
          <a:off x="3063240" y="327660"/>
          <a:ext cx="6332220" cy="1554480"/>
        </a:xfrm>
        <a:prstGeom prst="rect">
          <a:avLst/>
        </a:prstGeom>
        <a:solidFill>
          <a:schemeClr val="bg1">
            <a:lumMod val="95000"/>
          </a:schemeClr>
        </a:solidFill>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r>
            <a:rPr lang="en-US" sz="1600">
              <a:solidFill>
                <a:sysClr val="windowText" lastClr="000000"/>
              </a:solidFill>
            </a:rPr>
            <a:t>This workbook was created by Eric Hubbard at Know</a:t>
          </a:r>
          <a:r>
            <a:rPr lang="en-US" sz="1600" baseline="0">
              <a:solidFill>
                <a:sysClr val="windowText" lastClr="000000"/>
              </a:solidFill>
            </a:rPr>
            <a:t> the Cost Financial.</a:t>
          </a:r>
        </a:p>
        <a:p>
          <a:pPr algn="l"/>
          <a:endParaRPr lang="en-US" sz="1600" baseline="0">
            <a:solidFill>
              <a:sysClr val="windowText" lastClr="000000"/>
            </a:solidFill>
          </a:endParaRPr>
        </a:p>
        <a:p>
          <a:pPr algn="l"/>
          <a:r>
            <a:rPr lang="en-US" sz="1600" b="1" baseline="0">
              <a:solidFill>
                <a:sysClr val="windowText" lastClr="000000"/>
              </a:solidFill>
            </a:rPr>
            <a:t>Website: </a:t>
          </a:r>
          <a:r>
            <a:rPr lang="en-US" sz="1600" baseline="0">
              <a:solidFill>
                <a:sysClr val="windowText" lastClr="000000"/>
              </a:solidFill>
            </a:rPr>
            <a:t>knowthecostfinancial.com</a:t>
          </a:r>
        </a:p>
        <a:p>
          <a:pPr algn="l"/>
          <a:endParaRPr lang="en-US" sz="1600" baseline="0">
            <a:solidFill>
              <a:sysClr val="windowText" lastClr="000000"/>
            </a:solidFill>
          </a:endParaRPr>
        </a:p>
        <a:p>
          <a:pPr algn="l"/>
          <a:r>
            <a:rPr lang="en-US" sz="1600" b="1" baseline="0">
              <a:solidFill>
                <a:sysClr val="windowText" lastClr="000000"/>
              </a:solidFill>
            </a:rPr>
            <a:t>Email: </a:t>
          </a:r>
          <a:r>
            <a:rPr lang="en-US" sz="1600" baseline="0">
              <a:solidFill>
                <a:sysClr val="windowText" lastClr="000000"/>
              </a:solidFill>
            </a:rPr>
            <a:t>eric@knowthecostfinancial.com</a:t>
          </a:r>
        </a:p>
        <a:p>
          <a:pPr algn="l"/>
          <a:endParaRPr lang="en-US" sz="16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29238</xdr:colOff>
      <xdr:row>10</xdr:row>
      <xdr:rowOff>143703</xdr:rowOff>
    </xdr:from>
    <xdr:to>
      <xdr:col>15</xdr:col>
      <xdr:colOff>29238</xdr:colOff>
      <xdr:row>14</xdr:row>
      <xdr:rowOff>30728</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BA20E69C-9C3B-449C-BBC8-80C03C5EF204}"/>
            </a:ext>
          </a:extLst>
        </xdr:cNvPr>
        <xdr:cNvSpPr/>
      </xdr:nvSpPr>
      <xdr:spPr>
        <a:xfrm>
          <a:off x="468216" y="3216551"/>
          <a:ext cx="1838739" cy="582764"/>
        </a:xfrm>
        <a:prstGeom prst="rect">
          <a:avLst/>
        </a:prstGeom>
        <a:solidFill>
          <a:schemeClr val="accent1">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kern="1200"/>
            <a:t>Monthly</a:t>
          </a:r>
        </a:p>
      </xdr:txBody>
    </xdr:sp>
    <xdr:clientData/>
  </xdr:twoCellAnchor>
  <xdr:twoCellAnchor>
    <xdr:from>
      <xdr:col>12</xdr:col>
      <xdr:colOff>36195</xdr:colOff>
      <xdr:row>3</xdr:row>
      <xdr:rowOff>110720</xdr:rowOff>
    </xdr:from>
    <xdr:to>
      <xdr:col>15</xdr:col>
      <xdr:colOff>36195</xdr:colOff>
      <xdr:row>6</xdr:row>
      <xdr:rowOff>156440</xdr:rowOff>
    </xdr:to>
    <xdr:sp macro="" textlink="">
      <xdr:nvSpPr>
        <xdr:cNvPr id="3" name="Rectangle 2">
          <a:hlinkClick xmlns:r="http://schemas.openxmlformats.org/officeDocument/2006/relationships" r:id="rId2"/>
          <a:extLst>
            <a:ext uri="{FF2B5EF4-FFF2-40B4-BE49-F238E27FC236}">
              <a16:creationId xmlns:a16="http://schemas.microsoft.com/office/drawing/2014/main" id="{FB8D980F-B06C-4CB8-A13F-8ED074083AAC}"/>
            </a:ext>
          </a:extLst>
        </xdr:cNvPr>
        <xdr:cNvSpPr/>
      </xdr:nvSpPr>
      <xdr:spPr>
        <a:xfrm>
          <a:off x="475173" y="1908046"/>
          <a:ext cx="1838739" cy="567524"/>
        </a:xfrm>
        <a:prstGeom prst="rect">
          <a:avLst/>
        </a:prstGeom>
        <a:solidFill>
          <a:schemeClr val="accent1">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kern="1200"/>
            <a:t>Data Entry</a:t>
          </a:r>
        </a:p>
      </xdr:txBody>
    </xdr:sp>
    <xdr:clientData/>
  </xdr:twoCellAnchor>
  <xdr:twoCellAnchor>
    <xdr:from>
      <xdr:col>12</xdr:col>
      <xdr:colOff>26958</xdr:colOff>
      <xdr:row>16</xdr:row>
      <xdr:rowOff>96199</xdr:rowOff>
    </xdr:from>
    <xdr:to>
      <xdr:col>15</xdr:col>
      <xdr:colOff>26959</xdr:colOff>
      <xdr:row>19</xdr:row>
      <xdr:rowOff>129092</xdr:rowOff>
    </xdr:to>
    <xdr:sp macro="" textlink="">
      <xdr:nvSpPr>
        <xdr:cNvPr id="4" name="Rectangle 3">
          <a:hlinkClick xmlns:r="http://schemas.openxmlformats.org/officeDocument/2006/relationships" r:id="rId3"/>
          <a:extLst>
            <a:ext uri="{FF2B5EF4-FFF2-40B4-BE49-F238E27FC236}">
              <a16:creationId xmlns:a16="http://schemas.microsoft.com/office/drawing/2014/main" id="{15D717D7-8F98-4941-A3DF-C08DED2ECCD3}"/>
            </a:ext>
          </a:extLst>
        </xdr:cNvPr>
        <xdr:cNvSpPr/>
      </xdr:nvSpPr>
      <xdr:spPr>
        <a:xfrm>
          <a:off x="465936" y="4212656"/>
          <a:ext cx="1838740" cy="554697"/>
        </a:xfrm>
        <a:prstGeom prst="rect">
          <a:avLst/>
        </a:prstGeom>
        <a:solidFill>
          <a:schemeClr val="accent1">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kern="1200"/>
            <a:t>Annual</a:t>
          </a:r>
          <a:endParaRPr lang="en-US" sz="1400" kern="1200" baseline="0"/>
        </a:p>
      </xdr:txBody>
    </xdr:sp>
    <xdr:clientData/>
  </xdr:twoCellAnchor>
  <xdr:twoCellAnchor>
    <xdr:from>
      <xdr:col>12</xdr:col>
      <xdr:colOff>19050</xdr:colOff>
      <xdr:row>23</xdr:row>
      <xdr:rowOff>93345</xdr:rowOff>
    </xdr:from>
    <xdr:to>
      <xdr:col>15</xdr:col>
      <xdr:colOff>19050</xdr:colOff>
      <xdr:row>26</xdr:row>
      <xdr:rowOff>161925</xdr:rowOff>
    </xdr:to>
    <xdr:sp macro="" textlink="">
      <xdr:nvSpPr>
        <xdr:cNvPr id="5" name="Rectangle 4">
          <a:hlinkClick xmlns:r="http://schemas.openxmlformats.org/officeDocument/2006/relationships" r:id="rId4"/>
          <a:extLst>
            <a:ext uri="{FF2B5EF4-FFF2-40B4-BE49-F238E27FC236}">
              <a16:creationId xmlns:a16="http://schemas.microsoft.com/office/drawing/2014/main" id="{ADE121A3-6A4F-4C02-AD3B-4CF30A97DE04}"/>
            </a:ext>
          </a:extLst>
        </xdr:cNvPr>
        <xdr:cNvSpPr/>
      </xdr:nvSpPr>
      <xdr:spPr>
        <a:xfrm>
          <a:off x="628650" y="2979420"/>
          <a:ext cx="1828800" cy="582930"/>
        </a:xfrm>
        <a:prstGeom prst="rect">
          <a:avLst/>
        </a:prstGeom>
        <a:solidFill>
          <a:schemeClr val="accent1">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kern="1200"/>
            <a:t>Difference in Expenses</a:t>
          </a:r>
        </a:p>
      </xdr:txBody>
    </xdr:sp>
    <xdr:clientData/>
  </xdr:twoCellAnchor>
  <xdr:twoCellAnchor>
    <xdr:from>
      <xdr:col>1</xdr:col>
      <xdr:colOff>44824</xdr:colOff>
      <xdr:row>2</xdr:row>
      <xdr:rowOff>212793</xdr:rowOff>
    </xdr:from>
    <xdr:to>
      <xdr:col>11</xdr:col>
      <xdr:colOff>0</xdr:colOff>
      <xdr:row>9</xdr:row>
      <xdr:rowOff>11161</xdr:rowOff>
    </xdr:to>
    <xdr:sp macro="" textlink="">
      <xdr:nvSpPr>
        <xdr:cNvPr id="10" name="Text Box 5">
          <a:extLst>
            <a:ext uri="{FF2B5EF4-FFF2-40B4-BE49-F238E27FC236}">
              <a16:creationId xmlns:a16="http://schemas.microsoft.com/office/drawing/2014/main" id="{00F3B7D1-AB6A-4C1B-B59B-7291587160CA}"/>
            </a:ext>
          </a:extLst>
        </xdr:cNvPr>
        <xdr:cNvSpPr txBox="1">
          <a:spLocks noChangeArrowheads="1"/>
        </xdr:cNvSpPr>
      </xdr:nvSpPr>
      <xdr:spPr bwMode="auto">
        <a:xfrm>
          <a:off x="481853" y="717058"/>
          <a:ext cx="6057777" cy="1031015"/>
        </a:xfrm>
        <a:prstGeom prst="rect">
          <a:avLst/>
        </a:prstGeom>
        <a:solidFill>
          <a:srgbClr val="FFFFFF"/>
        </a:solidFill>
        <a:ln w="9525">
          <a:solidFill>
            <a:schemeClr val="bg1">
              <a:lumMod val="50000"/>
            </a:schemeClr>
          </a:solidFill>
          <a:miter lim="800000"/>
          <a:headEnd/>
          <a:tailEnd/>
        </a:ln>
      </xdr:spPr>
      <xdr:txBody>
        <a:bodyPr vertOverflow="clip" wrap="square" lIns="27432" tIns="22860" rIns="0" bIns="0" anchor="t" upright="1"/>
        <a:lstStyle/>
        <a:p>
          <a:pPr algn="l" rtl="0">
            <a:defRPr sz="1000"/>
          </a:pPr>
          <a:r>
            <a:rPr lang="en-US" sz="1100" b="1" i="0" u="sng" strike="noStrike" baseline="0">
              <a:solidFill>
                <a:srgbClr val="C00000"/>
              </a:solidFill>
              <a:latin typeface="Arial"/>
              <a:cs typeface="Arial"/>
            </a:rPr>
            <a:t>Disclaimer:</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This document is not intended, and should not be used, to provide individual financial advice. </a:t>
          </a:r>
        </a:p>
        <a:p>
          <a:pPr algn="l" rtl="0">
            <a:defRPr sz="1000"/>
          </a:pP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Rather, it is for exploratory analysis. There is no gaurantee or promise of accuracy. Again, please do not use this tool to provide individual financial advice.</a:t>
          </a:r>
        </a:p>
      </xdr:txBody>
    </xdr:sp>
    <xdr:clientData/>
  </xdr:twoCellAnchor>
  <xdr:twoCellAnchor>
    <xdr:from>
      <xdr:col>15</xdr:col>
      <xdr:colOff>249062</xdr:colOff>
      <xdr:row>3</xdr:row>
      <xdr:rowOff>77028</xdr:rowOff>
    </xdr:from>
    <xdr:to>
      <xdr:col>24</xdr:col>
      <xdr:colOff>370812</xdr:colOff>
      <xdr:row>7</xdr:row>
      <xdr:rowOff>79513</xdr:rowOff>
    </xdr:to>
    <xdr:sp macro="" textlink="">
      <xdr:nvSpPr>
        <xdr:cNvPr id="11" name="Text Box 5">
          <a:extLst>
            <a:ext uri="{FF2B5EF4-FFF2-40B4-BE49-F238E27FC236}">
              <a16:creationId xmlns:a16="http://schemas.microsoft.com/office/drawing/2014/main" id="{04367A01-844D-43E8-8B27-AE6A0CE46EBC}"/>
            </a:ext>
          </a:extLst>
        </xdr:cNvPr>
        <xdr:cNvSpPr txBox="1">
          <a:spLocks noChangeArrowheads="1"/>
        </xdr:cNvSpPr>
      </xdr:nvSpPr>
      <xdr:spPr bwMode="auto">
        <a:xfrm>
          <a:off x="2501444" y="1813940"/>
          <a:ext cx="5567809" cy="674838"/>
        </a:xfrm>
        <a:prstGeom prst="rect">
          <a:avLst/>
        </a:prstGeom>
        <a:solidFill>
          <a:schemeClr val="bg1">
            <a:lumMod val="95000"/>
          </a:schemeClr>
        </a:solidFill>
        <a:ln w="9525">
          <a:no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Enter your individual data here if you would like the tables and visualizations throughout the workbook to reflect your information. This is the only tab in the workbook that requires data entry. Other tabs are locked and do not allow changes - they will update based on the value entered here. If you need to add a row to a table, you may do so. All calculations will update automatically.</a:t>
          </a:r>
        </a:p>
      </xdr:txBody>
    </xdr:sp>
    <xdr:clientData/>
  </xdr:twoCellAnchor>
  <xdr:twoCellAnchor>
    <xdr:from>
      <xdr:col>15</xdr:col>
      <xdr:colOff>207649</xdr:colOff>
      <xdr:row>10</xdr:row>
      <xdr:rowOff>63030</xdr:rowOff>
    </xdr:from>
    <xdr:to>
      <xdr:col>25</xdr:col>
      <xdr:colOff>124239</xdr:colOff>
      <xdr:row>14</xdr:row>
      <xdr:rowOff>157370</xdr:rowOff>
    </xdr:to>
    <xdr:sp macro="" textlink="">
      <xdr:nvSpPr>
        <xdr:cNvPr id="12" name="Text Box 5">
          <a:extLst>
            <a:ext uri="{FF2B5EF4-FFF2-40B4-BE49-F238E27FC236}">
              <a16:creationId xmlns:a16="http://schemas.microsoft.com/office/drawing/2014/main" id="{55B4A0B9-337D-4C3E-B4C6-76F8900629F5}"/>
            </a:ext>
          </a:extLst>
        </xdr:cNvPr>
        <xdr:cNvSpPr txBox="1">
          <a:spLocks noChangeArrowheads="1"/>
        </xdr:cNvSpPr>
      </xdr:nvSpPr>
      <xdr:spPr bwMode="auto">
        <a:xfrm>
          <a:off x="2485366" y="3135878"/>
          <a:ext cx="6045721" cy="790079"/>
        </a:xfrm>
        <a:prstGeom prst="rect">
          <a:avLst/>
        </a:prstGeom>
        <a:solidFill>
          <a:schemeClr val="bg1">
            <a:lumMod val="95000"/>
          </a:schemeClr>
        </a:solidFill>
        <a:ln w="9525">
          <a:no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Contains a Monthly Mortgage Ammortization table. This tab rolls up into the Annual Mortgage Ammortization table, but it also provides a breakout, based on information entered, of the schedule </a:t>
          </a:r>
          <a:r>
            <a:rPr lang="en-US" sz="1000" b="0" i="0" u="sng" strike="noStrike" baseline="0">
              <a:solidFill>
                <a:srgbClr val="000000"/>
              </a:solidFill>
              <a:latin typeface="Arial"/>
              <a:cs typeface="Arial"/>
            </a:rPr>
            <a:t>with</a:t>
          </a:r>
          <a:r>
            <a:rPr lang="en-US" sz="1000" b="0" i="0" u="none" strike="noStrike" baseline="0">
              <a:solidFill>
                <a:srgbClr val="000000"/>
              </a:solidFill>
              <a:latin typeface="Arial"/>
              <a:cs typeface="Arial"/>
            </a:rPr>
            <a:t> and </a:t>
          </a:r>
          <a:r>
            <a:rPr lang="en-US" sz="1000" b="0" i="0" u="sng" strike="noStrike" baseline="0">
              <a:solidFill>
                <a:srgbClr val="000000"/>
              </a:solidFill>
              <a:latin typeface="Arial"/>
              <a:cs typeface="Arial"/>
            </a:rPr>
            <a:t>without</a:t>
          </a:r>
          <a:r>
            <a:rPr lang="en-US" sz="1000" b="0" i="0" u="none" strike="noStrike" baseline="0">
              <a:solidFill>
                <a:srgbClr val="000000"/>
              </a:solidFill>
              <a:latin typeface="Arial"/>
              <a:cs typeface="Arial"/>
            </a:rPr>
            <a:t> additional principal payments towards the mortgage. The intent is to clarify the opportunity cost of each decision: </a:t>
          </a:r>
          <a:r>
            <a:rPr lang="en-US" sz="1000" b="0" i="0" u="sng" strike="noStrike" baseline="0">
              <a:solidFill>
                <a:srgbClr val="000000"/>
              </a:solidFill>
              <a:latin typeface="Arial"/>
              <a:cs typeface="Arial"/>
            </a:rPr>
            <a:t>paying extra towards the mortgage, or investing the funds</a:t>
          </a:r>
          <a:r>
            <a:rPr lang="en-US" sz="1000" b="0" i="0" u="none" strike="noStrike" baseline="0">
              <a:solidFill>
                <a:srgbClr val="000000"/>
              </a:solidFill>
              <a:latin typeface="Arial"/>
              <a:cs typeface="Arial"/>
            </a:rPr>
            <a:t>. You may alter the anticipated return of your funds on the "Data Entry" tab for "what-if" assessments.</a:t>
          </a:r>
        </a:p>
      </xdr:txBody>
    </xdr:sp>
    <xdr:clientData/>
  </xdr:twoCellAnchor>
  <xdr:twoCellAnchor>
    <xdr:from>
      <xdr:col>15</xdr:col>
      <xdr:colOff>212781</xdr:colOff>
      <xdr:row>16</xdr:row>
      <xdr:rowOff>47790</xdr:rowOff>
    </xdr:from>
    <xdr:to>
      <xdr:col>25</xdr:col>
      <xdr:colOff>121751</xdr:colOff>
      <xdr:row>20</xdr:row>
      <xdr:rowOff>127000</xdr:rowOff>
    </xdr:to>
    <xdr:sp macro="" textlink="">
      <xdr:nvSpPr>
        <xdr:cNvPr id="13" name="Text Box 5">
          <a:extLst>
            <a:ext uri="{FF2B5EF4-FFF2-40B4-BE49-F238E27FC236}">
              <a16:creationId xmlns:a16="http://schemas.microsoft.com/office/drawing/2014/main" id="{D6F394B0-9C8D-48EF-BBA3-15507F1707CE}"/>
            </a:ext>
          </a:extLst>
        </xdr:cNvPr>
        <xdr:cNvSpPr txBox="1">
          <a:spLocks noChangeArrowheads="1"/>
        </xdr:cNvSpPr>
      </xdr:nvSpPr>
      <xdr:spPr bwMode="auto">
        <a:xfrm>
          <a:off x="2473381" y="4086390"/>
          <a:ext cx="6004970" cy="756543"/>
        </a:xfrm>
        <a:prstGeom prst="rect">
          <a:avLst/>
        </a:prstGeom>
        <a:solidFill>
          <a:schemeClr val="bg1">
            <a:lumMod val="95000"/>
          </a:schemeClr>
        </a:solidFill>
        <a:ln w="9525">
          <a:no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Contains an annual mortgage ammortization table. This tab pulls from the Monthly Mortgage Ammortization table. Unlike the Monthly Mortgage Ammortiation table, the Annual view provides a much more detailed view of other measures (e.g., Property taxes, insurance, appreciation, home value, maintenance expenses, loan-to-value).</a:t>
          </a:r>
        </a:p>
      </xdr:txBody>
    </xdr:sp>
    <xdr:clientData/>
  </xdr:twoCellAnchor>
  <xdr:twoCellAnchor>
    <xdr:from>
      <xdr:col>12</xdr:col>
      <xdr:colOff>33867</xdr:colOff>
      <xdr:row>29</xdr:row>
      <xdr:rowOff>143933</xdr:rowOff>
    </xdr:from>
    <xdr:to>
      <xdr:col>15</xdr:col>
      <xdr:colOff>33867</xdr:colOff>
      <xdr:row>33</xdr:row>
      <xdr:rowOff>43180</xdr:rowOff>
    </xdr:to>
    <xdr:sp macro="" textlink="">
      <xdr:nvSpPr>
        <xdr:cNvPr id="6" name="Rectangle 5">
          <a:hlinkClick xmlns:r="http://schemas.openxmlformats.org/officeDocument/2006/relationships" r:id="rId5"/>
          <a:extLst>
            <a:ext uri="{FF2B5EF4-FFF2-40B4-BE49-F238E27FC236}">
              <a16:creationId xmlns:a16="http://schemas.microsoft.com/office/drawing/2014/main" id="{C7A1A394-0207-4189-B4DB-5BF86BCEE97A}"/>
            </a:ext>
          </a:extLst>
        </xdr:cNvPr>
        <xdr:cNvSpPr/>
      </xdr:nvSpPr>
      <xdr:spPr>
        <a:xfrm>
          <a:off x="465667" y="6443133"/>
          <a:ext cx="1828800" cy="576580"/>
        </a:xfrm>
        <a:prstGeom prst="rect">
          <a:avLst/>
        </a:prstGeom>
        <a:solidFill>
          <a:schemeClr val="accent1">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kern="1200"/>
            <a:t>Investment Simulation</a:t>
          </a:r>
        </a:p>
      </xdr:txBody>
    </xdr:sp>
    <xdr:clientData/>
  </xdr:twoCellAnchor>
  <xdr:twoCellAnchor>
    <xdr:from>
      <xdr:col>12</xdr:col>
      <xdr:colOff>0</xdr:colOff>
      <xdr:row>36</xdr:row>
      <xdr:rowOff>0</xdr:rowOff>
    </xdr:from>
    <xdr:to>
      <xdr:col>15</xdr:col>
      <xdr:colOff>0</xdr:colOff>
      <xdr:row>39</xdr:row>
      <xdr:rowOff>68580</xdr:rowOff>
    </xdr:to>
    <xdr:sp macro="" textlink="">
      <xdr:nvSpPr>
        <xdr:cNvPr id="7" name="Rectangle 6">
          <a:hlinkClick xmlns:r="http://schemas.openxmlformats.org/officeDocument/2006/relationships" r:id="rId6"/>
          <a:extLst>
            <a:ext uri="{FF2B5EF4-FFF2-40B4-BE49-F238E27FC236}">
              <a16:creationId xmlns:a16="http://schemas.microsoft.com/office/drawing/2014/main" id="{FC383548-65CB-4C53-B695-B1E23E30DC82}"/>
            </a:ext>
          </a:extLst>
        </xdr:cNvPr>
        <xdr:cNvSpPr/>
      </xdr:nvSpPr>
      <xdr:spPr>
        <a:xfrm>
          <a:off x="431800" y="7484533"/>
          <a:ext cx="1828800" cy="576580"/>
        </a:xfrm>
        <a:prstGeom prst="rect">
          <a:avLst/>
        </a:prstGeom>
        <a:solidFill>
          <a:schemeClr val="accent1">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kern="1200"/>
            <a:t>Total Projected Assets</a:t>
          </a:r>
        </a:p>
      </xdr:txBody>
    </xdr:sp>
    <xdr:clientData/>
  </xdr:twoCellAnchor>
  <xdr:twoCellAnchor>
    <xdr:from>
      <xdr:col>15</xdr:col>
      <xdr:colOff>229714</xdr:colOff>
      <xdr:row>23</xdr:row>
      <xdr:rowOff>73190</xdr:rowOff>
    </xdr:from>
    <xdr:to>
      <xdr:col>25</xdr:col>
      <xdr:colOff>138684</xdr:colOff>
      <xdr:row>27</xdr:row>
      <xdr:rowOff>67734</xdr:rowOff>
    </xdr:to>
    <xdr:sp macro="" textlink="">
      <xdr:nvSpPr>
        <xdr:cNvPr id="8" name="Text Box 5">
          <a:extLst>
            <a:ext uri="{FF2B5EF4-FFF2-40B4-BE49-F238E27FC236}">
              <a16:creationId xmlns:a16="http://schemas.microsoft.com/office/drawing/2014/main" id="{2ADD5D05-F1F5-4FDD-936C-FFE6484C3D36}"/>
            </a:ext>
          </a:extLst>
        </xdr:cNvPr>
        <xdr:cNvSpPr txBox="1">
          <a:spLocks noChangeArrowheads="1"/>
        </xdr:cNvSpPr>
      </xdr:nvSpPr>
      <xdr:spPr bwMode="auto">
        <a:xfrm>
          <a:off x="2490314" y="5356390"/>
          <a:ext cx="6004970" cy="671877"/>
        </a:xfrm>
        <a:prstGeom prst="rect">
          <a:avLst/>
        </a:prstGeom>
        <a:solidFill>
          <a:schemeClr val="bg1">
            <a:lumMod val="95000"/>
          </a:schemeClr>
        </a:solidFill>
        <a:ln w="9525">
          <a:no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Presents the difference in expenses, or funds available, when comparing Rent and Buy scenarios. This begins to consider the opportunity cost of each decision, but does not yet account for how we would leverage those additional funds.</a:t>
          </a:r>
        </a:p>
      </xdr:txBody>
    </xdr:sp>
    <xdr:clientData/>
  </xdr:twoCellAnchor>
  <xdr:twoCellAnchor>
    <xdr:from>
      <xdr:col>15</xdr:col>
      <xdr:colOff>217924</xdr:colOff>
      <xdr:row>29</xdr:row>
      <xdr:rowOff>117192</xdr:rowOff>
    </xdr:from>
    <xdr:to>
      <xdr:col>25</xdr:col>
      <xdr:colOff>123084</xdr:colOff>
      <xdr:row>33</xdr:row>
      <xdr:rowOff>119356</xdr:rowOff>
    </xdr:to>
    <xdr:sp macro="" textlink="">
      <xdr:nvSpPr>
        <xdr:cNvPr id="9" name="Text Box 5">
          <a:extLst>
            <a:ext uri="{FF2B5EF4-FFF2-40B4-BE49-F238E27FC236}">
              <a16:creationId xmlns:a16="http://schemas.microsoft.com/office/drawing/2014/main" id="{D909706B-0771-4F5B-9D45-44C77E35D1BB}"/>
            </a:ext>
          </a:extLst>
        </xdr:cNvPr>
        <xdr:cNvSpPr txBox="1">
          <a:spLocks noChangeArrowheads="1"/>
        </xdr:cNvSpPr>
      </xdr:nvSpPr>
      <xdr:spPr bwMode="auto">
        <a:xfrm>
          <a:off x="2470306" y="6336457"/>
          <a:ext cx="5956337" cy="674517"/>
        </a:xfrm>
        <a:prstGeom prst="rect">
          <a:avLst/>
        </a:prstGeom>
        <a:solidFill>
          <a:schemeClr val="bg1">
            <a:lumMod val="95000"/>
          </a:schemeClr>
        </a:solidFill>
        <a:ln w="9525">
          <a:no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Given the funds available from the previous tab, considers how those funds would grow if invested in low-cost index funds. Both fixed and simuated returns are provided for consideration. You may experiment with various fixed rates of return and simulation parameters.</a:t>
          </a:r>
        </a:p>
      </xdr:txBody>
    </xdr:sp>
    <xdr:clientData/>
  </xdr:twoCellAnchor>
  <xdr:twoCellAnchor>
    <xdr:from>
      <xdr:col>15</xdr:col>
      <xdr:colOff>210540</xdr:colOff>
      <xdr:row>35</xdr:row>
      <xdr:rowOff>161667</xdr:rowOff>
    </xdr:from>
    <xdr:to>
      <xdr:col>25</xdr:col>
      <xdr:colOff>123320</xdr:colOff>
      <xdr:row>39</xdr:row>
      <xdr:rowOff>59839</xdr:rowOff>
    </xdr:to>
    <xdr:sp macro="" textlink="">
      <xdr:nvSpPr>
        <xdr:cNvPr id="14" name="Text Box 5">
          <a:extLst>
            <a:ext uri="{FF2B5EF4-FFF2-40B4-BE49-F238E27FC236}">
              <a16:creationId xmlns:a16="http://schemas.microsoft.com/office/drawing/2014/main" id="{F6FB615E-4831-43A5-A4D4-F49EF7DD0D2C}"/>
            </a:ext>
          </a:extLst>
        </xdr:cNvPr>
        <xdr:cNvSpPr txBox="1">
          <a:spLocks noChangeArrowheads="1"/>
        </xdr:cNvSpPr>
      </xdr:nvSpPr>
      <xdr:spPr bwMode="auto">
        <a:xfrm>
          <a:off x="2462922" y="7389461"/>
          <a:ext cx="5963957" cy="570525"/>
        </a:xfrm>
        <a:prstGeom prst="rect">
          <a:avLst/>
        </a:prstGeom>
        <a:solidFill>
          <a:schemeClr val="bg1">
            <a:lumMod val="95000"/>
          </a:schemeClr>
        </a:solidFill>
        <a:ln w="9525">
          <a:no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Expands on the investment simulation tab to include all assets that should be considered in the buy scenario (beyond low-cost index fund investments). This simulation may be refreshed to run 1 trial at a time.</a:t>
          </a:r>
        </a:p>
      </xdr:txBody>
    </xdr:sp>
    <xdr:clientData/>
  </xdr:twoCellAnchor>
  <xdr:twoCellAnchor>
    <xdr:from>
      <xdr:col>1</xdr:col>
      <xdr:colOff>30033</xdr:colOff>
      <xdr:row>10</xdr:row>
      <xdr:rowOff>8174</xdr:rowOff>
    </xdr:from>
    <xdr:to>
      <xdr:col>11</xdr:col>
      <xdr:colOff>0</xdr:colOff>
      <xdr:row>23</xdr:row>
      <xdr:rowOff>95250</xdr:rowOff>
    </xdr:to>
    <xdr:sp macro="" textlink="">
      <xdr:nvSpPr>
        <xdr:cNvPr id="15" name="Text Box 5">
          <a:extLst>
            <a:ext uri="{FF2B5EF4-FFF2-40B4-BE49-F238E27FC236}">
              <a16:creationId xmlns:a16="http://schemas.microsoft.com/office/drawing/2014/main" id="{F7E8A670-41E3-4044-AF1E-11F24E6C1649}"/>
            </a:ext>
          </a:extLst>
        </xdr:cNvPr>
        <xdr:cNvSpPr txBox="1">
          <a:spLocks noChangeArrowheads="1"/>
        </xdr:cNvSpPr>
      </xdr:nvSpPr>
      <xdr:spPr bwMode="auto">
        <a:xfrm>
          <a:off x="468183" y="1836974"/>
          <a:ext cx="6065967" cy="2373076"/>
        </a:xfrm>
        <a:prstGeom prst="rect">
          <a:avLst/>
        </a:prstGeom>
        <a:solidFill>
          <a:srgbClr val="FFFFFF"/>
        </a:solidFill>
        <a:ln w="9525">
          <a:solidFill>
            <a:schemeClr val="bg1">
              <a:lumMod val="50000"/>
            </a:schemeClr>
          </a:solidFill>
          <a:miter lim="800000"/>
          <a:headEnd/>
          <a:tailEnd/>
        </a:ln>
      </xdr:spPr>
      <xdr:txBody>
        <a:bodyPr vertOverflow="clip" wrap="square" lIns="27432" tIns="22860" rIns="0" bIns="0" anchor="t" upright="1"/>
        <a:lstStyle/>
        <a:p>
          <a:pPr lvl="0"/>
          <a:r>
            <a:rPr lang="en-US" sz="1100" b="1">
              <a:effectLst/>
              <a:latin typeface="+mn-lt"/>
              <a:ea typeface="+mn-ea"/>
              <a:cs typeface="+mn-cs"/>
            </a:rPr>
            <a:t>Navigation Pane</a:t>
          </a:r>
          <a:endParaRPr lang="en-US" sz="1100">
            <a:effectLst/>
            <a:latin typeface="+mn-lt"/>
            <a:ea typeface="+mn-ea"/>
            <a:cs typeface="+mn-cs"/>
          </a:endParaRPr>
        </a:p>
        <a:p>
          <a:r>
            <a:rPr lang="en-US" sz="1100">
              <a:effectLst/>
              <a:latin typeface="+mn-lt"/>
              <a:ea typeface="+mn-ea"/>
              <a:cs typeface="+mn-cs"/>
            </a:rPr>
            <a:t>Contains links to the tabs in the spreadsheet along with descriptions for each. Each tab also contains its own link back to this Navigation Pane.</a:t>
          </a:r>
        </a:p>
        <a:p>
          <a:endParaRPr lang="en-US" sz="1100">
            <a:effectLst/>
            <a:latin typeface="+mn-lt"/>
            <a:ea typeface="+mn-ea"/>
            <a:cs typeface="+mn-cs"/>
          </a:endParaRPr>
        </a:p>
        <a:p>
          <a:pPr lvl="0"/>
          <a:r>
            <a:rPr lang="en-US" sz="1100" b="1">
              <a:effectLst/>
              <a:latin typeface="+mn-lt"/>
              <a:ea typeface="+mn-ea"/>
              <a:cs typeface="+mn-cs"/>
            </a:rPr>
            <a:t>Data Entry</a:t>
          </a:r>
          <a:endParaRPr lang="en-US" sz="1100">
            <a:effectLst/>
            <a:latin typeface="+mn-lt"/>
            <a:ea typeface="+mn-ea"/>
            <a:cs typeface="+mn-cs"/>
          </a:endParaRPr>
        </a:p>
        <a:p>
          <a:r>
            <a:rPr lang="en-US" sz="1100">
              <a:effectLst/>
              <a:latin typeface="+mn-lt"/>
              <a:ea typeface="+mn-ea"/>
              <a:cs typeface="+mn-cs"/>
            </a:rPr>
            <a:t>Most of the model is locked to prevent accidental breakage. This is the only tab in the document where the user can, and should, experiment by entering their own figures in each relevant table. Only the boxes in blue should be updated – others update automatically based on your selection. Once your values are entered, they will cascade through the tabs to update tables, visualizations, and simulations.</a:t>
          </a:r>
        </a:p>
        <a:p>
          <a:r>
            <a:rPr lang="en-US" sz="1100">
              <a:effectLst/>
              <a:latin typeface="+mn-lt"/>
              <a:ea typeface="+mn-ea"/>
              <a:cs typeface="+mn-cs"/>
            </a:rPr>
            <a:t> </a:t>
          </a:r>
        </a:p>
        <a:p>
          <a:r>
            <a:rPr lang="en-US" sz="1100">
              <a:effectLst/>
              <a:latin typeface="+mn-lt"/>
              <a:ea typeface="+mn-ea"/>
              <a:cs typeface="+mn-cs"/>
            </a:rPr>
            <a:t>Each table is formatted as an Excel data table. Therefore, if you would like to add additional closing costs, extra mortgage principal payments, property-related expenses, or non-routine expenses, you may simply enter data in the next row, and the calculations throughout will include your input.</a:t>
          </a:r>
        </a:p>
        <a:p>
          <a:pPr algn="l" rtl="0">
            <a:defRPr sz="1000"/>
          </a:pPr>
          <a:endParaRPr lang="en-US" sz="1000" b="0" i="0" u="none" strike="noStrike" baseline="0">
            <a:solidFill>
              <a:srgbClr val="000000"/>
            </a:solidFill>
            <a:latin typeface="Arial"/>
            <a:cs typeface="Arial"/>
          </a:endParaRPr>
        </a:p>
      </xdr:txBody>
    </xdr:sp>
    <xdr:clientData/>
  </xdr:twoCellAnchor>
  <xdr:twoCellAnchor>
    <xdr:from>
      <xdr:col>12</xdr:col>
      <xdr:colOff>11692</xdr:colOff>
      <xdr:row>42</xdr:row>
      <xdr:rowOff>2815</xdr:rowOff>
    </xdr:from>
    <xdr:to>
      <xdr:col>15</xdr:col>
      <xdr:colOff>5977</xdr:colOff>
      <xdr:row>45</xdr:row>
      <xdr:rowOff>67586</xdr:rowOff>
    </xdr:to>
    <xdr:sp macro="" textlink="">
      <xdr:nvSpPr>
        <xdr:cNvPr id="16" name="Rectangle 15">
          <a:hlinkClick xmlns:r="http://schemas.openxmlformats.org/officeDocument/2006/relationships" r:id="rId7"/>
          <a:extLst>
            <a:ext uri="{FF2B5EF4-FFF2-40B4-BE49-F238E27FC236}">
              <a16:creationId xmlns:a16="http://schemas.microsoft.com/office/drawing/2014/main" id="{23A216BF-AADF-4810-AC35-254F459864E6}"/>
            </a:ext>
          </a:extLst>
        </xdr:cNvPr>
        <xdr:cNvSpPr/>
      </xdr:nvSpPr>
      <xdr:spPr>
        <a:xfrm>
          <a:off x="448721" y="8407227"/>
          <a:ext cx="1809638" cy="569035"/>
        </a:xfrm>
        <a:prstGeom prst="rect">
          <a:avLst/>
        </a:prstGeom>
        <a:solidFill>
          <a:schemeClr val="accent1">
            <a:lumMod val="75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400" kern="1200"/>
            <a:t>Monte Carlo Simulation</a:t>
          </a:r>
        </a:p>
      </xdr:txBody>
    </xdr:sp>
    <xdr:clientData/>
  </xdr:twoCellAnchor>
  <xdr:twoCellAnchor>
    <xdr:from>
      <xdr:col>15</xdr:col>
      <xdr:colOff>209102</xdr:colOff>
      <xdr:row>42</xdr:row>
      <xdr:rowOff>13111</xdr:rowOff>
    </xdr:from>
    <xdr:to>
      <xdr:col>25</xdr:col>
      <xdr:colOff>123787</xdr:colOff>
      <xdr:row>45</xdr:row>
      <xdr:rowOff>75562</xdr:rowOff>
    </xdr:to>
    <xdr:sp macro="" textlink="">
      <xdr:nvSpPr>
        <xdr:cNvPr id="17" name="Text Box 5">
          <a:extLst>
            <a:ext uri="{FF2B5EF4-FFF2-40B4-BE49-F238E27FC236}">
              <a16:creationId xmlns:a16="http://schemas.microsoft.com/office/drawing/2014/main" id="{DA785468-4AFF-4E1E-B995-BE127DCBFFE5}"/>
            </a:ext>
          </a:extLst>
        </xdr:cNvPr>
        <xdr:cNvSpPr txBox="1">
          <a:spLocks noChangeArrowheads="1"/>
        </xdr:cNvSpPr>
      </xdr:nvSpPr>
      <xdr:spPr bwMode="auto">
        <a:xfrm>
          <a:off x="2461484" y="8417523"/>
          <a:ext cx="5965862" cy="566715"/>
        </a:xfrm>
        <a:prstGeom prst="rect">
          <a:avLst/>
        </a:prstGeom>
        <a:solidFill>
          <a:schemeClr val="bg1">
            <a:lumMod val="95000"/>
          </a:schemeClr>
        </a:solidFill>
        <a:ln w="9525">
          <a:noFill/>
          <a:miter lim="800000"/>
          <a:headEnd/>
          <a:tailEnd/>
        </a:ln>
      </xdr:spPr>
      <xdr:txBody>
        <a:bodyPr vertOverflow="clip" wrap="square" lIns="27432" tIns="22860" rIns="0" bIns="0" anchor="t" upright="1"/>
        <a:lstStyle/>
        <a:p>
          <a:pPr algn="l" rtl="0">
            <a:defRPr sz="1000"/>
          </a:pPr>
          <a:r>
            <a:rPr lang="en-US" sz="1000" b="0" i="0" u="none" strike="noStrike" baseline="0">
              <a:solidFill>
                <a:srgbClr val="000000"/>
              </a:solidFill>
              <a:latin typeface="Arial"/>
              <a:cs typeface="Arial"/>
            </a:rPr>
            <a:t>To prevent the user from refreshing the Total Projected Assets tab continuosly, the Monte Carlo Simulation provides results comparing total assets for each scenario. This is currently limited to 250 trials, but I will expand this once I have a more powerful machine.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16566</xdr:colOff>
      <xdr:row>5</xdr:row>
      <xdr:rowOff>8166</xdr:rowOff>
    </xdr:from>
    <xdr:to>
      <xdr:col>13</xdr:col>
      <xdr:colOff>670891</xdr:colOff>
      <xdr:row>5</xdr:row>
      <xdr:rowOff>13961</xdr:rowOff>
    </xdr:to>
    <xdr:cxnSp macro="">
      <xdr:nvCxnSpPr>
        <xdr:cNvPr id="6" name="Straight Arrow Connector 5">
          <a:extLst>
            <a:ext uri="{FF2B5EF4-FFF2-40B4-BE49-F238E27FC236}">
              <a16:creationId xmlns:a16="http://schemas.microsoft.com/office/drawing/2014/main" id="{2BFD60C6-1F8A-8729-BB5C-4354FAF068C2}"/>
            </a:ext>
          </a:extLst>
        </xdr:cNvPr>
        <xdr:cNvCxnSpPr/>
      </xdr:nvCxnSpPr>
      <xdr:spPr>
        <a:xfrm>
          <a:off x="354023" y="737509"/>
          <a:ext cx="13793382" cy="5795"/>
        </a:xfrm>
        <a:prstGeom prst="straightConnector1">
          <a:avLst/>
        </a:prstGeom>
        <a:ln w="57150">
          <a:solidFill>
            <a:schemeClr val="bg1">
              <a:lumMod val="5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15902</xdr:colOff>
      <xdr:row>0</xdr:row>
      <xdr:rowOff>64358</xdr:rowOff>
    </xdr:from>
    <xdr:to>
      <xdr:col>1</xdr:col>
      <xdr:colOff>1606825</xdr:colOff>
      <xdr:row>2</xdr:row>
      <xdr:rowOff>33130</xdr:rowOff>
    </xdr:to>
    <xdr:sp macro="" textlink="">
      <xdr:nvSpPr>
        <xdr:cNvPr id="8" name="Rectangle 7">
          <a:hlinkClick xmlns:r="http://schemas.openxmlformats.org/officeDocument/2006/relationships" r:id="rId1"/>
          <a:extLst>
            <a:ext uri="{FF2B5EF4-FFF2-40B4-BE49-F238E27FC236}">
              <a16:creationId xmlns:a16="http://schemas.microsoft.com/office/drawing/2014/main" id="{CC3C22E9-26FF-4A83-B1C8-5603C370BFCE}"/>
            </a:ext>
          </a:extLst>
        </xdr:cNvPr>
        <xdr:cNvSpPr/>
      </xdr:nvSpPr>
      <xdr:spPr>
        <a:xfrm>
          <a:off x="347206" y="64358"/>
          <a:ext cx="1590923" cy="316642"/>
        </a:xfrm>
        <a:prstGeom prst="rect">
          <a:avLst/>
        </a:prstGeom>
        <a:solidFill>
          <a:schemeClr val="accent1">
            <a:lumMod val="75000"/>
          </a:schemeClr>
        </a:solidFill>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lang="en-US" sz="1400" kern="1200"/>
            <a:t>Navigation Pane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98006</xdr:colOff>
      <xdr:row>16</xdr:row>
      <xdr:rowOff>20904</xdr:rowOff>
    </xdr:from>
    <xdr:to>
      <xdr:col>7</xdr:col>
      <xdr:colOff>549673</xdr:colOff>
      <xdr:row>34</xdr:row>
      <xdr:rowOff>74544</xdr:rowOff>
    </xdr:to>
    <xdr:graphicFrame macro="">
      <xdr:nvGraphicFramePr>
        <xdr:cNvPr id="3" name="Chart 2">
          <a:extLst>
            <a:ext uri="{FF2B5EF4-FFF2-40B4-BE49-F238E27FC236}">
              <a16:creationId xmlns:a16="http://schemas.microsoft.com/office/drawing/2014/main" id="{44D01577-AEB3-B24C-1E75-54D86A1BF4A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96609</xdr:colOff>
      <xdr:row>35</xdr:row>
      <xdr:rowOff>134566</xdr:rowOff>
    </xdr:from>
    <xdr:to>
      <xdr:col>7</xdr:col>
      <xdr:colOff>563217</xdr:colOff>
      <xdr:row>55</xdr:row>
      <xdr:rowOff>173271</xdr:rowOff>
    </xdr:to>
    <xdr:graphicFrame macro="">
      <xdr:nvGraphicFramePr>
        <xdr:cNvPr id="6" name="Chart 5">
          <a:extLst>
            <a:ext uri="{FF2B5EF4-FFF2-40B4-BE49-F238E27FC236}">
              <a16:creationId xmlns:a16="http://schemas.microsoft.com/office/drawing/2014/main" id="{0FD7488A-240D-481C-80B2-CEF9B186B89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92131</xdr:colOff>
      <xdr:row>57</xdr:row>
      <xdr:rowOff>97680</xdr:rowOff>
    </xdr:from>
    <xdr:to>
      <xdr:col>7</xdr:col>
      <xdr:colOff>687456</xdr:colOff>
      <xdr:row>77</xdr:row>
      <xdr:rowOff>17228</xdr:rowOff>
    </xdr:to>
    <xdr:graphicFrame macro="">
      <xdr:nvGraphicFramePr>
        <xdr:cNvPr id="8" name="Chart 7">
          <a:extLst>
            <a:ext uri="{FF2B5EF4-FFF2-40B4-BE49-F238E27FC236}">
              <a16:creationId xmlns:a16="http://schemas.microsoft.com/office/drawing/2014/main" id="{0C4AFA79-0F4E-4CFA-92E6-6ECCAB526B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599978</xdr:colOff>
      <xdr:row>0</xdr:row>
      <xdr:rowOff>134797</xdr:rowOff>
    </xdr:from>
    <xdr:to>
      <xdr:col>3</xdr:col>
      <xdr:colOff>304029</xdr:colOff>
      <xdr:row>3</xdr:row>
      <xdr:rowOff>10775</xdr:rowOff>
    </xdr:to>
    <xdr:sp macro="" textlink="">
      <xdr:nvSpPr>
        <xdr:cNvPr id="9" name="Rectangle 8">
          <a:hlinkClick xmlns:r="http://schemas.openxmlformats.org/officeDocument/2006/relationships" r:id="rId4"/>
          <a:extLst>
            <a:ext uri="{FF2B5EF4-FFF2-40B4-BE49-F238E27FC236}">
              <a16:creationId xmlns:a16="http://schemas.microsoft.com/office/drawing/2014/main" id="{D078F9A7-C502-4CEC-9997-43F418FA3AB7}"/>
            </a:ext>
          </a:extLst>
        </xdr:cNvPr>
        <xdr:cNvSpPr/>
      </xdr:nvSpPr>
      <xdr:spPr>
        <a:xfrm>
          <a:off x="599978" y="134797"/>
          <a:ext cx="1532851" cy="374742"/>
        </a:xfrm>
        <a:prstGeom prst="rect">
          <a:avLst/>
        </a:prstGeom>
        <a:solidFill>
          <a:schemeClr val="accent1">
            <a:lumMod val="75000"/>
          </a:schemeClr>
        </a:solidFill>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lang="en-US" sz="1400" kern="1200"/>
            <a:t>Navigation Pane</a:t>
          </a:r>
        </a:p>
      </xdr:txBody>
    </xdr:sp>
    <xdr:clientData/>
  </xdr:twoCellAnchor>
  <mc:AlternateContent xmlns:mc="http://schemas.openxmlformats.org/markup-compatibility/2006">
    <mc:Choice xmlns:a14="http://schemas.microsoft.com/office/drawing/2010/main" Requires="a14">
      <xdr:twoCellAnchor>
        <xdr:from>
          <xdr:col>3</xdr:col>
          <xdr:colOff>15240</xdr:colOff>
          <xdr:row>5</xdr:row>
          <xdr:rowOff>167640</xdr:rowOff>
        </xdr:from>
        <xdr:to>
          <xdr:col>3</xdr:col>
          <xdr:colOff>281940</xdr:colOff>
          <xdr:row>7</xdr:row>
          <xdr:rowOff>167640</xdr:rowOff>
        </xdr:to>
        <xdr:sp macro="" textlink="">
          <xdr:nvSpPr>
            <xdr:cNvPr id="66561" name="Spinner 1" hidden="1">
              <a:extLst>
                <a:ext uri="{63B3BB69-23CF-44E3-9099-C40C66FF867C}">
                  <a14:compatExt spid="_x0000_s66561"/>
                </a:ext>
                <a:ext uri="{FF2B5EF4-FFF2-40B4-BE49-F238E27FC236}">
                  <a16:creationId xmlns:a16="http://schemas.microsoft.com/office/drawing/2014/main" id="{00000000-0008-0000-0900-00000104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xdr:colOff>
          <xdr:row>8</xdr:row>
          <xdr:rowOff>7620</xdr:rowOff>
        </xdr:from>
        <xdr:to>
          <xdr:col>3</xdr:col>
          <xdr:colOff>281940</xdr:colOff>
          <xdr:row>10</xdr:row>
          <xdr:rowOff>0</xdr:rowOff>
        </xdr:to>
        <xdr:sp macro="" textlink="">
          <xdr:nvSpPr>
            <xdr:cNvPr id="66562" name="Spinner 2" hidden="1">
              <a:extLst>
                <a:ext uri="{63B3BB69-23CF-44E3-9099-C40C66FF867C}">
                  <a14:compatExt spid="_x0000_s66562"/>
                </a:ext>
                <a:ext uri="{FF2B5EF4-FFF2-40B4-BE49-F238E27FC236}">
                  <a16:creationId xmlns:a16="http://schemas.microsoft.com/office/drawing/2014/main" id="{00000000-0008-0000-0900-00000204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1</xdr:col>
      <xdr:colOff>283027</xdr:colOff>
      <xdr:row>14</xdr:row>
      <xdr:rowOff>159655</xdr:rowOff>
    </xdr:from>
    <xdr:to>
      <xdr:col>7</xdr:col>
      <xdr:colOff>718456</xdr:colOff>
      <xdr:row>30</xdr:row>
      <xdr:rowOff>83455</xdr:rowOff>
    </xdr:to>
    <xdr:graphicFrame macro="">
      <xdr:nvGraphicFramePr>
        <xdr:cNvPr id="2" name="Chart 1">
          <a:extLst>
            <a:ext uri="{FF2B5EF4-FFF2-40B4-BE49-F238E27FC236}">
              <a16:creationId xmlns:a16="http://schemas.microsoft.com/office/drawing/2014/main" id="{A1A1479F-C2DB-3109-AF36-5E2A4D8F4CF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3</xdr:col>
          <xdr:colOff>15240</xdr:colOff>
          <xdr:row>6</xdr:row>
          <xdr:rowOff>167640</xdr:rowOff>
        </xdr:from>
        <xdr:to>
          <xdr:col>3</xdr:col>
          <xdr:colOff>281940</xdr:colOff>
          <xdr:row>8</xdr:row>
          <xdr:rowOff>167640</xdr:rowOff>
        </xdr:to>
        <xdr:sp macro="" textlink="">
          <xdr:nvSpPr>
            <xdr:cNvPr id="51215" name="Spinner 15" hidden="1">
              <a:extLst>
                <a:ext uri="{63B3BB69-23CF-44E3-9099-C40C66FF867C}">
                  <a14:compatExt spid="_x0000_s51215"/>
                </a:ext>
                <a:ext uri="{FF2B5EF4-FFF2-40B4-BE49-F238E27FC236}">
                  <a16:creationId xmlns:a16="http://schemas.microsoft.com/office/drawing/2014/main" id="{00000000-0008-0000-0A00-00000FC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xdr:colOff>
          <xdr:row>9</xdr:row>
          <xdr:rowOff>7620</xdr:rowOff>
        </xdr:from>
        <xdr:to>
          <xdr:col>3</xdr:col>
          <xdr:colOff>281940</xdr:colOff>
          <xdr:row>11</xdr:row>
          <xdr:rowOff>0</xdr:rowOff>
        </xdr:to>
        <xdr:sp macro="" textlink="">
          <xdr:nvSpPr>
            <xdr:cNvPr id="51216" name="Spinner 16" hidden="1">
              <a:extLst>
                <a:ext uri="{63B3BB69-23CF-44E3-9099-C40C66FF867C}">
                  <a14:compatExt spid="_x0000_s51216"/>
                </a:ext>
                <a:ext uri="{FF2B5EF4-FFF2-40B4-BE49-F238E27FC236}">
                  <a16:creationId xmlns:a16="http://schemas.microsoft.com/office/drawing/2014/main" id="{00000000-0008-0000-0A00-000010C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1</xdr:col>
      <xdr:colOff>268122</xdr:colOff>
      <xdr:row>76</xdr:row>
      <xdr:rowOff>84572</xdr:rowOff>
    </xdr:from>
    <xdr:to>
      <xdr:col>7</xdr:col>
      <xdr:colOff>703551</xdr:colOff>
      <xdr:row>97</xdr:row>
      <xdr:rowOff>84572</xdr:rowOff>
    </xdr:to>
    <xdr:graphicFrame macro="">
      <xdr:nvGraphicFramePr>
        <xdr:cNvPr id="6" name="Chart 5">
          <a:extLst>
            <a:ext uri="{FF2B5EF4-FFF2-40B4-BE49-F238E27FC236}">
              <a16:creationId xmlns:a16="http://schemas.microsoft.com/office/drawing/2014/main" id="{7DA834C0-C4CE-492A-B88A-5ABE8495AF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273715</xdr:colOff>
      <xdr:row>32</xdr:row>
      <xdr:rowOff>58418</xdr:rowOff>
    </xdr:from>
    <xdr:to>
      <xdr:col>7</xdr:col>
      <xdr:colOff>633046</xdr:colOff>
      <xdr:row>53</xdr:row>
      <xdr:rowOff>58418</xdr:rowOff>
    </xdr:to>
    <xdr:graphicFrame macro="">
      <xdr:nvGraphicFramePr>
        <xdr:cNvPr id="7" name="Chart 6">
          <a:extLst>
            <a:ext uri="{FF2B5EF4-FFF2-40B4-BE49-F238E27FC236}">
              <a16:creationId xmlns:a16="http://schemas.microsoft.com/office/drawing/2014/main" id="{2BC08265-B610-1AAD-679F-94B4B05E640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15452</xdr:colOff>
      <xdr:row>0</xdr:row>
      <xdr:rowOff>127001</xdr:rowOff>
    </xdr:from>
    <xdr:to>
      <xdr:col>3</xdr:col>
      <xdr:colOff>228600</xdr:colOff>
      <xdr:row>2</xdr:row>
      <xdr:rowOff>119743</xdr:rowOff>
    </xdr:to>
    <xdr:sp macro="" textlink="">
      <xdr:nvSpPr>
        <xdr:cNvPr id="9" name="Rectangle 8">
          <a:hlinkClick xmlns:r="http://schemas.openxmlformats.org/officeDocument/2006/relationships" r:id="rId4"/>
          <a:extLst>
            <a:ext uri="{FF2B5EF4-FFF2-40B4-BE49-F238E27FC236}">
              <a16:creationId xmlns:a16="http://schemas.microsoft.com/office/drawing/2014/main" id="{B7265070-7269-4817-9C1E-615466DDBEE3}"/>
            </a:ext>
          </a:extLst>
        </xdr:cNvPr>
        <xdr:cNvSpPr/>
      </xdr:nvSpPr>
      <xdr:spPr>
        <a:xfrm>
          <a:off x="254938" y="127001"/>
          <a:ext cx="1748033" cy="330199"/>
        </a:xfrm>
        <a:prstGeom prst="rect">
          <a:avLst/>
        </a:prstGeom>
        <a:solidFill>
          <a:schemeClr val="accent1">
            <a:lumMod val="75000"/>
          </a:schemeClr>
        </a:solidFill>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lang="en-US" sz="1400" kern="1200"/>
            <a:t>Navigation Pane</a:t>
          </a:r>
        </a:p>
      </xdr:txBody>
    </xdr:sp>
    <xdr:clientData/>
  </xdr:twoCellAnchor>
  <xdr:twoCellAnchor>
    <xdr:from>
      <xdr:col>1</xdr:col>
      <xdr:colOff>274017</xdr:colOff>
      <xdr:row>55</xdr:row>
      <xdr:rowOff>47532</xdr:rowOff>
    </xdr:from>
    <xdr:to>
      <xdr:col>7</xdr:col>
      <xdr:colOff>709446</xdr:colOff>
      <xdr:row>75</xdr:row>
      <xdr:rowOff>32657</xdr:rowOff>
    </xdr:to>
    <xdr:graphicFrame macro="">
      <xdr:nvGraphicFramePr>
        <xdr:cNvPr id="11" name="Chart 10">
          <a:extLst>
            <a:ext uri="{FF2B5EF4-FFF2-40B4-BE49-F238E27FC236}">
              <a16:creationId xmlns:a16="http://schemas.microsoft.com/office/drawing/2014/main" id="{CB7D8993-D162-4360-908B-65F94ED2FAF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xdr:col>
      <xdr:colOff>289681</xdr:colOff>
      <xdr:row>99</xdr:row>
      <xdr:rowOff>126393</xdr:rowOff>
    </xdr:from>
    <xdr:to>
      <xdr:col>7</xdr:col>
      <xdr:colOff>725110</xdr:colOff>
      <xdr:row>120</xdr:row>
      <xdr:rowOff>126393</xdr:rowOff>
    </xdr:to>
    <xdr:graphicFrame macro="">
      <xdr:nvGraphicFramePr>
        <xdr:cNvPr id="3" name="Chart 2">
          <a:extLst>
            <a:ext uri="{FF2B5EF4-FFF2-40B4-BE49-F238E27FC236}">
              <a16:creationId xmlns:a16="http://schemas.microsoft.com/office/drawing/2014/main" id="{798A60A6-B1C8-49C4-B8BA-FE37A0DA719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0</xdr:col>
      <xdr:colOff>385356</xdr:colOff>
      <xdr:row>15</xdr:row>
      <xdr:rowOff>163284</xdr:rowOff>
    </xdr:from>
    <xdr:to>
      <xdr:col>8</xdr:col>
      <xdr:colOff>541019</xdr:colOff>
      <xdr:row>32</xdr:row>
      <xdr:rowOff>106680</xdr:rowOff>
    </xdr:to>
    <xdr:graphicFrame macro="">
      <xdr:nvGraphicFramePr>
        <xdr:cNvPr id="4" name="Chart 3">
          <a:extLst>
            <a:ext uri="{FF2B5EF4-FFF2-40B4-BE49-F238E27FC236}">
              <a16:creationId xmlns:a16="http://schemas.microsoft.com/office/drawing/2014/main" id="{507EF763-8039-46EF-94CF-4E852B3C647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459921</xdr:colOff>
      <xdr:row>35</xdr:row>
      <xdr:rowOff>0</xdr:rowOff>
    </xdr:from>
    <xdr:to>
      <xdr:col>8</xdr:col>
      <xdr:colOff>544286</xdr:colOff>
      <xdr:row>53</xdr:row>
      <xdr:rowOff>87086</xdr:rowOff>
    </xdr:to>
    <xdr:graphicFrame macro="">
      <xdr:nvGraphicFramePr>
        <xdr:cNvPr id="8" name="Chart 7">
          <a:extLst>
            <a:ext uri="{FF2B5EF4-FFF2-40B4-BE49-F238E27FC236}">
              <a16:creationId xmlns:a16="http://schemas.microsoft.com/office/drawing/2014/main" id="{5ABD9DA9-3265-43BD-9914-42A919A173F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2434</xdr:colOff>
      <xdr:row>0</xdr:row>
      <xdr:rowOff>130629</xdr:rowOff>
    </xdr:from>
    <xdr:to>
      <xdr:col>3</xdr:col>
      <xdr:colOff>404052</xdr:colOff>
      <xdr:row>2</xdr:row>
      <xdr:rowOff>113648</xdr:rowOff>
    </xdr:to>
    <xdr:sp macro="" textlink="">
      <xdr:nvSpPr>
        <xdr:cNvPr id="10" name="Rectangle 9">
          <a:hlinkClick xmlns:r="http://schemas.openxmlformats.org/officeDocument/2006/relationships" r:id="rId3"/>
          <a:extLst>
            <a:ext uri="{FF2B5EF4-FFF2-40B4-BE49-F238E27FC236}">
              <a16:creationId xmlns:a16="http://schemas.microsoft.com/office/drawing/2014/main" id="{2F39ACD8-146C-4A9C-B4BC-D2B447BC3116}"/>
            </a:ext>
          </a:extLst>
        </xdr:cNvPr>
        <xdr:cNvSpPr/>
      </xdr:nvSpPr>
      <xdr:spPr>
        <a:xfrm>
          <a:off x="612034" y="130629"/>
          <a:ext cx="1620818" cy="309590"/>
        </a:xfrm>
        <a:prstGeom prst="rect">
          <a:avLst/>
        </a:prstGeom>
        <a:solidFill>
          <a:schemeClr val="accent1">
            <a:lumMod val="75000"/>
          </a:schemeClr>
        </a:solidFill>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lang="en-US" sz="1400" kern="1200"/>
            <a:t>Navigation Pane</a:t>
          </a:r>
        </a:p>
      </xdr:txBody>
    </xdr:sp>
    <xdr:clientData/>
  </xdr:twoCellAnchor>
  <mc:AlternateContent xmlns:mc="http://schemas.openxmlformats.org/markup-compatibility/2006">
    <mc:Choice xmlns:a14="http://schemas.microsoft.com/office/drawing/2010/main" Requires="a14">
      <xdr:twoCellAnchor>
        <xdr:from>
          <xdr:col>3</xdr:col>
          <xdr:colOff>15240</xdr:colOff>
          <xdr:row>6</xdr:row>
          <xdr:rowOff>167640</xdr:rowOff>
        </xdr:from>
        <xdr:to>
          <xdr:col>3</xdr:col>
          <xdr:colOff>281940</xdr:colOff>
          <xdr:row>8</xdr:row>
          <xdr:rowOff>167640</xdr:rowOff>
        </xdr:to>
        <xdr:sp macro="" textlink="">
          <xdr:nvSpPr>
            <xdr:cNvPr id="68609" name="Spinner 1" hidden="1">
              <a:extLst>
                <a:ext uri="{63B3BB69-23CF-44E3-9099-C40C66FF867C}">
                  <a14:compatExt spid="_x0000_s68609"/>
                </a:ext>
                <a:ext uri="{FF2B5EF4-FFF2-40B4-BE49-F238E27FC236}">
                  <a16:creationId xmlns:a16="http://schemas.microsoft.com/office/drawing/2014/main" id="{00000000-0008-0000-0B00-0000010C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xdr:colOff>
          <xdr:row>9</xdr:row>
          <xdr:rowOff>7620</xdr:rowOff>
        </xdr:from>
        <xdr:to>
          <xdr:col>3</xdr:col>
          <xdr:colOff>281940</xdr:colOff>
          <xdr:row>11</xdr:row>
          <xdr:rowOff>0</xdr:rowOff>
        </xdr:to>
        <xdr:sp macro="" textlink="">
          <xdr:nvSpPr>
            <xdr:cNvPr id="68610" name="Spinner 2" hidden="1">
              <a:extLst>
                <a:ext uri="{63B3BB69-23CF-44E3-9099-C40C66FF867C}">
                  <a14:compatExt spid="_x0000_s68610"/>
                </a:ext>
                <a:ext uri="{FF2B5EF4-FFF2-40B4-BE49-F238E27FC236}">
                  <a16:creationId xmlns:a16="http://schemas.microsoft.com/office/drawing/2014/main" id="{00000000-0008-0000-0B00-0000020C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1</xdr:col>
      <xdr:colOff>38100</xdr:colOff>
      <xdr:row>55</xdr:row>
      <xdr:rowOff>57150</xdr:rowOff>
    </xdr:from>
    <xdr:to>
      <xdr:col>8</xdr:col>
      <xdr:colOff>583475</xdr:colOff>
      <xdr:row>73</xdr:row>
      <xdr:rowOff>149951</xdr:rowOff>
    </xdr:to>
    <xdr:graphicFrame macro="">
      <xdr:nvGraphicFramePr>
        <xdr:cNvPr id="3" name="Chart 2">
          <a:extLst>
            <a:ext uri="{FF2B5EF4-FFF2-40B4-BE49-F238E27FC236}">
              <a16:creationId xmlns:a16="http://schemas.microsoft.com/office/drawing/2014/main" id="{63C67F8E-941F-401C-BBCB-EDC29E07C6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473234</xdr:colOff>
      <xdr:row>20</xdr:row>
      <xdr:rowOff>78310</xdr:rowOff>
    </xdr:from>
    <xdr:to>
      <xdr:col>8</xdr:col>
      <xdr:colOff>454607</xdr:colOff>
      <xdr:row>37</xdr:row>
      <xdr:rowOff>91440</xdr:rowOff>
    </xdr:to>
    <xdr:graphicFrame macro="">
      <xdr:nvGraphicFramePr>
        <xdr:cNvPr id="4" name="Chart 3">
          <a:extLst>
            <a:ext uri="{FF2B5EF4-FFF2-40B4-BE49-F238E27FC236}">
              <a16:creationId xmlns:a16="http://schemas.microsoft.com/office/drawing/2014/main" id="{51953A63-EF29-43F9-BD16-3A161C802BF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18</xdr:col>
      <xdr:colOff>256875</xdr:colOff>
      <xdr:row>6</xdr:row>
      <xdr:rowOff>141193</xdr:rowOff>
    </xdr:from>
    <xdr:to>
      <xdr:col>19</xdr:col>
      <xdr:colOff>699247</xdr:colOff>
      <xdr:row>9</xdr:row>
      <xdr:rowOff>8965</xdr:rowOff>
    </xdr:to>
    <xdr:sp macro="" textlink="">
      <xdr:nvSpPr>
        <xdr:cNvPr id="5" name="Rectangle 4">
          <a:hlinkClick xmlns:r="http://schemas.openxmlformats.org/officeDocument/2006/relationships" r:id="rId2"/>
          <a:extLst>
            <a:ext uri="{FF2B5EF4-FFF2-40B4-BE49-F238E27FC236}">
              <a16:creationId xmlns:a16="http://schemas.microsoft.com/office/drawing/2014/main" id="{E9869619-1FD7-4BB1-86C0-2E6D2255605A}"/>
            </a:ext>
          </a:extLst>
        </xdr:cNvPr>
        <xdr:cNvSpPr/>
      </xdr:nvSpPr>
      <xdr:spPr>
        <a:xfrm>
          <a:off x="8800240" y="1324534"/>
          <a:ext cx="1473313" cy="540125"/>
        </a:xfrm>
        <a:prstGeom prst="rect">
          <a:avLst/>
        </a:prstGeom>
        <a:solidFill>
          <a:schemeClr val="accent2">
            <a:lumMod val="20000"/>
            <a:lumOff val="80000"/>
          </a:schemeClr>
        </a:solidFill>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lang="en-US" sz="1200" i="1" kern="1200">
              <a:solidFill>
                <a:sysClr val="windowText" lastClr="000000"/>
              </a:solidFill>
            </a:rPr>
            <a:t>Update</a:t>
          </a:r>
          <a:r>
            <a:rPr lang="en-US" sz="1200" i="1" kern="1200" baseline="0">
              <a:solidFill>
                <a:sysClr val="windowText" lastClr="000000"/>
              </a:solidFill>
            </a:rPr>
            <a:t> Simulation Parameters</a:t>
          </a:r>
          <a:endParaRPr lang="en-US" sz="1200" i="1" kern="1200">
            <a:solidFill>
              <a:sysClr val="windowText" lastClr="000000"/>
            </a:solidFill>
          </a:endParaRPr>
        </a:p>
      </xdr:txBody>
    </xdr:sp>
    <xdr:clientData/>
  </xdr:twoCellAnchor>
  <xdr:twoCellAnchor>
    <xdr:from>
      <xdr:col>1</xdr:col>
      <xdr:colOff>9525</xdr:colOff>
      <xdr:row>1</xdr:row>
      <xdr:rowOff>0</xdr:rowOff>
    </xdr:from>
    <xdr:to>
      <xdr:col>3</xdr:col>
      <xdr:colOff>412968</xdr:colOff>
      <xdr:row>2</xdr:row>
      <xdr:rowOff>153348</xdr:rowOff>
    </xdr:to>
    <xdr:sp macro="" textlink="">
      <xdr:nvSpPr>
        <xdr:cNvPr id="6" name="Rectangle 5">
          <a:hlinkClick xmlns:r="http://schemas.openxmlformats.org/officeDocument/2006/relationships" r:id="rId3"/>
          <a:extLst>
            <a:ext uri="{FF2B5EF4-FFF2-40B4-BE49-F238E27FC236}">
              <a16:creationId xmlns:a16="http://schemas.microsoft.com/office/drawing/2014/main" id="{B4328406-7908-4AF7-B335-ABDCAEB264E4}"/>
            </a:ext>
          </a:extLst>
        </xdr:cNvPr>
        <xdr:cNvSpPr/>
      </xdr:nvSpPr>
      <xdr:spPr>
        <a:xfrm>
          <a:off x="619125" y="171450"/>
          <a:ext cx="1622643" cy="324798"/>
        </a:xfrm>
        <a:prstGeom prst="rect">
          <a:avLst/>
        </a:prstGeom>
        <a:solidFill>
          <a:schemeClr val="accent1">
            <a:lumMod val="75000"/>
          </a:schemeClr>
        </a:solidFill>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lang="en-US" sz="1400" kern="1200"/>
            <a:t>Navigation Pane</a:t>
          </a:r>
        </a:p>
      </xdr:txBody>
    </xdr:sp>
    <xdr:clientData/>
  </xdr:twoCellAnchor>
  <mc:AlternateContent xmlns:mc="http://schemas.openxmlformats.org/markup-compatibility/2006">
    <mc:Choice xmlns:a14="http://schemas.microsoft.com/office/drawing/2010/main" Requires="a14">
      <xdr:twoCellAnchor>
        <xdr:from>
          <xdr:col>3</xdr:col>
          <xdr:colOff>15240</xdr:colOff>
          <xdr:row>6</xdr:row>
          <xdr:rowOff>167640</xdr:rowOff>
        </xdr:from>
        <xdr:to>
          <xdr:col>3</xdr:col>
          <xdr:colOff>281940</xdr:colOff>
          <xdr:row>8</xdr:row>
          <xdr:rowOff>167640</xdr:rowOff>
        </xdr:to>
        <xdr:sp macro="" textlink="">
          <xdr:nvSpPr>
            <xdr:cNvPr id="69633" name="Spinner 1" hidden="1">
              <a:extLst>
                <a:ext uri="{63B3BB69-23CF-44E3-9099-C40C66FF867C}">
                  <a14:compatExt spid="_x0000_s69633"/>
                </a:ext>
                <a:ext uri="{FF2B5EF4-FFF2-40B4-BE49-F238E27FC236}">
                  <a16:creationId xmlns:a16="http://schemas.microsoft.com/office/drawing/2014/main" id="{00000000-0008-0000-0C00-000001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xdr:colOff>
          <xdr:row>9</xdr:row>
          <xdr:rowOff>7620</xdr:rowOff>
        </xdr:from>
        <xdr:to>
          <xdr:col>3</xdr:col>
          <xdr:colOff>281940</xdr:colOff>
          <xdr:row>11</xdr:row>
          <xdr:rowOff>0</xdr:rowOff>
        </xdr:to>
        <xdr:sp macro="" textlink="">
          <xdr:nvSpPr>
            <xdr:cNvPr id="69634" name="Spinner 2" hidden="1">
              <a:extLst>
                <a:ext uri="{63B3BB69-23CF-44E3-9099-C40C66FF867C}">
                  <a14:compatExt spid="_x0000_s69634"/>
                </a:ext>
                <a:ext uri="{FF2B5EF4-FFF2-40B4-BE49-F238E27FC236}">
                  <a16:creationId xmlns:a16="http://schemas.microsoft.com/office/drawing/2014/main" id="{00000000-0008-0000-0C00-0000021001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0</xdr:col>
      <xdr:colOff>475403</xdr:colOff>
      <xdr:row>39</xdr:row>
      <xdr:rowOff>86148</xdr:rowOff>
    </xdr:from>
    <xdr:to>
      <xdr:col>8</xdr:col>
      <xdr:colOff>456776</xdr:colOff>
      <xdr:row>58</xdr:row>
      <xdr:rowOff>75622</xdr:rowOff>
    </xdr:to>
    <xdr:graphicFrame macro="">
      <xdr:nvGraphicFramePr>
        <xdr:cNvPr id="8" name="Chart 7">
          <a:extLst>
            <a:ext uri="{FF2B5EF4-FFF2-40B4-BE49-F238E27FC236}">
              <a16:creationId xmlns:a16="http://schemas.microsoft.com/office/drawing/2014/main" id="{D967CD64-C07D-424E-860A-DF28F8874C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533399</xdr:colOff>
      <xdr:row>15</xdr:row>
      <xdr:rowOff>9525</xdr:rowOff>
    </xdr:from>
    <xdr:to>
      <xdr:col>8</xdr:col>
      <xdr:colOff>552449</xdr:colOff>
      <xdr:row>33</xdr:row>
      <xdr:rowOff>146684</xdr:rowOff>
    </xdr:to>
    <xdr:graphicFrame macro="">
      <xdr:nvGraphicFramePr>
        <xdr:cNvPr id="2" name="Chart 1">
          <a:extLst>
            <a:ext uri="{FF2B5EF4-FFF2-40B4-BE49-F238E27FC236}">
              <a16:creationId xmlns:a16="http://schemas.microsoft.com/office/drawing/2014/main" id="{F70B63E4-464E-4ED0-9854-CE36B3CFF5A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3</xdr:col>
          <xdr:colOff>15240</xdr:colOff>
          <xdr:row>6</xdr:row>
          <xdr:rowOff>167640</xdr:rowOff>
        </xdr:from>
        <xdr:to>
          <xdr:col>3</xdr:col>
          <xdr:colOff>281940</xdr:colOff>
          <xdr:row>8</xdr:row>
          <xdr:rowOff>167640</xdr:rowOff>
        </xdr:to>
        <xdr:sp macro="" textlink="">
          <xdr:nvSpPr>
            <xdr:cNvPr id="139265" name="Spinner 1" hidden="1">
              <a:extLst>
                <a:ext uri="{63B3BB69-23CF-44E3-9099-C40C66FF867C}">
                  <a14:compatExt spid="_x0000_s139265"/>
                </a:ext>
                <a:ext uri="{FF2B5EF4-FFF2-40B4-BE49-F238E27FC236}">
                  <a16:creationId xmlns:a16="http://schemas.microsoft.com/office/drawing/2014/main" id="{00000000-0008-0000-0D00-000001200200}"/>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3</xdr:col>
          <xdr:colOff>22860</xdr:colOff>
          <xdr:row>9</xdr:row>
          <xdr:rowOff>7620</xdr:rowOff>
        </xdr:from>
        <xdr:to>
          <xdr:col>3</xdr:col>
          <xdr:colOff>281940</xdr:colOff>
          <xdr:row>11</xdr:row>
          <xdr:rowOff>0</xdr:rowOff>
        </xdr:to>
        <xdr:sp macro="" textlink="">
          <xdr:nvSpPr>
            <xdr:cNvPr id="139266" name="Spinner 2" hidden="1">
              <a:extLst>
                <a:ext uri="{63B3BB69-23CF-44E3-9099-C40C66FF867C}">
                  <a14:compatExt spid="_x0000_s139266"/>
                </a:ext>
                <a:ext uri="{FF2B5EF4-FFF2-40B4-BE49-F238E27FC236}">
                  <a16:creationId xmlns:a16="http://schemas.microsoft.com/office/drawing/2014/main" id="{00000000-0008-0000-0D00-0000022002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1</xdr:col>
      <xdr:colOff>0</xdr:colOff>
      <xdr:row>1</xdr:row>
      <xdr:rowOff>28575</xdr:rowOff>
    </xdr:from>
    <xdr:to>
      <xdr:col>3</xdr:col>
      <xdr:colOff>406195</xdr:colOff>
      <xdr:row>3</xdr:row>
      <xdr:rowOff>8357</xdr:rowOff>
    </xdr:to>
    <xdr:sp macro="" textlink="">
      <xdr:nvSpPr>
        <xdr:cNvPr id="6" name="Rectangle 5">
          <a:hlinkClick xmlns:r="http://schemas.openxmlformats.org/officeDocument/2006/relationships" r:id="rId2"/>
          <a:extLst>
            <a:ext uri="{FF2B5EF4-FFF2-40B4-BE49-F238E27FC236}">
              <a16:creationId xmlns:a16="http://schemas.microsoft.com/office/drawing/2014/main" id="{58473433-85F6-4390-B643-AD4362261228}"/>
            </a:ext>
          </a:extLst>
        </xdr:cNvPr>
        <xdr:cNvSpPr/>
      </xdr:nvSpPr>
      <xdr:spPr>
        <a:xfrm>
          <a:off x="609600" y="200025"/>
          <a:ext cx="1625395" cy="322682"/>
        </a:xfrm>
        <a:prstGeom prst="rect">
          <a:avLst/>
        </a:prstGeom>
        <a:solidFill>
          <a:schemeClr val="accent1">
            <a:lumMod val="75000"/>
          </a:schemeClr>
        </a:solidFill>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lang="en-US" sz="1400" kern="1200"/>
            <a:t>Navigation Pane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6</xdr:col>
      <xdr:colOff>1315243</xdr:colOff>
      <xdr:row>20</xdr:row>
      <xdr:rowOff>53974</xdr:rowOff>
    </xdr:from>
    <xdr:to>
      <xdr:col>9</xdr:col>
      <xdr:colOff>1232058</xdr:colOff>
      <xdr:row>57</xdr:row>
      <xdr:rowOff>142875</xdr:rowOff>
    </xdr:to>
    <mc:AlternateContent xmlns:mc="http://schemas.openxmlformats.org/markup-compatibility/2006">
      <mc:Choice xmlns:cx1="http://schemas.microsoft.com/office/drawing/2015/9/8/chartex" Requires="cx1">
        <xdr:graphicFrame macro="">
          <xdr:nvGraphicFramePr>
            <xdr:cNvPr id="4" name="Chart 3">
              <a:extLst>
                <a:ext uri="{FF2B5EF4-FFF2-40B4-BE49-F238E27FC236}">
                  <a16:creationId xmlns:a16="http://schemas.microsoft.com/office/drawing/2014/main" id="{FDD030A8-5D57-4B65-8046-3A724520285B}"/>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199663" y="4176394"/>
              <a:ext cx="5151755" cy="6596381"/>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1</xdr:col>
      <xdr:colOff>7619</xdr:colOff>
      <xdr:row>40</xdr:row>
      <xdr:rowOff>11759</xdr:rowOff>
    </xdr:from>
    <xdr:to>
      <xdr:col>6</xdr:col>
      <xdr:colOff>971550</xdr:colOff>
      <xdr:row>61</xdr:row>
      <xdr:rowOff>108856</xdr:rowOff>
    </xdr:to>
    <mc:AlternateContent xmlns:mc="http://schemas.openxmlformats.org/markup-compatibility/2006">
      <mc:Choice xmlns:cx1="http://schemas.microsoft.com/office/drawing/2015/9/8/chartex" Requires="cx1">
        <xdr:graphicFrame macro="">
          <xdr:nvGraphicFramePr>
            <xdr:cNvPr id="8" name="Chart 7">
              <a:extLst>
                <a:ext uri="{FF2B5EF4-FFF2-40B4-BE49-F238E27FC236}">
                  <a16:creationId xmlns:a16="http://schemas.microsoft.com/office/drawing/2014/main" id="{CC2CE04E-45A2-426A-AD48-5D04C975204D}"/>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365759" y="7791779"/>
              <a:ext cx="5490211" cy="3617537"/>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0</xdr:col>
      <xdr:colOff>357186</xdr:colOff>
      <xdr:row>20</xdr:row>
      <xdr:rowOff>62949</xdr:rowOff>
    </xdr:from>
    <xdr:to>
      <xdr:col>6</xdr:col>
      <xdr:colOff>968374</xdr:colOff>
      <xdr:row>39</xdr:row>
      <xdr:rowOff>10886</xdr:rowOff>
    </xdr:to>
    <mc:AlternateContent xmlns:mc="http://schemas.openxmlformats.org/markup-compatibility/2006">
      <mc:Choice xmlns:cx1="http://schemas.microsoft.com/office/drawing/2015/9/8/chartex" Requires="cx1">
        <xdr:graphicFrame macro="">
          <xdr:nvGraphicFramePr>
            <xdr:cNvPr id="15" name="Chart 14">
              <a:extLst>
                <a:ext uri="{FF2B5EF4-FFF2-40B4-BE49-F238E27FC236}">
                  <a16:creationId xmlns:a16="http://schemas.microsoft.com/office/drawing/2014/main" id="{0C618876-AF17-40A7-803B-2B832565B0CD}"/>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3"/>
            </a:graphicData>
          </a:graphic>
        </xdr:graphicFrame>
      </mc:Choice>
      <mc:Fallback>
        <xdr:sp macro="" textlink="">
          <xdr:nvSpPr>
            <xdr:cNvPr id="0" name=""/>
            <xdr:cNvSpPr>
              <a:spLocks noTextEdit="1"/>
            </xdr:cNvSpPr>
          </xdr:nvSpPr>
          <xdr:spPr>
            <a:xfrm>
              <a:off x="357186" y="4185369"/>
              <a:ext cx="5495608" cy="3437897"/>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1</xdr:col>
      <xdr:colOff>7620</xdr:colOff>
      <xdr:row>1</xdr:row>
      <xdr:rowOff>9922</xdr:rowOff>
    </xdr:from>
    <xdr:to>
      <xdr:col>2</xdr:col>
      <xdr:colOff>591615</xdr:colOff>
      <xdr:row>2</xdr:row>
      <xdr:rowOff>154940</xdr:rowOff>
    </xdr:to>
    <xdr:sp macro="" textlink="">
      <xdr:nvSpPr>
        <xdr:cNvPr id="16" name="Rectangle 15">
          <a:hlinkClick xmlns:r="http://schemas.openxmlformats.org/officeDocument/2006/relationships" r:id="rId4"/>
          <a:extLst>
            <a:ext uri="{FF2B5EF4-FFF2-40B4-BE49-F238E27FC236}">
              <a16:creationId xmlns:a16="http://schemas.microsoft.com/office/drawing/2014/main" id="{649A1707-1483-4223-B214-A83F69463AD0}"/>
            </a:ext>
          </a:extLst>
        </xdr:cNvPr>
        <xdr:cNvSpPr/>
      </xdr:nvSpPr>
      <xdr:spPr>
        <a:xfrm>
          <a:off x="364808" y="178594"/>
          <a:ext cx="1615870" cy="313690"/>
        </a:xfrm>
        <a:prstGeom prst="rect">
          <a:avLst/>
        </a:prstGeom>
        <a:solidFill>
          <a:schemeClr val="accent1">
            <a:lumMod val="75000"/>
          </a:schemeClr>
        </a:solidFill>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lang="en-US" sz="1400" kern="1200"/>
            <a:t>Navigation</a:t>
          </a:r>
          <a:r>
            <a:rPr lang="en-US" sz="1400" kern="1200" baseline="0"/>
            <a:t> </a:t>
          </a:r>
          <a:r>
            <a:rPr lang="en-US" sz="1400" kern="1200"/>
            <a:t>Pane</a:t>
          </a:r>
        </a:p>
      </xdr:txBody>
    </xdr:sp>
    <xdr:clientData/>
  </xdr:twoCellAnchor>
  <xdr:twoCellAnchor>
    <xdr:from>
      <xdr:col>4</xdr:col>
      <xdr:colOff>279718</xdr:colOff>
      <xdr:row>4</xdr:row>
      <xdr:rowOff>55724</xdr:rowOff>
    </xdr:from>
    <xdr:to>
      <xdr:col>6</xdr:col>
      <xdr:colOff>1552575</xdr:colOff>
      <xdr:row>6</xdr:row>
      <xdr:rowOff>161926</xdr:rowOff>
    </xdr:to>
    <xdr:sp macro="" textlink="">
      <xdr:nvSpPr>
        <xdr:cNvPr id="17" name="Rectangle 16">
          <a:extLst>
            <a:ext uri="{FF2B5EF4-FFF2-40B4-BE49-F238E27FC236}">
              <a16:creationId xmlns:a16="http://schemas.microsoft.com/office/drawing/2014/main" id="{4322BECA-0E15-4FCD-AEA9-9F0128C61997}"/>
            </a:ext>
          </a:extLst>
        </xdr:cNvPr>
        <xdr:cNvSpPr/>
      </xdr:nvSpPr>
      <xdr:spPr>
        <a:xfrm>
          <a:off x="2889568" y="741524"/>
          <a:ext cx="3301682" cy="525302"/>
        </a:xfrm>
        <a:prstGeom prst="rect">
          <a:avLst/>
        </a:prstGeom>
        <a:solidFill>
          <a:sysClr val="window" lastClr="FFFFFF"/>
        </a:solidFill>
      </xdr:spPr>
      <xdr:style>
        <a:lnRef idx="2">
          <a:schemeClr val="accent5">
            <a:shade val="15000"/>
          </a:schemeClr>
        </a:lnRef>
        <a:fillRef idx="1">
          <a:schemeClr val="accent5"/>
        </a:fillRef>
        <a:effectRef idx="0">
          <a:schemeClr val="accent5"/>
        </a:effectRef>
        <a:fontRef idx="minor">
          <a:schemeClr val="lt1"/>
        </a:fontRef>
      </xdr:style>
      <xdr:txBody>
        <a:bodyPr vertOverflow="clip" horzOverflow="clip" rtlCol="0" anchor="ctr"/>
        <a:lstStyle/>
        <a:p>
          <a:pPr algn="ctr"/>
          <a:r>
            <a:rPr lang="en-US" sz="1200" i="1" kern="1200">
              <a:solidFill>
                <a:sysClr val="windowText" lastClr="000000"/>
              </a:solidFill>
            </a:rPr>
            <a:t>Enter the number of years in the future</a:t>
          </a:r>
          <a:r>
            <a:rPr lang="en-US" sz="1200" i="1" kern="1200" baseline="0">
              <a:solidFill>
                <a:sysClr val="windowText" lastClr="000000"/>
              </a:solidFill>
            </a:rPr>
            <a:t> </a:t>
          </a:r>
          <a:r>
            <a:rPr lang="en-US" sz="1200" i="1" kern="1200">
              <a:solidFill>
                <a:sysClr val="windowText" lastClr="000000"/>
              </a:solidFill>
            </a:rPr>
            <a:t>you would like the simulation to evaluate total assets</a:t>
          </a:r>
        </a:p>
      </xdr:txBody>
    </xdr:sp>
    <xdr:clientData/>
  </xdr:twoCellAnchor>
  <xdr:twoCellAnchor>
    <xdr:from>
      <xdr:col>7</xdr:col>
      <xdr:colOff>1356357</xdr:colOff>
      <xdr:row>2</xdr:row>
      <xdr:rowOff>78186</xdr:rowOff>
    </xdr:from>
    <xdr:to>
      <xdr:col>13</xdr:col>
      <xdr:colOff>342899</xdr:colOff>
      <xdr:row>6</xdr:row>
      <xdr:rowOff>571500</xdr:rowOff>
    </xdr:to>
    <xdr:sp macro="" textlink="">
      <xdr:nvSpPr>
        <xdr:cNvPr id="18" name="Rectangle 17">
          <a:extLst>
            <a:ext uri="{FF2B5EF4-FFF2-40B4-BE49-F238E27FC236}">
              <a16:creationId xmlns:a16="http://schemas.microsoft.com/office/drawing/2014/main" id="{78BFADF4-B392-7F40-0786-E5450254FDD7}"/>
            </a:ext>
          </a:extLst>
        </xdr:cNvPr>
        <xdr:cNvSpPr/>
      </xdr:nvSpPr>
      <xdr:spPr>
        <a:xfrm>
          <a:off x="7738107" y="421086"/>
          <a:ext cx="5796917" cy="1255314"/>
        </a:xfrm>
        <a:prstGeom prst="rect">
          <a:avLst/>
        </a:prstGeom>
        <a:solidFill>
          <a:schemeClr val="accent4">
            <a:lumMod val="20000"/>
            <a:lumOff val="80000"/>
          </a:schemeClr>
        </a:solidFill>
      </xdr:spPr>
      <xdr:style>
        <a:lnRef idx="2">
          <a:schemeClr val="accent2">
            <a:shade val="15000"/>
          </a:schemeClr>
        </a:lnRef>
        <a:fillRef idx="1">
          <a:schemeClr val="accent2"/>
        </a:fillRef>
        <a:effectRef idx="0">
          <a:schemeClr val="accent2"/>
        </a:effectRef>
        <a:fontRef idx="minor">
          <a:schemeClr val="lt1"/>
        </a:fontRef>
      </xdr:style>
      <xdr:txBody>
        <a:bodyPr vertOverflow="clip" horzOverflow="clip" rtlCol="0" anchor="t"/>
        <a:lstStyle/>
        <a:p>
          <a:pPr algn="l"/>
          <a:r>
            <a:rPr lang="en-US" sz="1400">
              <a:solidFill>
                <a:sysClr val="windowText" lastClr="000000"/>
              </a:solidFill>
            </a:rPr>
            <a:t>***Refreshing</a:t>
          </a:r>
          <a:r>
            <a:rPr lang="en-US" sz="1400" baseline="0">
              <a:solidFill>
                <a:sysClr val="windowText" lastClr="000000"/>
              </a:solidFill>
            </a:rPr>
            <a:t> the sheet (Formulas --&gt; Calculate Sheet) will break the Monte Carlo tables and all visuals and visualizations that reference it. I am working to find a solution that addresses this limitation. Saving the file (takes a minute to load) or selecting Calculate Sheet in the Formula tab seems to rerun the Monte Carlo on my machine.</a:t>
          </a:r>
          <a:endParaRPr lang="en-US" sz="1400">
            <a:solidFill>
              <a:sysClr val="windowText" lastClr="000000"/>
            </a:solidFill>
          </a:endParaRPr>
        </a:p>
      </xdr:txBody>
    </xdr:sp>
    <xdr:clientData/>
  </xdr:twoCellAnchor>
  <xdr:twoCellAnchor>
    <xdr:from>
      <xdr:col>3</xdr:col>
      <xdr:colOff>85487</xdr:colOff>
      <xdr:row>5</xdr:row>
      <xdr:rowOff>130890</xdr:rowOff>
    </xdr:from>
    <xdr:to>
      <xdr:col>4</xdr:col>
      <xdr:colOff>190420</xdr:colOff>
      <xdr:row>5</xdr:row>
      <xdr:rowOff>130890</xdr:rowOff>
    </xdr:to>
    <xdr:cxnSp macro="">
      <xdr:nvCxnSpPr>
        <xdr:cNvPr id="20" name="Straight Arrow Connector 19">
          <a:extLst>
            <a:ext uri="{FF2B5EF4-FFF2-40B4-BE49-F238E27FC236}">
              <a16:creationId xmlns:a16="http://schemas.microsoft.com/office/drawing/2014/main" id="{48BA6F66-3344-8E3D-F679-16C0F1D8C80F}"/>
            </a:ext>
          </a:extLst>
        </xdr:cNvPr>
        <xdr:cNvCxnSpPr/>
      </xdr:nvCxnSpPr>
      <xdr:spPr>
        <a:xfrm flipH="1">
          <a:off x="2327831" y="974249"/>
          <a:ext cx="412511" cy="0"/>
        </a:xfrm>
        <a:prstGeom prst="straightConnector1">
          <a:avLst/>
        </a:prstGeom>
        <a:ln w="28575">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10.xml><?xml version="1.0" encoding="utf-8"?>
<xdr:wsDr xmlns:xdr="http://schemas.openxmlformats.org/drawingml/2006/spreadsheetDrawing" xmlns:a="http://schemas.openxmlformats.org/drawingml/2006/main">
  <xdr:twoCellAnchor>
    <xdr:from>
      <xdr:col>43</xdr:col>
      <xdr:colOff>219636</xdr:colOff>
      <xdr:row>5</xdr:row>
      <xdr:rowOff>98619</xdr:rowOff>
    </xdr:from>
    <xdr:to>
      <xdr:col>49</xdr:col>
      <xdr:colOff>497542</xdr:colOff>
      <xdr:row>21</xdr:row>
      <xdr:rowOff>116548</xdr:rowOff>
    </xdr:to>
    <xdr:graphicFrame macro="">
      <xdr:nvGraphicFramePr>
        <xdr:cNvPr id="2" name="Chart 1">
          <a:extLst>
            <a:ext uri="{FF2B5EF4-FFF2-40B4-BE49-F238E27FC236}">
              <a16:creationId xmlns:a16="http://schemas.microsoft.com/office/drawing/2014/main" id="{005C3638-EBD2-2BD5-26BA-7033BFAD0A8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43</xdr:col>
      <xdr:colOff>219636</xdr:colOff>
      <xdr:row>5</xdr:row>
      <xdr:rowOff>98619</xdr:rowOff>
    </xdr:from>
    <xdr:to>
      <xdr:col>49</xdr:col>
      <xdr:colOff>497542</xdr:colOff>
      <xdr:row>21</xdr:row>
      <xdr:rowOff>116548</xdr:rowOff>
    </xdr:to>
    <xdr:graphicFrame macro="">
      <xdr:nvGraphicFramePr>
        <xdr:cNvPr id="2" name="Chart 1">
          <a:extLst>
            <a:ext uri="{FF2B5EF4-FFF2-40B4-BE49-F238E27FC236}">
              <a16:creationId xmlns:a16="http://schemas.microsoft.com/office/drawing/2014/main" id="{F3970838-D7FD-4A50-A229-1EF0695945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D32E9F2-5E88-448E-AEF8-D061FFC4254F}" name="ItemizedBudget" displayName="ItemizedBudget" ref="B4:H75" totalsRowShown="0" headerRowDxfId="298" dataDxfId="296" headerRowBorderDxfId="297" tableBorderDxfId="295">
  <autoFilter ref="B4:H75" xr:uid="{2D32E9F2-5E88-448E-AEF8-D061FFC4254F}"/>
  <sortState xmlns:xlrd2="http://schemas.microsoft.com/office/spreadsheetml/2017/richdata2" ref="B5:H75">
    <sortCondition ref="C4:C75"/>
  </sortState>
  <tableColumns count="7">
    <tableColumn id="1" xr3:uid="{C4B26AF7-473A-46F3-A199-757E5C6D7B5C}" name="Type" dataDxfId="294"/>
    <tableColumn id="2" xr3:uid="{00539E21-5441-48ED-AE67-D4310F6EF267}" name="Frequency" dataDxfId="293"/>
    <tableColumn id="3" xr3:uid="{45870D78-A62B-4987-9E87-DFD6B90BADA3}" name="Planned Month" dataDxfId="292"/>
    <tableColumn id="4" xr3:uid="{96B07041-E911-428F-97F5-30DB85AAE19A}" name="Item" dataDxfId="291"/>
    <tableColumn id="5" xr3:uid="{408F661E-FEBE-443A-B1C4-578F4556552D}" name="Spending Category" dataDxfId="290"/>
    <tableColumn id="6" xr3:uid="{E5B9051B-5AB1-44C8-B6C9-CD91E5182BBD}" name="Expenditures" dataDxfId="289"/>
    <tableColumn id="7" xr3:uid="{5E4CCC58-EAEE-460D-B25A-9CDBFC1EB9DF}" name="Income" dataDxfId="288"/>
  </tableColumns>
  <tableStyleInfo name="TableStyleLight15"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5835D98A-1A60-4BED-82B7-84D4C76A67B0}" name="Categories" displayName="Categories" ref="J19:O43" totalsRowShown="0" headerRowDxfId="287" dataDxfId="286" tableBorderDxfId="285">
  <autoFilter ref="J19:O43" xr:uid="{5835D98A-1A60-4BED-82B7-84D4C76A67B0}"/>
  <tableColumns count="6">
    <tableColumn id="1" xr3:uid="{20001AEC-5FEB-40EC-A375-AFDC0DE1875F}" name="Frequency" dataDxfId="284">
      <calculatedColumnFormula>INDEX(ItemizedBudget[],MATCH(K20,ItemizedBudget[Spending Category],0),2)</calculatedColumnFormula>
    </tableColumn>
    <tableColumn id="2" xr3:uid="{1E54C59A-1EBD-4773-8782-0AEEDEAAF29A}" name="Category" dataDxfId="283">
      <calculatedColumnFormula array="1">INDEX(ItemizedBudget[Spending Category], MATCH(0, COUNTIF($K$19:K19,ItemizedBudget[Spending Category]), 0))</calculatedColumnFormula>
    </tableColumn>
    <tableColumn id="3" xr3:uid="{C250E0A8-1249-45BE-98EC-C5CBCA4E093C}" name="Expenditures" dataDxfId="282">
      <calculatedColumnFormula>SUMIFS(ItemizedBudget[Expenditures],ItemizedBudget[Spending Category],K20)</calculatedColumnFormula>
    </tableColumn>
    <tableColumn id="4" xr3:uid="{B85DAD8F-43F3-4E94-B7B8-070B5AAF2A13}" name="Income" dataDxfId="281">
      <calculatedColumnFormula>SUMIFS(ItemizedBudget[Income],ItemizedBudget[Spending Category],K20)</calculatedColumnFormula>
    </tableColumn>
    <tableColumn id="5" xr3:uid="{C1D3A44E-2BFA-40FB-8531-D4CD4CBDDC30}" name="Annual Expenditures" dataDxfId="280"/>
    <tableColumn id="6" xr3:uid="{EFF037FE-62B3-4680-BFDC-86E4307727C8}" name="Annual Income" dataDxfId="279"/>
  </tableColumns>
  <tableStyleInfo name="Table Style 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DA84EE99-CA3F-4F8B-B4CA-B37E8C46D8F3}" name="Table26" displayName="Table26" ref="J4:R16" totalsRowShown="0" headerRowDxfId="278" dataDxfId="277" tableBorderDxfId="276">
  <autoFilter ref="J4:R16" xr:uid="{DA84EE99-CA3F-4F8B-B4CA-B37E8C46D8F3}"/>
  <tableColumns count="9">
    <tableColumn id="1" xr3:uid="{520DF637-8F57-4495-B5D4-24F53FA464AF}" name="Month" dataDxfId="275"/>
    <tableColumn id="2" xr3:uid="{5B8B1307-2EF9-4E09-B106-FF519EE9905E}" name="Monthly Income" dataDxfId="274">
      <calculatedColumnFormula>SUMIFS(ItemizedBudget[Income],ItemizedBudget[Frequency],"Monthly",ItemizedBudget[Planned Month],"All")</calculatedColumnFormula>
    </tableColumn>
    <tableColumn id="3" xr3:uid="{FDC5BE98-961B-4B1B-A70D-EDA0E2E42F05}" name="One-Time Income" dataDxfId="273">
      <calculatedColumnFormula>SUMIFS(ItemizedBudget[Income],ItemizedBudget[Frequency],"One-Time",ItemizedBudget[Planned Month],J5)</calculatedColumnFormula>
    </tableColumn>
    <tableColumn id="4" xr3:uid="{064E3A4C-7174-49D7-92CA-1480386504E8}" name="Monthly Expenses" dataDxfId="272">
      <calculatedColumnFormula>SUMIFS(ItemizedBudget[Expenditures],ItemizedBudget[Frequency],"Monthly",ItemizedBudget[Planned Month],"All")</calculatedColumnFormula>
    </tableColumn>
    <tableColumn id="5" xr3:uid="{F9EE253D-D204-45BF-98DF-82BDAEF58F1B}" name="Monthly Mortgage Expenses" dataDxfId="271">
      <calculatedColumnFormula>SUMIFS(ItemizedBudget[Expenditures],ItemizedBudget[Spending Category],"Mortgage")</calculatedColumnFormula>
    </tableColumn>
    <tableColumn id="6" xr3:uid="{2995C959-CF7A-4DCD-BFA6-5139E719CB12}" name="One-Time Rent Expense " dataDxfId="270">
      <calculatedColumnFormula>SUMIFS(ItemizedBudget[Expenditures],ItemizedBudget[Spending Category],"Rent - Outgoing",ItemizedBudget[Planned Month],J5)</calculatedColumnFormula>
    </tableColumn>
    <tableColumn id="7" xr3:uid="{D8B54866-EA44-4CE6-B3B4-EF3A74E5B95E}" name="Monthly Non-Housing Expenses" dataDxfId="269">
      <calculatedColumnFormula>M5-(N5+O5)</calculatedColumnFormula>
    </tableColumn>
    <tableColumn id="8" xr3:uid="{5C8031DF-4C8B-4E78-A00D-F981880AD5C3}" name="One-Time Expenses" dataDxfId="268">
      <calculatedColumnFormula>SUMIFS(ItemizedBudget[Expenditures],ItemizedBudget[Frequency],"One-Time",ItemizedBudget[Planned Month],J5)</calculatedColumnFormula>
    </tableColumn>
    <tableColumn id="9" xr3:uid="{C64F3309-89B4-4925-B77B-891931E64DE5}" name="Remaining" dataDxfId="267">
      <calculatedColumnFormula>(K5+L5)-(M5+Q5+O5)</calculatedColumnFormula>
    </tableColumn>
  </tableColumns>
  <tableStyleInfo name="Table Style 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E897FF5A-83EC-4C46-B6CF-46EE7DB2331A}" name="ItemizedBudget14" displayName="ItemizedBudget14" ref="B4:H45" totalsRowShown="0" headerRowDxfId="266" dataDxfId="264" headerRowBorderDxfId="265" tableBorderDxfId="263">
  <autoFilter ref="B4:H45" xr:uid="{2D32E9F2-5E88-448E-AEF8-D061FFC4254F}"/>
  <sortState xmlns:xlrd2="http://schemas.microsoft.com/office/spreadsheetml/2017/richdata2" ref="B5:H43">
    <sortCondition ref="C4:C43"/>
  </sortState>
  <tableColumns count="7">
    <tableColumn id="1" xr3:uid="{C82765C7-F243-49F9-A69C-78C0A4D49D74}" name="Type" dataDxfId="262"/>
    <tableColumn id="2" xr3:uid="{2BCBB4EE-8E2A-4D41-9E70-C5EE8D0947F8}" name="Frequency" dataDxfId="261"/>
    <tableColumn id="3" xr3:uid="{F230BFD0-223C-4866-9419-1048FA157382}" name="Planned Month" dataDxfId="260"/>
    <tableColumn id="4" xr3:uid="{474CE697-60C9-40BB-B724-B7A3EEFABBAE}" name="Item" dataDxfId="259"/>
    <tableColumn id="5" xr3:uid="{C486AB91-D1FA-42B1-8F85-664AC8579730}" name="Spending Category" dataDxfId="258"/>
    <tableColumn id="6" xr3:uid="{F94DA8BD-79C7-4485-BB22-4D10CC6D98BD}" name="Expenditures" dataDxfId="257"/>
    <tableColumn id="7" xr3:uid="{0280B5B2-B8DC-48DB-A6B9-7299D8FBF0E8}" name="Income" dataDxfId="256"/>
  </tableColumns>
  <tableStyleInfo name="TableStyleLight15" showFirstColumn="0"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CA8BAAAD-AFE6-49BB-9F6D-88E1271FFA0E}" name="Categories15" displayName="Categories15" ref="J19:O39" totalsRowShown="0" headerRowDxfId="255" dataDxfId="254" tableBorderDxfId="253">
  <autoFilter ref="J19:O39" xr:uid="{5835D98A-1A60-4BED-82B7-84D4C76A67B0}"/>
  <tableColumns count="6">
    <tableColumn id="1" xr3:uid="{EC68F097-40E0-4637-9DFF-78302C79641F}" name="Frequency" dataDxfId="252">
      <calculatedColumnFormula>INDEX(ItemizedBudget14[],MATCH(K20,ItemizedBudget14[Spending Category],0),2)</calculatedColumnFormula>
    </tableColumn>
    <tableColumn id="2" xr3:uid="{F35FEAE6-7724-4DE7-8142-1ABE8FF6EA8A}" name="Category" dataDxfId="251">
      <calculatedColumnFormula array="1">INDEX(ItemizedBudget14[Spending Category], MATCH(0, COUNTIF($K$19:K19,ItemizedBudget14[Spending Category]), 0))</calculatedColumnFormula>
    </tableColumn>
    <tableColumn id="3" xr3:uid="{BEE57A89-168B-474B-9E5C-40592CA164F5}" name="Expenditures" dataDxfId="250">
      <calculatedColumnFormula>SUMIFS(ItemizedBudget14[Expenditures],ItemizedBudget14[Spending Category],K20)</calculatedColumnFormula>
    </tableColumn>
    <tableColumn id="4" xr3:uid="{B23199FC-17F9-4C7D-A5A2-99E8BC64CC39}" name="Income" dataDxfId="249">
      <calculatedColumnFormula>SUMIFS(ItemizedBudget14[Income],ItemizedBudget14[Spending Category],K20)</calculatedColumnFormula>
    </tableColumn>
    <tableColumn id="5" xr3:uid="{ED428BA8-4E7A-4FD3-A097-EB49DC0E25BD}" name="Annual Expenditures" dataDxfId="248">
      <calculatedColumnFormula>IF(J20="Monthly",12*L20,L20)</calculatedColumnFormula>
    </tableColumn>
    <tableColumn id="6" xr3:uid="{F0DF4385-C48C-4DBC-8E5F-9B27569AF2BD}" name="Annual Income" dataDxfId="247">
      <calculatedColumnFormula>IF(J20="Monthly",12*M20,M20)</calculatedColumnFormula>
    </tableColumn>
  </tableColumns>
  <tableStyleInfo name="Table Style 2"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54C104BF-0E2A-421C-9313-5EFD352C498A}" name="Table2616" displayName="Table2616" ref="J4:R16" totalsRowShown="0" headerRowDxfId="246" dataDxfId="245" tableBorderDxfId="244">
  <autoFilter ref="J4:R16" xr:uid="{DA84EE99-CA3F-4F8B-B4CA-B37E8C46D8F3}"/>
  <tableColumns count="9">
    <tableColumn id="1" xr3:uid="{50EE9DA1-A88A-4310-8CFE-3B7DCEBA120C}" name="Month" dataDxfId="243"/>
    <tableColumn id="2" xr3:uid="{581A644C-6ECE-42EE-8C0D-BE34C9FE0EAF}" name="Monthly Income" dataDxfId="242">
      <calculatedColumnFormula>SUMIFS(ItemizedBudget14[Income],ItemizedBudget14[Frequency],"Monthly",ItemizedBudget14[Planned Month],"All")</calculatedColumnFormula>
    </tableColumn>
    <tableColumn id="3" xr3:uid="{FEC15D17-FAF2-43EB-A523-2F8C24DEC6EE}" name="One-Time Income" dataDxfId="241">
      <calculatedColumnFormula>SUMIFS(ItemizedBudget14[Income],ItemizedBudget14[Frequency],"One-Time",ItemizedBudget14[Planned Month],J5)</calculatedColumnFormula>
    </tableColumn>
    <tableColumn id="4" xr3:uid="{A2316448-5919-43CD-ADDD-8452C659E894}" name="Monthly Expenses" dataDxfId="240">
      <calculatedColumnFormula>SUMIFS(ItemizedBudget14[Expenditures],ItemizedBudget14[Frequency],"Monthly",ItemizedBudget14[Planned Month],"All")</calculatedColumnFormula>
    </tableColumn>
    <tableColumn id="5" xr3:uid="{C3DEFF0C-D26C-433E-BA07-735D6D86EBD8}" name="Monthly Mortgage Expenses" dataDxfId="239">
      <calculatedColumnFormula>SUMIFS(ItemizedBudget14[Expenditures],ItemizedBudget14[Spending Category],"Mortgage")</calculatedColumnFormula>
    </tableColumn>
    <tableColumn id="6" xr3:uid="{F93128B3-9977-41B0-A361-050BFF416C27}" name="One-Time Rent Expense " dataDxfId="238">
      <calculatedColumnFormula>SUMIFS(ItemizedBudget14[Expenditures],ItemizedBudget14[Spending Category],"Rent - Outgoing",ItemizedBudget14[Planned Month],J5)</calculatedColumnFormula>
    </tableColumn>
    <tableColumn id="7" xr3:uid="{1F374AE2-7579-43FB-ACF4-EDCA33C86343}" name="Monthly Non-Housing Expenses" dataDxfId="237">
      <calculatedColumnFormula>M5-(N5+O5)</calculatedColumnFormula>
    </tableColumn>
    <tableColumn id="8" xr3:uid="{A2A2EBD5-7389-4C9E-88BD-E4D7BE6FECA6}" name="One-Time Expenses" dataDxfId="236">
      <calculatedColumnFormula>SUMIFS(ItemizedBudget14[Expenditures],ItemizedBudget14[Frequency],"One-Time",ItemizedBudget14[Planned Month],J5)</calculatedColumnFormula>
    </tableColumn>
    <tableColumn id="9" xr3:uid="{115C0749-E250-43D6-8ED9-68C1F4FCA7AB}" name="Remaining" dataDxfId="235">
      <calculatedColumnFormula>(K5+L5)-(M5+Q5+O5)</calculatedColumnFormula>
    </tableColumn>
  </tableColumns>
  <tableStyleInfo name="Table Style 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BFB52A02-36D7-43F4-AB63-61B4A2B7CD9F}" name="ItemizedBudget1424" displayName="ItemizedBudget1424" ref="B4:H61" totalsRowShown="0" headerRowDxfId="234" dataDxfId="232" headerRowBorderDxfId="233" tableBorderDxfId="231">
  <autoFilter ref="B4:H61" xr:uid="{2D32E9F2-5E88-448E-AEF8-D061FFC4254F}"/>
  <sortState xmlns:xlrd2="http://schemas.microsoft.com/office/spreadsheetml/2017/richdata2" ref="B5:H53">
    <sortCondition ref="C4:C53"/>
  </sortState>
  <tableColumns count="7">
    <tableColumn id="1" xr3:uid="{A1CE1409-2D00-4945-A0DA-8CA9DE64480D}" name="Type" dataDxfId="230"/>
    <tableColumn id="2" xr3:uid="{25E19DAC-9002-433D-863C-DDCDA535483E}" name="Frequency" dataDxfId="229"/>
    <tableColumn id="3" xr3:uid="{C0423ECB-28E9-439E-AA52-B60AA0BDA456}" name="Planned Month" dataDxfId="228"/>
    <tableColumn id="4" xr3:uid="{32D2A108-D7D6-4D4F-A1C2-2B74CEB2E62E}" name="Item" dataDxfId="227"/>
    <tableColumn id="5" xr3:uid="{3EAE2782-F853-48D6-A396-757DE1AC2070}" name="Spending Category" dataDxfId="226"/>
    <tableColumn id="6" xr3:uid="{2326B542-A274-4D61-8B1D-FE185BCDC642}" name="Expenditures" dataDxfId="225"/>
    <tableColumn id="7" xr3:uid="{5D48C093-A397-4990-ACCE-1818CA1005DD}" name="Income" dataDxfId="224"/>
  </tableColumns>
  <tableStyleInfo name="TableStyleLight15" showFirstColumn="0" showLastColumn="0"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4AE10BED-D585-41B9-8C83-3A511FEA7321}" name="Categories1526" displayName="Categories1526" ref="J19:O44" totalsRowShown="0" headerRowDxfId="223" dataDxfId="222" tableBorderDxfId="221">
  <autoFilter ref="J19:O44" xr:uid="{5835D98A-1A60-4BED-82B7-84D4C76A67B0}"/>
  <tableColumns count="6">
    <tableColumn id="1" xr3:uid="{5AF2E31D-EDD7-48CF-A923-457D1351C72B}" name="Frequency" dataDxfId="220">
      <calculatedColumnFormula>INDEX(ItemizedBudget1424[],MATCH(K20,ItemizedBudget1424[Spending Category],0),2)</calculatedColumnFormula>
    </tableColumn>
    <tableColumn id="2" xr3:uid="{EE5592F8-ED89-455C-B34D-6EA01970F0B9}" name="Category" dataDxfId="219">
      <calculatedColumnFormula array="1">INDEX(ItemizedBudget1424[Spending Category], MATCH(0, COUNTIF($K$19:K19,ItemizedBudget1424[Spending Category]), 0))</calculatedColumnFormula>
    </tableColumn>
    <tableColumn id="3" xr3:uid="{B60BB724-8D63-4938-BDA7-96B59622D6A1}" name="Expenditures" dataDxfId="218">
      <calculatedColumnFormula>SUMIFS(ItemizedBudget1424[Expenditures],ItemizedBudget1424[Spending Category],K20)</calculatedColumnFormula>
    </tableColumn>
    <tableColumn id="4" xr3:uid="{62407D08-47AB-44AA-9929-7D9F7BC7AF9A}" name="Income" dataDxfId="217">
      <calculatedColumnFormula>SUMIFS(ItemizedBudget1424[Income],ItemizedBudget1424[Spending Category],K20)</calculatedColumnFormula>
    </tableColumn>
    <tableColumn id="5" xr3:uid="{BA1A8E42-14C2-4AE1-A82D-7F1A43510D77}" name="Annual Expenditures" dataDxfId="216">
      <calculatedColumnFormula>IF(J20="Monthly",12*L20,L20)</calculatedColumnFormula>
    </tableColumn>
    <tableColumn id="6" xr3:uid="{802A54F8-3708-4DB4-9AAF-005AA706B02C}" name="Annual Income" dataDxfId="215">
      <calculatedColumnFormula>IF(J20="Monthly",12*M20,M20)</calculatedColumnFormula>
    </tableColumn>
  </tableColumns>
  <tableStyleInfo name="Table Style 2" showFirstColumn="0" showLastColumn="0"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F1A7FC00-7CE1-4F11-8769-71629B31AD14}" name="Table261630" displayName="Table261630" ref="J4:R16" totalsRowShown="0" headerRowDxfId="214" dataDxfId="213" tableBorderDxfId="212">
  <autoFilter ref="J4:R16" xr:uid="{DA84EE99-CA3F-4F8B-B4CA-B37E8C46D8F3}"/>
  <tableColumns count="9">
    <tableColumn id="1" xr3:uid="{BF639353-209E-4F11-B323-8FB834D07D3A}" name="Month" dataDxfId="211"/>
    <tableColumn id="2" xr3:uid="{1C00692D-6093-4159-8E89-0B4EB46A5CE3}" name="Monthly Income" dataDxfId="210">
      <calculatedColumnFormula>SUMIFS(ItemizedBudget1424[Income],ItemizedBudget1424[Frequency],"Monthly",ItemizedBudget1424[Planned Month],"All")</calculatedColumnFormula>
    </tableColumn>
    <tableColumn id="3" xr3:uid="{E5A6F40A-EE75-402B-96B4-774208F807AE}" name="One-Time Income" dataDxfId="209">
      <calculatedColumnFormula>SUMIFS(ItemizedBudget1424[Income],ItemizedBudget1424[Frequency],"One-Time",ItemizedBudget1424[Planned Month],J5)</calculatedColumnFormula>
    </tableColumn>
    <tableColumn id="4" xr3:uid="{FBE65E44-3107-498E-AAA7-465ADA08855D}" name="Monthly Expenses" dataDxfId="208">
      <calculatedColumnFormula>SUMIFS(ItemizedBudget1424[Expenditures],ItemizedBudget1424[Frequency],"Monthly",ItemizedBudget1424[Planned Month],"All")</calculatedColumnFormula>
    </tableColumn>
    <tableColumn id="5" xr3:uid="{C1329530-49AF-448C-A45A-1C7869037D9B}" name="Monthly Mortgage Expenses" dataDxfId="207">
      <calculatedColumnFormula>SUMIFS(ItemizedBudget1424[Expenditures],ItemizedBudget1424[Spending Category],"Mortgage")</calculatedColumnFormula>
    </tableColumn>
    <tableColumn id="6" xr3:uid="{90B53C85-C02E-4EA0-9B60-A9691F7918A6}" name="One-Time Rent Expense " dataDxfId="206">
      <calculatedColumnFormula>SUMIFS(ItemizedBudget1424[Expenditures],ItemizedBudget1424[Spending Category],"Rent - Outgoing",ItemizedBudget1424[Planned Month],J5)</calculatedColumnFormula>
    </tableColumn>
    <tableColumn id="7" xr3:uid="{E8344BA9-855E-4B34-9D37-091FAB103777}" name="Monthly Non-Housing Expenses" dataDxfId="205">
      <calculatedColumnFormula>M5-(N5+O5)</calculatedColumnFormula>
    </tableColumn>
    <tableColumn id="8" xr3:uid="{5A5A5689-F826-4510-A801-950001850A17}" name="One-Time Expenses" dataDxfId="204">
      <calculatedColumnFormula>SUMIFS(ItemizedBudget1424[Expenditures],ItemizedBudget1424[Frequency],"One-Time",ItemizedBudget1424[Planned Month],J5)</calculatedColumnFormula>
    </tableColumn>
    <tableColumn id="9" xr3:uid="{CD1E4E05-7E91-427C-9054-E46629E25E32}" name="Remaining" dataDxfId="203">
      <calculatedColumnFormula>(K5+L5)-(M5+Q5+O5)</calculatedColumnFormula>
    </tableColumn>
  </tableColumns>
  <tableStyleInfo name="Table Style 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C2C1C406-64D1-436D-B159-BD0C427EED18}" name="rates" displayName="rates" ref="B7:C18" headerRowCount="0" totalsRowShown="0" headerRowDxfId="202" dataDxfId="201">
  <tableColumns count="2">
    <tableColumn id="1" xr3:uid="{7A796DBD-B55A-4F00-ACDA-BD54F24BCA33}" name="Rates" headerRowDxfId="200" dataDxfId="199"/>
    <tableColumn id="2" xr3:uid="{1D1CC20D-F6BA-4458-BC89-0578DEBE5087}" name="Column1" headerRowDxfId="198" dataDxfId="197" dataCellStyle="Percent"/>
  </tableColumns>
  <tableStyleInfo name="EH Custom" showFirstColumn="0" showLastColumn="0" showRowStripes="0"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1" xr:uid="{94BA28DD-F17E-4248-8EE3-7830ED9A2DC0}" name="loan_terms" displayName="loan_terms" ref="E7:F18" headerRowCount="0" totalsRowCount="1" headerRowDxfId="196" dataDxfId="195" totalsRowDxfId="194" totalsRowBorderDxfId="193">
  <tableColumns count="2">
    <tableColumn id="1" xr3:uid="{A93B1315-D804-4278-A62D-72886B1F760E}" name="Loan Terms" totalsRowLabel="Monthly Mortgage Payment (Prin. &amp; Int. Only)" headerRowDxfId="192" dataDxfId="191" totalsRowDxfId="190"/>
    <tableColumn id="2" xr3:uid="{89F9FC13-107B-4A29-B313-42B6D91AD92E}" name="Column1" totalsRowFunction="custom" headerRowDxfId="189" dataDxfId="188" totalsRowDxfId="187">
      <totalsRowFormula>PMT(F14,F17,-F12,0,0)</totalsRowFormula>
    </tableColumn>
  </tableColumns>
  <tableStyleInfo name="EH Custom" showFirstColumn="0" showLastColumn="0" showRowStripes="0"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9" xr:uid="{45297699-D5FA-48D9-A33C-023FC416E302}" name="initial_loan_costs" displayName="initial_loan_costs" ref="H7:J43" totalsRowShown="0" headerRowDxfId="186" dataDxfId="185">
  <autoFilter ref="H7:J43" xr:uid="{45297699-D5FA-48D9-A33C-023FC416E302}">
    <filterColumn colId="0" hiddenButton="1"/>
    <filterColumn colId="1" hiddenButton="1"/>
    <filterColumn colId="2" hiddenButton="1"/>
  </autoFilter>
  <tableColumns count="3">
    <tableColumn id="3" xr3:uid="{CB7671EC-194B-4F39-BB63-E70CF2F2F4C1}" name="Category" dataDxfId="184"/>
    <tableColumn id="1" xr3:uid="{517276CF-63F4-4947-B323-48B40053ECA2}" name="Initial Loan Costs" dataDxfId="183"/>
    <tableColumn id="2" xr3:uid="{02CACBCC-EAAB-4D38-9538-03142D088035}" name="$" dataDxfId="182" dataCellStyle="Currency"/>
  </tableColumns>
  <tableStyleInfo name="EH Custom" showFirstColumn="0" showLastColumn="0" showRowStripes="0"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DBC758B7-7ABD-481E-A12E-40814DED309C}" name="regular_annual_expenses" displayName="regular_annual_expenses" ref="P7:Q28" totalsRowShown="0" headerRowDxfId="181" dataDxfId="180">
  <autoFilter ref="P7:Q28" xr:uid="{DBC758B7-7ABD-481E-A12E-40814DED309C}">
    <filterColumn colId="0" hiddenButton="1"/>
    <filterColumn colId="1" hiddenButton="1"/>
  </autoFilter>
  <tableColumns count="2">
    <tableColumn id="1" xr3:uid="{1450F3A5-9660-4349-ACEC-02907ABB6803}" name="Property-Related Expenses" dataDxfId="179"/>
    <tableColumn id="2" xr3:uid="{E08A914A-0ADA-4F34-B271-90001BF66035}" name="Column1" dataDxfId="178" dataCellStyle="Currency"/>
  </tableColumns>
  <tableStyleInfo name="EH Custom" showFirstColumn="0" showLastColumn="0" showRowStripes="0"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6" xr:uid="{90EFA5FF-1D49-4CE4-8C7A-01EA398286D4}" name="additional_mortgage_payments" displayName="additional_mortgage_payments" ref="L7:N100" totalsRowShown="0" headerRowDxfId="177" dataDxfId="175" headerRowBorderDxfId="176" totalsRowBorderDxfId="174">
  <autoFilter ref="L7:N100" xr:uid="{90EFA5FF-1D49-4CE4-8C7A-01EA398286D4}">
    <filterColumn colId="0" hiddenButton="1"/>
    <filterColumn colId="1" hiddenButton="1"/>
    <filterColumn colId="2" hiddenButton="1"/>
  </autoFilter>
  <tableColumns count="3">
    <tableColumn id="1" xr3:uid="{96B732E2-39B4-44CC-8A81-F0FBDAD92867}" name="Month" dataDxfId="173"/>
    <tableColumn id="2" xr3:uid="{FD62EF33-0B04-4FAC-B56C-309951C3FD28}" name="Year (YYYY)" dataDxfId="172">
      <calculatedColumnFormula>_xlfn.IFNA(INDEX(monthly_mortgage_schedule[[Month]:[Calendar Year]],MATCH(L8,monthly_mortgage_schedule[Month],0),2),"Must be &lt;="&amp;" "&amp;total_loan_payments)</calculatedColumnFormula>
    </tableColumn>
    <tableColumn id="3" xr3:uid="{FAED314B-B0FD-4664-BF97-700FD6E5E4D8}" name="Additional Principal ($)" dataDxfId="171" dataCellStyle="Currency"/>
  </tableColumns>
  <tableStyleInfo name="EH Custom" showFirstColumn="0" showLastColumn="0" showRowStripes="0"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262A4BFB-7E37-4446-94B0-D449E549C497}" name="nonroutine_maintenance_expenses" displayName="nonroutine_maintenance_expenses" ref="S7:U28" totalsRowShown="0" headerRowDxfId="170" dataDxfId="169">
  <autoFilter ref="S7:U28" xr:uid="{262A4BFB-7E37-4446-94B0-D449E549C497}">
    <filterColumn colId="0" hiddenButton="1"/>
    <filterColumn colId="1" hiddenButton="1"/>
    <filterColumn colId="2" hiddenButton="1"/>
  </autoFilter>
  <tableColumns count="3">
    <tableColumn id="1" xr3:uid="{E23A57CE-6F55-4BE7-8FD6-B4716E348D2A}" name="Month" dataDxfId="168"/>
    <tableColumn id="2" xr3:uid="{5077FB69-611C-4F42-9714-AED297B2D447}" name="Year (YYYY)" dataDxfId="167">
      <calculatedColumnFormula>_xlfn.IFNA(INDEX(monthly_mortgage_schedule[[Month]:[Calendar Year]],MATCH(S8,monthly_mortgage_schedule[Month],0),2),0)</calculatedColumnFormula>
    </tableColumn>
    <tableColumn id="3" xr3:uid="{36652258-3993-4DBA-8498-51F72C48D8A6}" name="Amount ($)" dataDxfId="166"/>
  </tableColumns>
  <tableStyleInfo name="EH Custom" showFirstColumn="0" showLastColumn="0" showRowStripes="0"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2B87B182-B284-4B45-ADEB-D9F602F266F8}" name="loan_stats" displayName="loan_stats" ref="B25:C33" headerRowCount="0" totalsRowShown="0" headerRowDxfId="165" dataDxfId="164">
  <tableColumns count="2">
    <tableColumn id="1" xr3:uid="{0839565C-4A3A-4BF1-82AD-B081770A3A56}" name="Loan Stats" headerRowDxfId="163" dataDxfId="162"/>
    <tableColumn id="2" xr3:uid="{B952066E-59C1-409B-8DD9-29FAAD17E20F}" name="Column1" headerRowDxfId="161" dataDxfId="160"/>
  </tableColumns>
  <tableStyleInfo name="EH Custom" showFirstColumn="0" showLastColumn="0" showRowStripes="0"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1EBA5662-D362-42D7-B2D8-B148E7A3B9F1}" name="monthly_mortgage_schedule" displayName="monthly_mortgage_schedule" ref="I17:AL378" totalsRowShown="0" headerRowDxfId="159" dataDxfId="158">
  <autoFilter ref="I17:AL378" xr:uid="{1EBA5662-D362-42D7-B2D8-B148E7A3B9F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autoFilter>
  <tableColumns count="30">
    <tableColumn id="1" xr3:uid="{C1758ACD-4005-49E8-84EB-8B3513123D9D}" name="Month" dataDxfId="157"/>
    <tableColumn id="2" xr3:uid="{797F2904-7A60-4692-BDE2-8D5D0AF14A67}" name="Calendar Year" dataDxfId="156">
      <calculatedColumnFormula>IF(MOD(ROWS($J17:J$18),12)=0,J17+1,J17)</calculatedColumnFormula>
    </tableColumn>
    <tableColumn id="27" xr3:uid="{28BA8630-22AF-4476-AFC2-A4E55B6AE1E4}" name="Month (Range)">
      <calculatedColumnFormula>IF(M18="#N/A",NA(),monthly_mortgage_schedule[[#This Row],[Month]])</calculatedColumnFormula>
    </tableColumn>
    <tableColumn id="3" xr3:uid="{BBB4C3F3-A8A7-4254-BF79-B7559A95FA1E}" name="Begin Year (Range)">
      <calculatedColumnFormula>IF(monthly_mortgage_schedule[[#This Row],[Calendar Year]]&gt;=$C$7,monthly_mortgage_schedule[[#This Row],[Calendar Year]],NA())</calculatedColumnFormula>
    </tableColumn>
    <tableColumn id="4" xr3:uid="{B04744E2-0CFB-4028-9C33-A8C8BC6394B9}" name="Year (Range)"/>
    <tableColumn id="19" xr3:uid="{720085C1-E732-4647-AE21-010BB073BFF7}" name="Interest With Extra Principal Payments Visual">
      <calculatedColumnFormula>IF((monthly_mortgage_schedule[[#This Row],[Year (Range)]]&gt;=$C$7)*(monthly_mortgage_schedule[[#This Row],[Year (Range)]]&lt;=$C$9),X18,NA())</calculatedColumnFormula>
    </tableColumn>
    <tableColumn id="20" xr3:uid="{8F6363C6-BB5D-4F9D-8CB5-554E0984F251}" name="Principal With Extra Principal Payments Visual" dataDxfId="155">
      <calculatedColumnFormula>IF((monthly_mortgage_schedule[[#This Row],[Year (Range)]]&gt;=$C$7)*(monthly_mortgage_schedule[[#This Row],[Year (Range)]]&lt;=$C$9),Y18,NA())</calculatedColumnFormula>
    </tableColumn>
    <tableColumn id="21" xr3:uid="{AF4536FA-F271-47A3-871B-14D02DDACF15}" name="Interest Without Extra Principal Payments Visual" dataDxfId="154" dataCellStyle="Currency">
      <calculatedColumnFormula>IF((monthly_mortgage_schedule[[#This Row],[Year (Range)]]&gt;=$C$7)*(monthly_mortgage_schedule[[#This Row],[Year (Range)]]&lt;=$C$9),AG18,NA())</calculatedColumnFormula>
    </tableColumn>
    <tableColumn id="22" xr3:uid="{9CBF9053-A111-4E7A-BA23-5D83C17B1249}" name="Principal Without Extra Principal Payments Visual" dataDxfId="153" dataCellStyle="Currency">
      <calculatedColumnFormula>IF((monthly_mortgage_schedule[[#This Row],[Year (Range)]]&gt;=$C$7)*(monthly_mortgage_schedule[[#This Row],[Year (Range)]]&lt;=$C$9),AH18,NA())</calculatedColumnFormula>
    </tableColumn>
    <tableColumn id="23" xr3:uid="{E0F98907-8E1B-464D-A00E-7F4C70BCD3D3}" name="Cumulative Mortgage Interest Saved Visual" dataDxfId="152" dataCellStyle="Currency">
      <calculatedColumnFormula>IF((monthly_mortgage_schedule[[#This Row],[Year (Range)]]&gt;=$C$7)*(monthly_mortgage_schedule[[#This Row],[Year (Range)]]&lt;=$C$9),AO18,NA())</calculatedColumnFormula>
    </tableColumn>
    <tableColumn id="32" xr3:uid="{EA4A4A63-56F8-47DE-B754-157AF2439B44}" name="Cumulative PMI Saved Visual" dataDxfId="151" dataCellStyle="Currency">
      <calculatedColumnFormula>IF((monthly_mortgage_schedule[[#This Row],[Year (Range)]]&gt;=$C$7)*(monthly_mortgage_schedule[[#This Row],[Year (Range)]]&lt;=$C$9),AP18,NA())</calculatedColumnFormula>
    </tableColumn>
    <tableColumn id="24" xr3:uid="{29006490-69C6-4C20-B569-523205D52100}" name="Cumulative Interest Earned on Investments Visual" dataDxfId="150" dataCellStyle="Currency">
      <calculatedColumnFormula>IF((monthly_mortgage_schedule[[#This Row],[Year (Range)]]&gt;=$C$7)*(monthly_mortgage_schedule[[#This Row],[Year (Range)]]&lt;=$C$9),AR18,NA())</calculatedColumnFormula>
    </tableColumn>
    <tableColumn id="25" xr3:uid="{17D20572-87B1-477E-9032-3BB7B67563D8}" name="Cumulative Principal With Extra Principal Payments Visual" dataDxfId="149" dataCellStyle="Currency">
      <calculatedColumnFormula>IF((monthly_mortgage_schedule[[#This Row],[Year (Range)]]&gt;=$C$7)*(monthly_mortgage_schedule[[#This Row],[Year (Range)]]&lt;=$C$9),AB18,NA())</calculatedColumnFormula>
    </tableColumn>
    <tableColumn id="26" xr3:uid="{CA9FA4A5-9150-4614-AB72-0AB04DC43AB4}" name="Cumulative Principal Without Extra Principal Payments Visual" dataDxfId="148" dataCellStyle="Currency">
      <calculatedColumnFormula>IF((monthly_mortgage_schedule[[#This Row],[Year (Range)]]&gt;=$C$7)*(monthly_mortgage_schedule[[#This Row],[Year (Range)]]&lt;=$C$9),AI18,NA())</calculatedColumnFormula>
    </tableColumn>
    <tableColumn id="8" xr3:uid="{A1BA1C54-CD34-4416-8259-255AE266A697}" name="Loan Balance (BOY)" dataDxfId="147" dataCellStyle="Currency">
      <calculatedColumnFormula>IF(W17&lt;Y17,0,IF(I18&lt;=total_loan_payments,(W17-(Y17+Z17)),0))</calculatedColumnFormula>
    </tableColumn>
    <tableColumn id="9" xr3:uid="{8E384A3F-DC34-4057-9E0F-D61BDF2A5318}" name="Interest With Extra Principal Payments" dataDxfId="146">
      <calculatedColumnFormula>IF(W18&gt;0,W18*monthly_interest_rate,0)</calculatedColumnFormula>
    </tableColumn>
    <tableColumn id="10" xr3:uid="{54DF14BE-CE8C-4CAD-B00B-346A3B90F6FD}" name="Principal With Extra Principal Payments" dataDxfId="145">
      <calculatedColumnFormula>IF(W18&gt;1,monthly_principal_and_interest-X18,0)</calculatedColumnFormula>
    </tableColumn>
    <tableColumn id="11" xr3:uid="{68FB6554-CF49-4598-908E-61496E769D1B}" name="Extra Payments Towards Equity" dataDxfId="144">
      <calculatedColumnFormula>_xlfn.IFNA(INDEX(additional_mortgage_payments[],MATCH(monthly_mortgage_schedule[[#This Row],[Month]],additional_mortgage_payments[Month],0),3),0)</calculatedColumnFormula>
    </tableColumn>
    <tableColumn id="16" xr3:uid="{8F6E2925-DC47-4004-9FC4-0A30CE4EFA76}" name="Cumulative Extra Payments Towards Equity" dataDxfId="143"/>
    <tableColumn id="14" xr3:uid="{CB81BE40-665B-4608-B31E-3207AF236462}" name="Cumulative Principal With Extra Principal Payments" dataDxfId="142">
      <calculatedColumnFormula>monthly_mortgage_schedule[[#This Row],[Principal With Extra Principal Payments]]+monthly_mortgage_schedule[[#This Row],[Extra Payments Towards Equity]]</calculatedColumnFormula>
    </tableColumn>
    <tableColumn id="18" xr3:uid="{6FD9C1D5-9AB3-45CD-9063-2A6DC4D952A1}" name="Cumulative Equity With Extra Payments" dataDxfId="141">
      <calculatedColumnFormula>monthly_mortgage_schedule[[#This Row],[Cumulative Principal With Extra Principal Payments]]+down_payment_dollars</calculatedColumnFormula>
    </tableColumn>
    <tableColumn id="17" xr3:uid="{2F4938BA-A480-4DBC-936E-E792C01E87D0}" name="PMI with Additional Payments" dataDxfId="140">
      <calculatedColumnFormula>IF((AC18)/purchase_price&lt;pmi_until_percentage_equity,(annual_pmi/12),0)</calculatedColumnFormula>
    </tableColumn>
    <tableColumn id="12" xr3:uid="{E83092EA-03EA-4756-9B02-02CD4FA9EE51}" name="Loan Balance (EOY)" dataDxfId="139">
      <calculatedColumnFormula>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calculatedColumnFormula>
    </tableColumn>
    <tableColumn id="5" xr3:uid="{7D2A33FA-F38C-483B-AC92-A1755C859788}" name="Loan Balance (BOY) Without Extra Principal Payments" dataDxfId="138">
      <calculatedColumnFormula>IF(monthly_mortgage_schedule[[#This Row],[Month]]&lt;=loan_term_years,loan_amount,0)</calculatedColumnFormula>
    </tableColumn>
    <tableColumn id="6" xr3:uid="{1372C8DD-1843-4DAD-9D43-5811FD5AE82B}" name="Interest Without Extra Principal Payments" dataDxfId="137">
      <calculatedColumnFormula>IF(monthly_mortgage_schedule[[#This Row],[Loan Balance (BOY) Without Extra Principal Payments]]&gt;0,monthly_mortgage_schedule[[#This Row],[Loan Balance (BOY) Without Extra Principal Payments]]*monthly_interest_rate,0)</calculatedColumnFormula>
    </tableColumn>
    <tableColumn id="7" xr3:uid="{C7C8D286-5482-4B46-A217-AC1B37BA94BF}" name="Principal Without Extra Principal Payments" dataDxfId="136">
      <calculatedColumnFormula>IF(monthly_mortgage_schedule[[#This Row],[Loan Balance (BOY) Without Extra Principal Payments]]&gt;1,monthly_principal_and_interest-monthly_mortgage_schedule[[#This Row],[Interest Without Extra Principal Payments]],0)</calculatedColumnFormula>
    </tableColumn>
    <tableColumn id="15" xr3:uid="{C07B75C6-C281-46FF-9231-B58EB30BA087}" name="Cumulative Principal Without Extra Principal Payments" dataDxfId="135">
      <calculatedColumnFormula>monthly_mortgage_schedule[[#This Row],[Principal Without Extra Principal Payments]]</calculatedColumnFormula>
    </tableColumn>
    <tableColumn id="29" xr3:uid="{9EAF1D72-6130-4CE3-BF54-8D650D45D981}" name="Cumulative Equity Without Extra Payments" dataDxfId="134">
      <calculatedColumnFormula>monthly_mortgage_schedule[[#This Row],[Cumulative Principal Without Extra Principal Payments]]+down_payment_dollars</calculatedColumnFormula>
    </tableColumn>
    <tableColumn id="28" xr3:uid="{ECBC9C51-745A-43A3-A186-D84952CC06B7}" name="PMI Without Extra Principal Payments" dataDxfId="133">
      <calculatedColumnFormula>IF((AJ18)/purchase_price&lt;pmi_until_percentage_equity,(annual_pmi/12),0)</calculatedColumnFormula>
    </tableColumn>
    <tableColumn id="13" xr3:uid="{C6057209-206A-4BD6-962A-29DA6B9B6AB0}" name="Loan Balance (EOY) Without Extra Principal Payments" dataDxfId="132">
      <calculatedColumnFormula>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calculatedColumnFormula>
    </tableColumn>
  </tableColumns>
  <tableStyleInfo name="EH Custom" showFirstColumn="0" showLastColumn="0" showRowStripes="0"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DAE79534-6B18-4C18-AF14-47597DD3699C}" name="Table60" displayName="Table60" ref="AN17:AR378" totalsRowShown="0" headerRowDxfId="131" dataDxfId="130">
  <autoFilter ref="AN17:AR378" xr:uid="{DAE79534-6B18-4C18-AF14-47597DD3699C}">
    <filterColumn colId="0" hiddenButton="1"/>
    <filterColumn colId="1" hiddenButton="1"/>
    <filterColumn colId="2" hiddenButton="1"/>
    <filterColumn colId="3" hiddenButton="1"/>
    <filterColumn colId="4" hiddenButton="1"/>
  </autoFilter>
  <tableColumns count="5">
    <tableColumn id="6" xr3:uid="{151EB08D-EFFA-48EE-9D40-751406AF6584}" name="Cumulative Principal &amp; Interest" dataDxfId="129"/>
    <tableColumn id="1" xr3:uid="{9B2DE49B-0A74-4BBB-BF23-F7580F96BB15}" name="Cumulative Mortgage Interest Saved" dataDxfId="128">
      <calculatedColumnFormula>AO17+IF(monthly_mortgage_schedule[[#This Row],[Principal With Extra Principal Payments]]&gt;0,monthly_mortgage_schedule[[#This Row],[Principal With Extra Principal Payments]]-monthly_mortgage_schedule[[#This Row],[Principal Without Extra Principal Payments]],0)</calculatedColumnFormula>
    </tableColumn>
    <tableColumn id="2" xr3:uid="{CB809388-C5CD-4642-B3DC-618C5CA9F00A}" name="Cumulative PMI Saved" dataDxfId="127">
      <calculatedColumnFormula>monthly_mortgage_schedule[[#This Row],[PMI Without Extra Principal Payments]]-monthly_mortgage_schedule[[#This Row],[PMI with Additional Payments]]</calculatedColumnFormula>
    </tableColumn>
    <tableColumn id="3" xr3:uid="{3B9CCAA6-B31B-493A-BA49-5BDB671C85FC}" name="Cumulative Investments" dataDxfId="126">
      <calculatedColumnFormula>(AQ17+Z18)*(1+monthly_stock_market_return)</calculatedColumnFormula>
    </tableColumn>
    <tableColumn id="5" xr3:uid="{20270AD2-CC90-434F-95CB-E8A29B1F9C5A}" name="Cumulative Interest Earned on Investments" dataDxfId="125"/>
  </tableColumns>
  <tableStyleInfo name="EH Custom" showFirstColumn="0" showLastColumn="0" showRowStripes="0"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7" xr:uid="{0793AB50-53ED-4315-8EA5-B370890588B7}" name="mortgage" displayName="mortgage" ref="I16:AN116" totalsRowShown="0" headerRowDxfId="124" dataDxfId="123">
  <autoFilter ref="I16:AN116" xr:uid="{0793AB50-53ED-4315-8EA5-B370890588B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autoFilter>
  <tableColumns count="32">
    <tableColumn id="1" xr3:uid="{DD2D43D5-4C84-441F-BE3B-1710BCF465CA}" name="Year" dataDxfId="122"/>
    <tableColumn id="2" xr3:uid="{9D6DFE3A-22D9-4ED0-AC9D-5AC4193A66E2}" name="Calendar Year" dataDxfId="121">
      <calculatedColumnFormula>$J$17+I16</calculatedColumnFormula>
    </tableColumn>
    <tableColumn id="20" xr3:uid="{A38979F5-88BF-4C33-84B5-CEEFC5A0F517}" name="Begin Year (Range)" dataDxfId="120">
      <calculatedColumnFormula>IF(mortgage[[#This Row],[Calendar Year]]&gt;=$C$8,mortgage[[#This Row],[Calendar Year]],NA())</calculatedColumnFormula>
    </tableColumn>
    <tableColumn id="19" xr3:uid="{6FF5ECED-CFB6-4104-B69D-E8F587F5C494}" name="Year (Range)" dataDxfId="119">
      <calculatedColumnFormula>IF((mortgage[[#This Row],[Calendar Year]]&gt;=$C$8)*(mortgage[[#This Row],[Calendar Year]]&lt;$C$10),mortgage[[#This Row],[Calendar Year]],NA())</calculatedColumnFormula>
    </tableColumn>
    <tableColumn id="21" xr3:uid="{C6034180-8F4F-4DF0-AF61-AE4C9A79CC97}" name="Loan Balance (Visual)" dataDxfId="118" dataCellStyle="Currency">
      <calculatedColumnFormula>IF((mortgage[[#This Row],[Calendar Year]]&gt;=$C$8)*(mortgage[[#This Row],[Calendar Year]]&lt;=$C$10),mortgage[[#This Row],[Loan Balance (BOY)]],NA())</calculatedColumnFormula>
    </tableColumn>
    <tableColumn id="23" xr3:uid="{7033CE7F-49BB-400B-B4A5-AA1A9C11C6FE}" name="Cumulative Interest (Visual)" dataDxfId="117" dataCellStyle="Currency">
      <calculatedColumnFormula>IF((mortgage[[#This Row],[Begin Year (Range)]]&gt;=$C$8)*(mortgage[[#This Row],[Begin Year (Range)]]&lt;=$C$10),mortgage[[#This Row],[Cumulative Interest (EOY)]],NA())</calculatedColumnFormula>
    </tableColumn>
    <tableColumn id="24" xr3:uid="{EAA9E4F1-398E-4145-BB62-8FAB804E46D3}" name="Cumulative Principal (Visual)" dataDxfId="116" dataCellStyle="Currency">
      <calculatedColumnFormula>IF((mortgage[[#This Row],[Year (Range)]]&gt;=$C$8)*(mortgage[[#This Row],[Year (Range)]]&lt;=$C$10),mortgage[[#This Row],[Cumulative Principal (EOY)]],NA())</calculatedColumnFormula>
    </tableColumn>
    <tableColumn id="30" xr3:uid="{E6C0EEC8-CB59-4A62-B6D7-8E77634D1022}" name="Cumulative Appreciation (EOY) Visual" dataDxfId="115" dataCellStyle="Currency">
      <calculatedColumnFormula>IF((mortgage[[#This Row],[Year (Range)]]&gt;=$C$8)*(mortgage[[#This Row],[Year (Range)]]&lt;=$C$10),mortgage[[#This Row],[Cumulative Appreciation (EOY)]],NA())</calculatedColumnFormula>
    </tableColumn>
    <tableColumn id="31" xr3:uid="{667F826F-4FA3-4FAE-B4DD-EC747E3A4531}" name="Cumulative Equity (EOY) Visual" dataDxfId="114" dataCellStyle="Currency">
      <calculatedColumnFormula>IF((mortgage[[#This Row],[Year (Range)]]&gt;=$C$8)*(mortgage[[#This Row],[Year (Range)]]&lt;=$C$10),mortgage[[#This Row],[Cumulative Equity (EOY)]],NA())</calculatedColumnFormula>
    </tableColumn>
    <tableColumn id="33" xr3:uid="{956F0E77-E1AD-4F29-9B54-EA0117E806C4}" name="Cumulative Total Indirect Housing Expenses Visual" dataDxfId="113" dataCellStyle="Currency">
      <calculatedColumnFormula>IF((mortgage[[#This Row],[Year (Range)]]&gt;=$C$8)*(mortgage[[#This Row],[Year (Range)]]&lt;=$C$10),mortgage[[#This Row],[Cumulative Total Indirect Housing Expenses]],NA())</calculatedColumnFormula>
    </tableColumn>
    <tableColumn id="22" xr3:uid="{B3DD66D0-88C7-49D7-BEBD-EC93DF78DC7D}" name="Total Annual Indirect Housing Expenses Visual" dataDxfId="112" dataCellStyle="Currency">
      <calculatedColumnFormula>IF((mortgage[[#This Row],[Year (Range)]]&gt;=$C$8)*(mortgage[[#This Row],[Year (Range)]]&lt;=$C$10),mortgage[[#This Row],[Total Annual Indirect Housing Expenses]],NA())</calculatedColumnFormula>
    </tableColumn>
    <tableColumn id="28" xr3:uid="{B7EFB674-3743-45D6-B6B2-3F4E8C233260}" name="Est. Home Value (EOY) Visual" dataDxfId="111" dataCellStyle="Currency">
      <calculatedColumnFormula>IF((mortgage[[#This Row],[Year (Range)]]&gt;=$C$8)*(mortgage[[#This Row],[Year (Range)]]&lt;=$C$10),mortgage[[#This Row],[Est. Home Value (EOY)]],NA())</calculatedColumnFormula>
    </tableColumn>
    <tableColumn id="3" xr3:uid="{9DE14ECD-21D6-4748-A503-740ED8EDC959}" name="Loan Balance (BOY)" dataDxfId="110" dataCellStyle="Currency">
      <calculatedColumnFormula>IF(U16&lt;W16,0,IF(I17&lt;='Data Entry'!$F$9,(U16-(W16+X16)),0))</calculatedColumnFormula>
    </tableColumn>
    <tableColumn id="4" xr3:uid="{4DC7FFF6-FFB4-45CA-87D1-4B7048AAA3F4}" name="Interest" dataDxfId="109">
      <calculatedColumnFormula>SUMIF(monthly_mortgage_schedule[Calendar Year],mortgage[[#This Row],[Calendar Year]],monthly_mortgage_schedule[Interest With Extra Principal Payments])</calculatedColumnFormula>
    </tableColumn>
    <tableColumn id="5" xr3:uid="{9A11F1C0-68C5-42BF-8794-AF42C58C6C07}" name="Principal" dataDxfId="108">
      <calculatedColumnFormula>SUMIF(monthly_mortgage_schedule[Calendar Year],mortgage[[#This Row],[Calendar Year]],monthly_mortgage_schedule[Principal With Extra Principal Payments])</calculatedColumnFormula>
    </tableColumn>
    <tableColumn id="6" xr3:uid="{80207140-8FCC-4807-BA65-15CC41BA68D2}" name="Extra Payment Towards Equity" dataDxfId="107">
      <calculatedColumnFormula>SUMIF(monthly_mortgage_schedule[Calendar Year],mortgage[[#This Row],[Calendar Year]],monthly_mortgage_schedule[Extra Payments Towards Equity])</calculatedColumnFormula>
    </tableColumn>
    <tableColumn id="7" xr3:uid="{85C93717-995E-4FCD-A977-AF2CFD217D3C}" name="Property Taxes" dataDxfId="106">
      <calculatedColumnFormula>#REF!</calculatedColumnFormula>
    </tableColumn>
    <tableColumn id="8" xr3:uid="{57F4E310-83A4-4B9B-8B15-A9200C26BF53}" name="PMI" dataDxfId="105">
      <calculatedColumnFormula>SUMIF(monthly_mortgage_schedule[Calendar Year],mortgage[[#This Row],[Calendar Year]],monthly_mortgage_schedule[PMI with Additional Payments])</calculatedColumnFormula>
    </tableColumn>
    <tableColumn id="27" xr3:uid="{F02595AD-5059-4CFC-AC56-6831835C38AF}" name="Tax Deductable Home Expenses (non-comprehensive; up to IRS-specified limits)" dataDxfId="104">
      <calculatedColumnFormula>mortgage[[#This Row],[Interest]]+mortgage[[#This Row],[Property Taxes]]</calculatedColumnFormula>
    </tableColumn>
    <tableColumn id="17" xr3:uid="{27849330-1802-4618-A656-653EA474DC44}" name="Homeowners Insurance" dataDxfId="103">
      <calculatedColumnFormula>AB16*(1+'Data Entry'!$C$10)</calculatedColumnFormula>
    </tableColumn>
    <tableColumn id="16" xr3:uid="{259AF5C9-5895-4312-97C6-A32392E0E1B1}" name="Routine Maintenance" dataDxfId="102"/>
    <tableColumn id="18" xr3:uid="{76D3E121-A760-4C1A-98D0-5C806AD7C649}" name="Non-Routine Maintenance" dataDxfId="101">
      <calculatedColumnFormula>SUMIF(nonroutine_maintenance_expenses[Year (YYYY)],mortgage[[#This Row],[Calendar Year]],nonroutine_maintenance_expenses[Amount ($)])</calculatedColumnFormula>
    </tableColumn>
    <tableColumn id="9" xr3:uid="{5A8AD352-7D91-4416-A156-34A9857ACF70}" name="Est. Home Value (EOY)" dataDxfId="100">
      <calculatedColumnFormula>AE16*(1+'Data Entry'!C$7)</calculatedColumnFormula>
    </tableColumn>
    <tableColumn id="10" xr3:uid="{7B442BE6-5A2B-419C-95D8-E538FDF4998B}" name="Cumulative Appreciation (EOY)" dataDxfId="99">
      <calculatedColumnFormula>AF16+(AE18-AE17)</calculatedColumnFormula>
    </tableColumn>
    <tableColumn id="11" xr3:uid="{16EC05D5-E911-46D2-AE6A-F2B57B58A947}" name="Cumulative Principal (EOY)" dataDxfId="98">
      <calculatedColumnFormula>W17+AG16</calculatedColumnFormula>
    </tableColumn>
    <tableColumn id="12" xr3:uid="{35B379A8-2311-4226-A0DA-C5EA4C0F92BF}" name="Cumulative Interest (EOY)" dataDxfId="97">
      <calculatedColumnFormula>V17+AH16</calculatedColumnFormula>
    </tableColumn>
    <tableColumn id="13" xr3:uid="{219936C8-34E4-490F-B617-A1CFBFBD7C10}" name="Cumulative Equity (EOY)" dataDxfId="96">
      <calculatedColumnFormula>down_payment_dollars+W17+mortgage[[#This Row],[Extra Payment Towards Equity]]</calculatedColumnFormula>
    </tableColumn>
    <tableColumn id="25" xr3:uid="{244B5618-6B33-4C83-A2DA-01C2AC09A8F6}" name="% Equity in Property (EOY)" dataDxfId="95">
      <calculatedColumnFormula>mortgage[[#This Row],[Cumulative Equity (EOY)]]/purchase_price</calculatedColumnFormula>
    </tableColumn>
    <tableColumn id="26" xr3:uid="{6BD20AEB-2440-43D1-A0D3-F0AAF87F3ADB}" name="% Loan-to-Value (LTV) (EOY)" dataDxfId="94" dataCellStyle="Percent">
      <calculatedColumnFormula>loan_amount/mortgage[[#This Row],[Est. Home Value (EOY)]]</calculatedColumnFormula>
    </tableColumn>
    <tableColumn id="14" xr3:uid="{F9282574-3188-420D-95CC-4C1F3E5C4341}" name="Total Mortgage Expense" dataDxfId="93">
      <calculatedColumnFormula>V17+W17</calculatedColumnFormula>
    </tableColumn>
    <tableColumn id="15" xr3:uid="{45074C08-B4BE-4D64-9B69-FF0875B1BF84}" name="Total Annual Indirect Housing Expenses" dataDxfId="92">
      <calculatedColumnFormula>SUM(mortgage[[#This Row],[Property Taxes]],mortgage[[#This Row],[PMI]],mortgage[[#This Row],[Homeowners Insurance]],mortgage[[#This Row],[Routine Maintenance]],mortgage[[#This Row],[Non-Routine Maintenance]])</calculatedColumnFormula>
    </tableColumn>
    <tableColumn id="32" xr3:uid="{B1832E8D-5E13-46D3-B0C8-573021227F8F}" name="Cumulative Total Indirect Housing Expenses" dataDxfId="91"/>
  </tableColumns>
  <tableStyleInfo name="EH Custom" showFirstColumn="0" showLastColumn="0" showRowStripes="0"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82B54F75-DB82-4727-9B57-1EB8E3F1F18D}" name="AnnualExpenses" displayName="AnnualExpenses" ref="K17:AB117" totalsRowShown="0" headerRowDxfId="90" dataDxfId="89" tableBorderDxfId="88">
  <autoFilter ref="K17:AB117" xr:uid="{82B54F75-DB82-4727-9B57-1EB8E3F1F18D}">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autoFilter>
  <tableColumns count="18">
    <tableColumn id="5" xr3:uid="{8629F43D-9DFA-40E0-88B9-5339B2FC37A3}" name="Year" dataDxfId="87"/>
    <tableColumn id="6" xr3:uid="{75069FE0-A01D-4DBB-85AD-FDB5B22AEC48}" name="Calendar Year" dataDxfId="86">
      <calculatedColumnFormula>purchase_year+K17</calculatedColumnFormula>
    </tableColumn>
    <tableColumn id="9" xr3:uid="{BDEFB493-DF5E-4C89-ACEC-43C451DB958E}" name="Begin Year (Range)" dataDxfId="85">
      <calculatedColumnFormula>IF(AnnualExpenses[[#This Row],[Calendar Year]]&gt;=$C$8,AnnualExpenses[[#This Row],[Calendar Year]],NA())</calculatedColumnFormula>
    </tableColumn>
    <tableColumn id="10" xr3:uid="{B3CB8084-18EA-4E5D-879D-E4CE3EF081E5}" name="Year (Range)" dataDxfId="84">
      <calculatedColumnFormula>IF((AnnualExpenses[[#This Row],[Calendar Year]]&gt;=$C$8)*(AnnualExpenses[[#This Row],[Calendar Year]]&lt;=$C$10),AnnualExpenses[[#This Row],[Calendar Year]],NA())</calculatedColumnFormula>
    </tableColumn>
    <tableColumn id="11" xr3:uid="{3F5B8647-B806-4672-A9F7-F85EBB9932D6}" name="Buy, Instead of Rent Visual" dataDxfId="83">
      <calculatedColumnFormula>IF((AnnualExpenses[[#This Row],[Year (Range)]]&gt;=$C$8)*(AnnualExpenses[[#This Row],[Year (Range)]]&lt;=$C$10),Table65[[#This Row],[Buy, Instead of Rent]],NA())</calculatedColumnFormula>
    </tableColumn>
    <tableColumn id="12" xr3:uid="{103E6FE6-99CB-4F58-9006-9602D3D55A19}" name="Rent, Instead of Buy Visual" dataDxfId="82" dataCellStyle="Currency">
      <calculatedColumnFormula>IF((AnnualExpenses[[#This Row],[Year (Range)]]&gt;=$C$8)*(AnnualExpenses[[#This Row],[Year (Range)]]&lt;=$C$10),Table65[[#This Row],[Rent, Instead of Buy]],NA())</calculatedColumnFormula>
    </tableColumn>
    <tableColumn id="13" xr3:uid="{EF0C33CB-B9B4-4FB9-B677-212D24A9C231}" name="Total Annual Direct Housing Expenses Visual" dataDxfId="81" dataCellStyle="Currency">
      <calculatedColumnFormula>IF((AnnualExpenses[[#This Row],[Year (Range)]]&gt;=$C$8)*(AnnualExpenses[[#This Row],[Year (Range)]]&lt;=$C$10),AnnualExpenses[[#This Row],[Total Annual Direct Housing Expenses]],NA())</calculatedColumnFormula>
    </tableColumn>
    <tableColumn id="14" xr3:uid="{B8EC4B5D-7963-4AB6-8C4C-0CE1CB1ABA16}" name="Total Annual Indirect Housing Expenses Visual" dataDxfId="80" dataCellStyle="Currency">
      <calculatedColumnFormula>IF((AnnualExpenses[[#This Row],[Year (Range)]]&gt;=$C$8)*(AnnualExpenses[[#This Row],[Year (Range)]]&lt;=$C$10),AnnualExpenses[[#This Row],[Total Annual Indirect Housing Expenses]],NA())</calculatedColumnFormula>
    </tableColumn>
    <tableColumn id="15" xr3:uid="{6A654C88-81A7-41A4-8A6E-92A3B0336B8D}" name="Total Annual Rental Expenses Visual" dataDxfId="79" dataCellStyle="Currency">
      <calculatedColumnFormula>IF((AnnualExpenses[[#This Row],[Year (Range)]]&gt;=$C$8)*(AnnualExpenses[[#This Row],[Year (Range)]]&lt;=$C$10),AnnualExpenses[[#This Row],[Total Annual Rental Expenses]],NA())</calculatedColumnFormula>
    </tableColumn>
    <tableColumn id="16" xr3:uid="{93665DA5-6722-43B4-87EF-0E7F341B6164}" name="Total Annual Housing Expenses Visual" dataDxfId="78" dataCellStyle="Currency">
      <calculatedColumnFormula>IF((AnnualExpenses[[#This Row],[Year (Range)]]&gt;=$C$8)*(AnnualExpenses[[#This Row],[Year (Range)]]&lt;=$C$10),AnnualExpenses[[#This Row],[Total Annual Housing Expenses]],NA())</calculatedColumnFormula>
    </tableColumn>
    <tableColumn id="17" xr3:uid="{BE92801C-346A-43B3-B75F-44128CFA055D}" name="Buying Average Monthly Cost Visual" dataDxfId="77" dataCellStyle="Currency">
      <calculatedColumnFormula>IF((AnnualExpenses[[#This Row],[Year (Range)]]&gt;=$C$8)*(AnnualExpenses[[#This Row],[Year (Range)]]&lt;=$C$10),AnnualExpenses[[#This Row],[Buying Average Monthly Cost]],NA())</calculatedColumnFormula>
    </tableColumn>
    <tableColumn id="18" xr3:uid="{2B02E777-3B8E-4273-A7C2-627F43BC875D}" name="Renting Average Monthly Cost Visual" dataDxfId="76" dataCellStyle="Currency">
      <calculatedColumnFormula>IF((AnnualExpenses[[#This Row],[Year (Range)]]&gt;=$C$8)*(AnnualExpenses[[#This Row],[Year (Range)]]&lt;=$C$10),AnnualExpenses[[#This Row],[Renting Average Monthly Cost]],NA())</calculatedColumnFormula>
    </tableColumn>
    <tableColumn id="1" xr3:uid="{1CB3F9EF-5856-4AD4-80AE-4FE694F9B5F9}" name="Total Annual Direct Housing Expenses" dataDxfId="75"/>
    <tableColumn id="2" xr3:uid="{BDEAC64E-D254-4103-B5AB-289778115BC8}" name="Total Annual Indirect Housing Expenses" dataDxfId="74">
      <calculatedColumnFormula>'Annual Amort. Sch.'!AM17</calculatedColumnFormula>
    </tableColumn>
    <tableColumn id="3" xr3:uid="{CBBF0DB7-8B56-40A6-A73B-179FE3CCDEDE}" name="Total Annual Housing Expenses" dataDxfId="73">
      <calculatedColumnFormula>(AnnualExpenses[[#This Row],[Total Annual Direct Housing Expenses]]+AnnualExpenses[[#This Row],[Total Annual Indirect Housing Expenses]])</calculatedColumnFormula>
    </tableColumn>
    <tableColumn id="7" xr3:uid="{4159D894-4886-439D-B2CB-721B38A10C59}" name="Buying Average Monthly Cost" dataDxfId="72">
      <calculatedColumnFormula>AnnualExpenses[[#This Row],[Total Annual Housing Expenses]]/12</calculatedColumnFormula>
    </tableColumn>
    <tableColumn id="4" xr3:uid="{F6257CCF-55B9-4145-8451-27E6B37A6597}" name="Total Annual Rental Expenses" dataDxfId="71" dataCellStyle="Currency">
      <calculatedColumnFormula>AA17*(1+#REF!)</calculatedColumnFormula>
    </tableColumn>
    <tableColumn id="8" xr3:uid="{6CECAFD7-E297-4140-B687-86CC05475E2D}" name="Renting Average Monthly Cost" dataDxfId="70" dataCellStyle="Currency">
      <calculatedColumnFormula>AnnualExpenses[[#This Row],[Total Annual Rental Expenses]]/12</calculatedColumnFormula>
    </tableColumn>
  </tableColumns>
  <tableStyleInfo name="EH Custom" showFirstColumn="0" showLastColumn="0" showRowStripes="0"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951FB4A3-D09E-4442-B0ED-6CAD89D7DDA6}" name="Table65" displayName="Table65" ref="AF17:AG117" totalsRowShown="0" headerRowDxfId="69" dataDxfId="68" dataCellStyle="Currency">
  <autoFilter ref="AF17:AG117" xr:uid="{951FB4A3-D09E-4442-B0ED-6CAD89D7DDA6}"/>
  <tableColumns count="2">
    <tableColumn id="1" xr3:uid="{F4604400-8DF3-43F3-8A30-E3CCD5963629}" name="Buy, Instead of Rent" dataDxfId="67" dataCellStyle="Currency">
      <calculatedColumnFormula>IF(AnnualExpenses[[#This Row],[Total Annual Housing Expenses]]-AnnualExpenses[[#This Row],[Total Annual Rental Expenses]]&lt;0,AnnualExpenses[[#This Row],[Total Annual Rental Expenses]]-AnnualExpenses[[#This Row],[Total Annual Housing Expenses]],0)</calculatedColumnFormula>
    </tableColumn>
    <tableColumn id="2" xr3:uid="{DA36BB03-C7C6-455E-AC41-B7E0DE2CD0C2}" name="Rent, Instead of Buy" dataDxfId="66" dataCellStyle="Currency">
      <calculatedColumnFormula>IF(AnnualExpenses[[#This Row],[Total Annual Housing Expenses]]-AnnualExpenses[[#This Row],[Total Annual Rental Expenses]]&gt;0,AnnualExpenses[[#This Row],[Total Annual Housing Expenses]]-AnnualExpenses[[#This Row],[Total Annual Rental Expenses]],NA())</calculatedColumnFormula>
    </tableColumn>
  </tableColumns>
  <tableStyleInfo name="EH Custom"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6B5621A7-065B-457B-89FE-6B5DBA597E88}" name="BrokerageStocks45" displayName="BrokerageStocks45" ref="AF21:AN121" totalsRowShown="0" headerRowDxfId="65" dataDxfId="63" headerRowBorderDxfId="64" tableBorderDxfId="62">
  <autoFilter ref="AF21:AN121" xr:uid="{6B5621A7-065B-457B-89FE-6B5DBA597E88}">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2" xr3:uid="{78ABC288-BC27-42D3-8114-06D3A67A881D}" name="Contributions ($)" dataDxfId="61" dataCellStyle="Currency"/>
    <tableColumn id="1" xr3:uid="{A07C4C36-2F52-4350-A95B-69AD7487B65C}" name="Simulation BOY Balance ($)" dataDxfId="60" dataCellStyle="Currency"/>
    <tableColumn id="4" xr3:uid="{B2A1C059-475A-4425-B1CE-FAC659E604D5}" name="Simulation Average Annual Balance ($)" dataDxfId="59" dataCellStyle="Currency">
      <calculatedColumnFormula>BrokerageStocks45[[#This Row],[Simulation BOY Balance ($)]]+(BrokerageStocks45[[#This Row],[Contributions ($)]]/2)</calculatedColumnFormula>
    </tableColumn>
    <tableColumn id="6" xr3:uid="{CB49E591-B13A-4692-8056-6CC288C2FED1}" name="Simulated Return ($)" dataDxfId="58">
      <calculatedColumnFormula>BrokerageStocks45[[#This Row],[Simulation Average Annual Balance ($)]]*Table53[[#This Row],[Simulated Return (%)]]</calculatedColumnFormula>
    </tableColumn>
    <tableColumn id="7" xr3:uid="{2BC0FE23-25A4-4494-86CE-5F717B9F1258}" name="Rent: Simulated EOY Investment Balance ($)" dataDxfId="57">
      <calculatedColumnFormula>BrokerageStocks45[[#This Row],[Simulation BOY Balance ($)]]+BrokerageStocks45[[#This Row],[Contributions ($)]]+BrokerageStocks45[[#This Row],[Simulated Return ($)]]</calculatedColumnFormula>
    </tableColumn>
    <tableColumn id="9" xr3:uid="{74DB90E5-6F99-4B49-A6C9-3EF331505774}" name="Fixed Return BOY Balance ($)" dataDxfId="56" dataCellStyle="Currency"/>
    <tableColumn id="8" xr3:uid="{F2ED4C50-B6C3-4F65-B6C9-7F052B11967A}" name="Fixed Return Average Annual Balance" dataDxfId="55">
      <calculatedColumnFormula>BrokerageStocks45[[#This Row],[Fixed Return BOY Balance ($)]]+(BrokerageStocks45[[#This Row],[Contributions ($)]]/2)</calculatedColumnFormula>
    </tableColumn>
    <tableColumn id="5" xr3:uid="{3354FE70-CACC-468B-A256-3221E3167B22}" name="Fixed Average Return ($)" dataDxfId="54">
      <calculatedColumnFormula>BrokerageStocks45[[#This Row],[Fixed Return Average Annual Balance]]*annual_stock_market_return</calculatedColumnFormula>
    </tableColumn>
    <tableColumn id="3" xr3:uid="{8A19A9A8-ECE4-4428-9BE1-A8DA0CAD3F66}" name="Rent: Fixed Average Return EOY Investment Balance ($)" dataDxfId="53">
      <calculatedColumnFormula>BrokerageStocks45[[#This Row],[Fixed Return BOY Balance ($)]]+BrokerageStocks45[[#This Row],[Contributions ($)]]+BrokerageStocks45[[#This Row],[Fixed Average Return ($)]]</calculatedColumnFormula>
    </tableColumn>
  </tableColumns>
  <tableStyleInfo name="TableStyleLight15" showFirstColumn="0" showLastColumn="0" showRowStripes="0"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17CA48C2-E150-4EBB-9AC8-41EDEAC15B97}" name="BrokerageStocks4546" displayName="BrokerageStocks4546" ref="V21:AD121" totalsRowShown="0" headerRowDxfId="52" dataDxfId="50" headerRowBorderDxfId="51" tableBorderDxfId="49">
  <autoFilter ref="V21:AD121" xr:uid="{17CA48C2-E150-4EBB-9AC8-41EDEAC15B97}">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2" xr3:uid="{DE70D39E-9C0F-4AC4-AE8D-B4AE1C2760D1}" name="Contributions ($)" dataDxfId="48" dataCellStyle="Currency">
      <calculatedColumnFormula>'Difference in Expenses'!AF18</calculatedColumnFormula>
    </tableColumn>
    <tableColumn id="1" xr3:uid="{8A77357D-0D54-48D7-938B-E05DB9203C29}" name="Simulation BOY Balance ($)" dataDxfId="47" dataCellStyle="Currency"/>
    <tableColumn id="4" xr3:uid="{CFFB3FEE-6946-4B62-B116-4C173BC24630}" name="Simulation Average Annual Balance ($)" dataDxfId="46">
      <calculatedColumnFormula>BrokerageStocks4546[[#This Row],[Simulation BOY Balance ($)]]+(BrokerageStocks4546[[#This Row],[Contributions ($)]]/2)</calculatedColumnFormula>
    </tableColumn>
    <tableColumn id="6" xr3:uid="{CF4378DC-EBDB-40E4-9138-782D891B585E}" name="Simulated Return ($)" dataDxfId="45">
      <calculatedColumnFormula>BrokerageStocks4546[[#This Row],[Simulation Average Annual Balance ($)]]*Table53[[#This Row],[Simulated Return (%)]]</calculatedColumnFormula>
    </tableColumn>
    <tableColumn id="7" xr3:uid="{ED23DC92-1F70-481D-9DA6-97B13DA6BA41}" name="Buy: Simulated EOY Investment Balance ($)" dataDxfId="44">
      <calculatedColumnFormula>BrokerageStocks4546[[#This Row],[Simulation BOY Balance ($)]]+BrokerageStocks4546[[#This Row],[Contributions ($)]]+BrokerageStocks4546[[#This Row],[Simulated Return ($)]]</calculatedColumnFormula>
    </tableColumn>
    <tableColumn id="8" xr3:uid="{4BC2666A-852B-46CC-87A9-D22D92C019F0}" name="Fixed Return BOY Balance ($)" dataDxfId="43"/>
    <tableColumn id="5" xr3:uid="{FBD59CD4-0B5E-462E-B9C5-435020955646}" name="Fixed Return Average Balance ($)" dataDxfId="42">
      <calculatedColumnFormula>BrokerageStocks4546[[#This Row],[Fixed Return BOY Balance ($)]]+BrokerageStocks4546[[#This Row],[Contributions ($)]]</calculatedColumnFormula>
    </tableColumn>
    <tableColumn id="9" xr3:uid="{740837C1-490E-4344-A220-C83023AFBC1F}" name="Fixed Average Return ($)" dataDxfId="41">
      <calculatedColumnFormula>BrokerageStocks4546[[#This Row],[Fixed Return Average Balance ($)]]*annual_stock_market_return</calculatedColumnFormula>
    </tableColumn>
    <tableColumn id="3" xr3:uid="{96361CF5-7D3F-4F38-B836-5B635EC1D377}" name="Buy: Fixed Average Return EOY Investment Balance ($)" dataDxfId="40">
      <calculatedColumnFormula>BrokerageStocks4546[[#This Row],[Fixed Return BOY Balance ($)]]+BrokerageStocks4546[[#This Row],[Contributions ($)]]+BrokerageStocks4546[[#This Row],[Fixed Return Average Balance ($)]]</calculatedColumnFormula>
    </tableColumn>
  </tableColumns>
  <tableStyleInfo name="EH Custom" showFirstColumn="0" showLastColumn="0" showRowStripes="0"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024D41CB-8AF6-47FD-B1CE-B985AB1F8DA8}" name="Table53" displayName="Table53" ref="K21:T121" totalsRowShown="0" headerRowDxfId="39" dataDxfId="38">
  <autoFilter ref="K21:T121" xr:uid="{024D41CB-8AF6-47FD-B1CE-B985AB1F8DA8}">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autoFilter>
  <tableColumns count="10">
    <tableColumn id="1" xr3:uid="{B05F7D01-FBFE-496B-A9D0-172B539A2C02}" name="Year" dataDxfId="37"/>
    <tableColumn id="2" xr3:uid="{F8DC536E-53C0-4661-96E1-7224E4D7512F}" name="Calendar Year" dataDxfId="36">
      <calculatedColumnFormula>purchase_year+K22</calculatedColumnFormula>
    </tableColumn>
    <tableColumn id="5" xr3:uid="{5DB04760-9C56-452F-8CE7-2BD2197F4C3D}" name="Begin Year (Range)" dataDxfId="35">
      <calculatedColumnFormula>IF(Table53[[#This Row],[Calendar Year]]&gt;=$C$8,Table53[[#This Row],[Calendar Year]],NA())</calculatedColumnFormula>
    </tableColumn>
    <tableColumn id="6" xr3:uid="{97CC3E11-5C7F-4F5A-8941-8DA018D6CBEB}" name="Year (Range)" dataDxfId="34">
      <calculatedColumnFormula>IF((Table53[[#This Row],[Calendar Year]]&gt;=$C$8)*(Table53[[#This Row],[Calendar Year]]&lt;=$C$10),Table53[[#This Row],[Calendar Year]],NA())</calculatedColumnFormula>
    </tableColumn>
    <tableColumn id="7" xr3:uid="{C854B903-C9AA-4C19-964B-ABDEE936FD89}" name="Buy: Simulated EOY Investment Balance ($) Visual" dataDxfId="33">
      <calculatedColumnFormula>IF((Table53[[#This Row],[Year (Range)]]&gt;=$C$8)*(Table53[[#This Row],[Year (Range)]]&lt;=$C$10),BrokerageStocks4546[[#This Row],[Buy: Simulated EOY Investment Balance ($)]],NA())</calculatedColumnFormula>
    </tableColumn>
    <tableColumn id="8" xr3:uid="{6B2A6013-9A73-443E-9FC0-BC8C5BD13780}" name="Rent: Simulated EOY Investment Balance ($) Visual" dataDxfId="32">
      <calculatedColumnFormula>IF((Table53[[#This Row],[Year (Range)]]&gt;=$C$8)*(Table53[[#This Row],[Year (Range)]]&lt;=$C$10),BrokerageStocks45[[#This Row],[Rent: Simulated EOY Investment Balance ($)]],NA())</calculatedColumnFormula>
    </tableColumn>
    <tableColumn id="9" xr3:uid="{E7F508B6-7F26-4C98-8C3A-84AB3096F264}" name="Buy: Fixed Average Return EOY Investment Balance ($) Visual" dataDxfId="31" dataCellStyle="Currency">
      <calculatedColumnFormula>IF((Table53[[#This Row],[Year (Range)]]&gt;=$C$8)*(Table53[[#This Row],[Year (Range)]]&lt;=$C$10),BrokerageStocks4546[[#This Row],[Buy: Fixed Average Return EOY Investment Balance ($)]],NA())</calculatedColumnFormula>
    </tableColumn>
    <tableColumn id="10" xr3:uid="{3BB31957-4E2D-466A-877B-BB132404DE80}" name="Rent: Fixed Average Return EOY Investment Balance ($) Visual" dataDxfId="30" dataCellStyle="Currency">
      <calculatedColumnFormula>IF((Table53[[#This Row],[Year (Range)]]&gt;=$C$8)*(Table53[[#This Row],[Year (Range)]]&lt;=$C$10),BrokerageStocks45[[#This Row],[Rent: Fixed Average Return EOY Investment Balance ($)]],NA())</calculatedColumnFormula>
    </tableColumn>
    <tableColumn id="3" xr3:uid="{B732BC2E-1795-4B4E-8095-6EEC522C492D}" name="Simulated Return (%)" dataDxfId="29" dataCellStyle="Percent">
      <calculatedColumnFormula>NORMINV(RAND(),simulation_stock_market_mean_return,simulation_stock_market_standarddev_return)</calculatedColumnFormula>
    </tableColumn>
    <tableColumn id="4" xr3:uid="{525E7A52-E6A8-460D-B301-E3902E586C79}" name="Fixed Average Return (%)" dataDxfId="28">
      <calculatedColumnFormula>$L$5</calculatedColumnFormula>
    </tableColumn>
  </tableColumns>
  <tableStyleInfo name="EH Custom"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FC452AD4-FF75-47C5-86AC-31D68FE9E126}" name="Table55" displayName="Table55" ref="K8:L9" headerRowCount="0" totalsRowShown="0" headerRowDxfId="27" dataDxfId="26">
  <tableColumns count="2">
    <tableColumn id="1" xr3:uid="{DCD2A77D-A0BC-48F9-85F0-6063B71DA813}" name="Column1" headerRowDxfId="25" dataDxfId="24"/>
    <tableColumn id="2" xr3:uid="{6AA3D835-F56B-40BF-B381-3D46629EA7BB}" name="Column2" headerRowDxfId="23" dataDxfId="22" headerRowCellStyle="Percent" dataCellStyle="Percent">
      <calculatedColumnFormula>simulation_stock_market_standarddev_return</calculatedColumnFormula>
    </tableColumn>
  </tableColumns>
  <tableStyleInfo name="EH Custom"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53F5A020-7CB7-4371-9C4C-0E76BC17A04B}" name="Table56" displayName="Table56" ref="K12:L18" headerRowCount="0" totalsRowShown="0">
  <tableColumns count="2">
    <tableColumn id="1" xr3:uid="{38D110CF-94B0-4E6B-9222-E4EA7D3F8AAC}" name="Column1" headerRowDxfId="21" dataDxfId="20"/>
    <tableColumn id="2" xr3:uid="{BA654F59-45AA-4AB2-B7ED-77A2301C4D7C}" name="Column2" headerRowDxfId="19" dataDxfId="18"/>
  </tableColumns>
  <tableStyleInfo name="EH Custom"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8" xr:uid="{53792199-18E4-462E-B424-40D020DB7D5E}" name="Table48" displayName="Table48" ref="K16:V116" totalsRowShown="0" headerRowDxfId="17" dataDxfId="16">
  <autoFilter ref="K16:V116" xr:uid="{53792199-18E4-462E-B424-40D020DB7D5E}"/>
  <tableColumns count="12">
    <tableColumn id="7" xr3:uid="{ACD23E78-EA31-4FDE-9C7C-E998C89262B1}" name="Year" dataDxfId="15"/>
    <tableColumn id="8" xr3:uid="{F4C46754-E52C-4978-9261-2C49FEF1D497}" name="Calendar Year" dataDxfId="14">
      <calculatedColumnFormula>purchase_year+K16</calculatedColumnFormula>
    </tableColumn>
    <tableColumn id="9" xr3:uid="{AFFA943B-BEA0-4C6A-8C8D-352532D02D26}" name="Begin Year (Range)" dataDxfId="13">
      <calculatedColumnFormula>IF(AnnualExpenses[[#This Row],[Calendar Year]]&gt;=$C$8,Table48[[#This Row],[Calendar Year]],NA())</calculatedColumnFormula>
    </tableColumn>
    <tableColumn id="10" xr3:uid="{828E6CD7-477A-4B1D-8C02-A26FE65DC7BF}" name="Year (Range)" dataDxfId="12">
      <calculatedColumnFormula>IF((Table48[[#This Row],[Calendar Year]]&gt;=$C$8)*(Table48[[#This Row],[Calendar Year]]&lt;=$C$10),Table48[[#This Row],[Calendar Year]],NA())</calculatedColumnFormula>
    </tableColumn>
    <tableColumn id="11" xr3:uid="{F8B7ADAE-20EB-4FEB-AD70-D8AE3A02DC08}" name="Buy Total Assets Visual" dataDxfId="11">
      <calculatedColumnFormula>IF((Table48[[#This Row],[Year (Range)]]&gt;=$C$8)*(Table48[[#This Row],[Year (Range)]]&lt;=$C$10),Table48[[#This Row],[Buy Total Assets]],NA())</calculatedColumnFormula>
    </tableColumn>
    <tableColumn id="12" xr3:uid="{56E3A8E5-4AE1-4E83-AE54-5446DB8C5DEF}" name="Rent Total Assets Visual" dataDxfId="10" dataCellStyle="Currency">
      <calculatedColumnFormula>IF((Table48[[#This Row],[Year (Range)]]&gt;=$C$8)*(Table48[[#This Row],[Year (Range)]]&lt;=$C$10),Table48[[#This Row],[Rent Total Assets]],NA())</calculatedColumnFormula>
    </tableColumn>
    <tableColumn id="1" xr3:uid="{2159A198-E88F-465E-99A2-8BDCF34BC9C5}" name="Cumulative Equity" dataDxfId="9">
      <calculatedColumnFormula>'Annual Amort. Sch.'!AI17</calculatedColumnFormula>
    </tableColumn>
    <tableColumn id="2" xr3:uid="{052A6659-F77C-49E2-A7FA-90E5369CC8A8}" name="Cumulative Appreciation" dataDxfId="8">
      <calculatedColumnFormula>'Annual Amort. Sch.'!AF17</calculatedColumnFormula>
    </tableColumn>
    <tableColumn id="3" xr3:uid="{87A3EC0F-FF54-43A8-8066-34B2F1B58D22}" name="Buy: Simulated Cumulative Brokerage" dataDxfId="7">
      <calculatedColumnFormula>'Investment Simulation'!Z22</calculatedColumnFormula>
    </tableColumn>
    <tableColumn id="4" xr3:uid="{5C690D91-7C2D-4F07-ACFE-950BDD1896D9}" name="Buy Total Assets" dataDxfId="6">
      <calculatedColumnFormula>SUM(Q17:S17)</calculatedColumnFormula>
    </tableColumn>
    <tableColumn id="5" xr3:uid="{672DD41C-A391-4D94-9671-9639CD8DBFDB}" name="Rent: Simulated Cumulative Brokerage" dataDxfId="5">
      <calculatedColumnFormula>'Investment Simulation'!AJ22</calculatedColumnFormula>
    </tableColumn>
    <tableColumn id="6" xr3:uid="{9FB18DAF-7786-489C-A90D-820549E4A118}" name="Rent Total Assets" dataDxfId="4">
      <calculatedColumnFormula>U17</calculatedColumnFormula>
    </tableColumn>
  </tableColumns>
  <tableStyleInfo name="EH Custom"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table" Target="../tables/table5.xml"/><Relationship Id="rId1" Type="http://schemas.openxmlformats.org/officeDocument/2006/relationships/table" Target="../tables/table4.xml"/></Relationships>
</file>

<file path=xl/worksheets/_rels/sheet3.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table" Target="../tables/table7.xml"/></Relationships>
</file>

<file path=xl/worksheets/_rels/sheet5.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8" Type="http://schemas.openxmlformats.org/officeDocument/2006/relationships/table" Target="../tables/table15.xml"/><Relationship Id="rId3" Type="http://schemas.openxmlformats.org/officeDocument/2006/relationships/table" Target="../tables/table10.xml"/><Relationship Id="rId7" Type="http://schemas.openxmlformats.org/officeDocument/2006/relationships/table" Target="../tables/table14.xml"/><Relationship Id="rId2" Type="http://schemas.openxmlformats.org/officeDocument/2006/relationships/drawing" Target="../drawings/drawing3.xml"/><Relationship Id="rId1" Type="http://schemas.openxmlformats.org/officeDocument/2006/relationships/printerSettings" Target="../printerSettings/printerSettings1.bin"/><Relationship Id="rId6" Type="http://schemas.openxmlformats.org/officeDocument/2006/relationships/table" Target="../tables/table13.xml"/><Relationship Id="rId5" Type="http://schemas.openxmlformats.org/officeDocument/2006/relationships/table" Target="../tables/table12.xml"/><Relationship Id="rId4" Type="http://schemas.openxmlformats.org/officeDocument/2006/relationships/table" Target="../tables/table11.xml"/><Relationship Id="rId9" Type="http://schemas.openxmlformats.org/officeDocument/2006/relationships/table" Target="../tables/table16.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3.vml"/><Relationship Id="rId7" Type="http://schemas.openxmlformats.org/officeDocument/2006/relationships/table" Target="../tables/table18.xml"/><Relationship Id="rId2" Type="http://schemas.openxmlformats.org/officeDocument/2006/relationships/drawing" Target="../drawings/drawing4.xml"/><Relationship Id="rId1" Type="http://schemas.openxmlformats.org/officeDocument/2006/relationships/printerSettings" Target="../printerSettings/printerSettings2.bin"/><Relationship Id="rId6" Type="http://schemas.openxmlformats.org/officeDocument/2006/relationships/table" Target="../tables/table17.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3.bin"/><Relationship Id="rId6" Type="http://schemas.openxmlformats.org/officeDocument/2006/relationships/table" Target="../tables/table19.xml"/><Relationship Id="rId5" Type="http://schemas.openxmlformats.org/officeDocument/2006/relationships/ctrlProp" Target="../ctrlProps/ctrlProp4.xml"/><Relationship Id="rId4" Type="http://schemas.openxmlformats.org/officeDocument/2006/relationships/ctrlProp" Target="../ctrlProps/ctrlProp3.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5.vml"/><Relationship Id="rId7" Type="http://schemas.openxmlformats.org/officeDocument/2006/relationships/table" Target="../tables/table21.xml"/><Relationship Id="rId2" Type="http://schemas.openxmlformats.org/officeDocument/2006/relationships/drawing" Target="../drawings/drawing6.xml"/><Relationship Id="rId1" Type="http://schemas.openxmlformats.org/officeDocument/2006/relationships/printerSettings" Target="../printerSettings/printerSettings4.bin"/><Relationship Id="rId6" Type="http://schemas.openxmlformats.org/officeDocument/2006/relationships/table" Target="../tables/table20.xml"/><Relationship Id="rId5" Type="http://schemas.openxmlformats.org/officeDocument/2006/relationships/ctrlProp" Target="../ctrlProps/ctrlProp6.xml"/><Relationship Id="rId4" Type="http://schemas.openxmlformats.org/officeDocument/2006/relationships/ctrlProp" Target="../ctrlProps/ctrlProp5.xml"/></Relationships>
</file>

<file path=xl/worksheets/_rels/sheet13.xml.rels><?xml version="1.0" encoding="UTF-8" standalone="yes"?>
<Relationships xmlns="http://schemas.openxmlformats.org/package/2006/relationships"><Relationship Id="rId8" Type="http://schemas.openxmlformats.org/officeDocument/2006/relationships/table" Target="../tables/table24.xml"/><Relationship Id="rId3" Type="http://schemas.openxmlformats.org/officeDocument/2006/relationships/vmlDrawing" Target="../drawings/vmlDrawing6.vml"/><Relationship Id="rId7" Type="http://schemas.openxmlformats.org/officeDocument/2006/relationships/table" Target="../tables/table23.xml"/><Relationship Id="rId2" Type="http://schemas.openxmlformats.org/officeDocument/2006/relationships/drawing" Target="../drawings/drawing7.xml"/><Relationship Id="rId1" Type="http://schemas.openxmlformats.org/officeDocument/2006/relationships/printerSettings" Target="../printerSettings/printerSettings5.bin"/><Relationship Id="rId6" Type="http://schemas.openxmlformats.org/officeDocument/2006/relationships/table" Target="../tables/table22.xml"/><Relationship Id="rId5" Type="http://schemas.openxmlformats.org/officeDocument/2006/relationships/ctrlProp" Target="../ctrlProps/ctrlProp8.xml"/><Relationship Id="rId10" Type="http://schemas.openxmlformats.org/officeDocument/2006/relationships/table" Target="../tables/table26.xml"/><Relationship Id="rId4" Type="http://schemas.openxmlformats.org/officeDocument/2006/relationships/ctrlProp" Target="../ctrlProps/ctrlProp7.xml"/><Relationship Id="rId9" Type="http://schemas.openxmlformats.org/officeDocument/2006/relationships/table" Target="../tables/table25.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8.xml"/><Relationship Id="rId1" Type="http://schemas.openxmlformats.org/officeDocument/2006/relationships/printerSettings" Target="../printerSettings/printerSettings6.bin"/><Relationship Id="rId6" Type="http://schemas.openxmlformats.org/officeDocument/2006/relationships/table" Target="../tables/table27.xml"/><Relationship Id="rId5" Type="http://schemas.openxmlformats.org/officeDocument/2006/relationships/ctrlProp" Target="../ctrlProps/ctrlProp10.xml"/><Relationship Id="rId4" Type="http://schemas.openxmlformats.org/officeDocument/2006/relationships/ctrlProp" Target="../ctrlProps/ctrlProp9.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CABAB-8D06-4F51-9C72-B81427458A07}">
  <sheetPr>
    <tabColor theme="7" tint="0.79998168889431442"/>
  </sheetPr>
  <dimension ref="B2:V75"/>
  <sheetViews>
    <sheetView topLeftCell="A55" zoomScale="109" zoomScaleNormal="101" workbookViewId="0">
      <selection activeCell="H13" sqref="H13"/>
    </sheetView>
  </sheetViews>
  <sheetFormatPr defaultColWidth="8.77734375" defaultRowHeight="13.2" x14ac:dyDescent="0.25"/>
  <cols>
    <col min="1" max="1" width="8" style="22" customWidth="1"/>
    <col min="2" max="2" width="24.21875" style="22" hidden="1" customWidth="1"/>
    <col min="3" max="3" width="13.44140625" style="22" customWidth="1"/>
    <col min="4" max="4" width="16.44140625" style="22" customWidth="1"/>
    <col min="5" max="5" width="32.21875" style="22" bestFit="1" customWidth="1"/>
    <col min="6" max="6" width="20" style="22" customWidth="1"/>
    <col min="7" max="7" width="15.6640625" style="105" bestFit="1" customWidth="1"/>
    <col min="8" max="8" width="10" style="105" bestFit="1" customWidth="1"/>
    <col min="9" max="9" width="7.6640625" style="22" customWidth="1"/>
    <col min="10" max="10" width="14" style="22" bestFit="1" customWidth="1"/>
    <col min="11" max="11" width="14.109375" style="22" customWidth="1"/>
    <col min="12" max="12" width="12.21875" style="22" customWidth="1"/>
    <col min="13" max="13" width="12.6640625" style="22" customWidth="1"/>
    <col min="14" max="14" width="18.44140625" style="22" customWidth="1"/>
    <col min="15" max="15" width="15.6640625" style="22" customWidth="1"/>
    <col min="16" max="16" width="21" style="22" customWidth="1"/>
    <col min="17" max="17" width="14" style="22" customWidth="1"/>
    <col min="18" max="18" width="11.21875" style="22" customWidth="1"/>
    <col min="19" max="16384" width="8.77734375" style="22"/>
  </cols>
  <sheetData>
    <row r="2" spans="2:20" x14ac:dyDescent="0.25">
      <c r="N2" s="27">
        <f>SUM(N5:N11)+SUM(O12:O16)</f>
        <v>42400</v>
      </c>
      <c r="O2" s="27">
        <f>N2/12</f>
        <v>3533.3333333333335</v>
      </c>
    </row>
    <row r="3" spans="2:20" x14ac:dyDescent="0.25">
      <c r="B3" s="100" t="s">
        <v>8</v>
      </c>
      <c r="C3" s="130"/>
      <c r="D3" s="130"/>
      <c r="E3" s="130"/>
      <c r="F3" s="130"/>
      <c r="G3" s="131"/>
      <c r="H3" s="131"/>
      <c r="J3" s="100" t="s">
        <v>9</v>
      </c>
      <c r="K3" s="100"/>
      <c r="L3" s="100"/>
      <c r="M3" s="100"/>
      <c r="N3" s="100"/>
      <c r="O3" s="100"/>
      <c r="P3" s="35"/>
      <c r="Q3" s="35"/>
    </row>
    <row r="4" spans="2:20" ht="26.55" customHeight="1" x14ac:dyDescent="0.25">
      <c r="B4" s="128" t="s">
        <v>10</v>
      </c>
      <c r="C4" s="115" t="s">
        <v>11</v>
      </c>
      <c r="D4" s="115" t="s">
        <v>12</v>
      </c>
      <c r="E4" s="115" t="s">
        <v>13</v>
      </c>
      <c r="F4" s="115" t="s">
        <v>14</v>
      </c>
      <c r="G4" s="139" t="s">
        <v>15</v>
      </c>
      <c r="H4" s="139" t="s">
        <v>16</v>
      </c>
      <c r="J4" s="77" t="s">
        <v>17</v>
      </c>
      <c r="K4" s="140" t="s">
        <v>18</v>
      </c>
      <c r="L4" s="140" t="s">
        <v>19</v>
      </c>
      <c r="M4" s="65" t="s">
        <v>20</v>
      </c>
      <c r="N4" s="65" t="s">
        <v>21</v>
      </c>
      <c r="O4" s="65" t="s">
        <v>22</v>
      </c>
      <c r="P4" s="65" t="s">
        <v>23</v>
      </c>
      <c r="Q4" s="65" t="s">
        <v>24</v>
      </c>
      <c r="R4" s="78" t="s">
        <v>25</v>
      </c>
    </row>
    <row r="5" spans="2:20" x14ac:dyDescent="0.25">
      <c r="B5" s="122" t="s">
        <v>26</v>
      </c>
      <c r="C5" s="59" t="s">
        <v>27</v>
      </c>
      <c r="D5" s="59" t="s">
        <v>28</v>
      </c>
      <c r="E5" s="59" t="s">
        <v>75</v>
      </c>
      <c r="F5" s="25" t="s">
        <v>74</v>
      </c>
      <c r="G5" s="121">
        <f>139/12</f>
        <v>11.583333333333334</v>
      </c>
      <c r="H5" s="121"/>
      <c r="J5" s="122" t="s">
        <v>31</v>
      </c>
      <c r="K5" s="119">
        <f>SUMIFS(ItemizedBudget[Income],ItemizedBudget[Frequency],"Monthly",ItemizedBudget[Planned Month],"All")</f>
        <v>13940.333333333332</v>
      </c>
      <c r="L5" s="119">
        <f>SUMIFS(ItemizedBudget[Income],ItemizedBudget[Frequency],"One-Time",ItemizedBudget[Planned Month],J5)</f>
        <v>15750</v>
      </c>
      <c r="M5" s="119">
        <f>SUMIFS(ItemizedBudget[Expenditures],ItemizedBudget[Frequency],"Monthly",ItemizedBudget[Planned Month],"All")</f>
        <v>7555.7933333333331</v>
      </c>
      <c r="N5" s="119">
        <f>SUMIFS(ItemizedBudget[Expenditures],ItemizedBudget[Spending Category],"Mortgage")</f>
        <v>4450</v>
      </c>
      <c r="O5" s="119">
        <f>SUMIFS(ItemizedBudget[Expenditures],ItemizedBudget[Spending Category],"Rent - Outgoing",ItemizedBudget[Planned Month],J5)</f>
        <v>0</v>
      </c>
      <c r="P5" s="119">
        <f>M5-(N5+O5)</f>
        <v>3105.7933333333331</v>
      </c>
      <c r="Q5" s="119">
        <f>SUMIFS(ItemizedBudget[Expenditures],ItemizedBudget[Frequency],"One-Time",ItemizedBudget[Planned Month],J5)</f>
        <v>4600</v>
      </c>
      <c r="R5" s="123">
        <f>(K5+L5)-(M5+Q5+O5)</f>
        <v>17534.54</v>
      </c>
    </row>
    <row r="6" spans="2:20" x14ac:dyDescent="0.25">
      <c r="B6" s="122" t="s">
        <v>26</v>
      </c>
      <c r="C6" s="59" t="s">
        <v>27</v>
      </c>
      <c r="D6" s="59" t="s">
        <v>28</v>
      </c>
      <c r="E6" s="59" t="s">
        <v>39</v>
      </c>
      <c r="F6" s="59" t="s">
        <v>408</v>
      </c>
      <c r="G6" s="121">
        <v>194.71</v>
      </c>
      <c r="H6" s="121"/>
      <c r="I6" s="27"/>
      <c r="J6" s="122" t="s">
        <v>33</v>
      </c>
      <c r="K6" s="119">
        <f>SUMIFS(ItemizedBudget[Income],ItemizedBudget[Frequency],"Monthly",ItemizedBudget[Planned Month],"All")</f>
        <v>13940.333333333332</v>
      </c>
      <c r="L6" s="119">
        <f>SUMIFS(ItemizedBudget[Income],ItemizedBudget[Frequency],"One-Time",ItemizedBudget[Planned Month],J6)</f>
        <v>0</v>
      </c>
      <c r="M6" s="119">
        <f>SUMIFS(ItemizedBudget[Expenditures],ItemizedBudget[Frequency],"Monthly",ItemizedBudget[Planned Month],"All")</f>
        <v>7555.7933333333331</v>
      </c>
      <c r="N6" s="119">
        <f>SUMIFS(ItemizedBudget[Expenditures],ItemizedBudget[Spending Category],"Mortgage")</f>
        <v>4450</v>
      </c>
      <c r="O6" s="119">
        <f>SUMIFS(ItemizedBudget[Expenditures],ItemizedBudget[Spending Category],"Rent - Outgoing",ItemizedBudget[Planned Month],J6)</f>
        <v>0</v>
      </c>
      <c r="P6" s="119">
        <f t="shared" ref="P6:P16" si="0">M6-(N6+O6)</f>
        <v>3105.7933333333331</v>
      </c>
      <c r="Q6" s="119">
        <f>SUMIFS(ItemizedBudget[Expenditures],ItemizedBudget[Frequency],"One-Time",ItemizedBudget[Planned Month],J6)</f>
        <v>5700</v>
      </c>
      <c r="R6" s="123">
        <f t="shared" ref="R6:R16" si="1">(K6+L6)-(M6+Q6+O6)</f>
        <v>684.53999999999905</v>
      </c>
      <c r="T6" s="22">
        <f>SUMIFS(ItemizedBudget[Expenditures],ItemizedBudget[Item],"Rent: Outgoing",ItemizedBudget[Item],"Mortgage 50 Morrison",ItemizedBudget[Planned Month],J5)</f>
        <v>0</v>
      </c>
    </row>
    <row r="7" spans="2:20" x14ac:dyDescent="0.25">
      <c r="B7" s="122" t="s">
        <v>26</v>
      </c>
      <c r="C7" s="59" t="s">
        <v>27</v>
      </c>
      <c r="D7" s="59" t="s">
        <v>28</v>
      </c>
      <c r="E7" s="59" t="s">
        <v>29</v>
      </c>
      <c r="F7" s="25" t="s">
        <v>30</v>
      </c>
      <c r="G7" s="121">
        <v>100</v>
      </c>
      <c r="H7" s="121"/>
      <c r="J7" s="127" t="s">
        <v>36</v>
      </c>
      <c r="K7" s="119">
        <f>SUMIFS(ItemizedBudget[Income],ItemizedBudget[Frequency],"Monthly",ItemizedBudget[Planned Month],"All")</f>
        <v>13940.333333333332</v>
      </c>
      <c r="L7" s="119">
        <f>SUMIFS(ItemizedBudget[Income],ItemizedBudget[Frequency],"One-Time",ItemizedBudget[Planned Month],J7)</f>
        <v>0</v>
      </c>
      <c r="M7" s="119">
        <f>SUMIFS(ItemizedBudget[Expenditures],ItemizedBudget[Frequency],"Monthly",ItemizedBudget[Planned Month],"All")</f>
        <v>7555.7933333333331</v>
      </c>
      <c r="N7" s="119">
        <f>SUMIFS(ItemizedBudget[Expenditures],ItemizedBudget[Spending Category],"Mortgage")</f>
        <v>4450</v>
      </c>
      <c r="O7" s="119">
        <f>SUMIFS(ItemizedBudget[Expenditures],ItemizedBudget[Spending Category],"Rent - Outgoing",ItemizedBudget[Planned Month],J7)</f>
        <v>0</v>
      </c>
      <c r="P7" s="119">
        <f t="shared" si="0"/>
        <v>3105.7933333333331</v>
      </c>
      <c r="Q7" s="119">
        <f>SUMIFS(ItemizedBudget[Expenditures],ItemizedBudget[Frequency],"One-Time",ItemizedBudget[Planned Month],J7)</f>
        <v>4398</v>
      </c>
      <c r="R7" s="123">
        <f t="shared" si="1"/>
        <v>1986.5399999999991</v>
      </c>
    </row>
    <row r="8" spans="2:20" x14ac:dyDescent="0.25">
      <c r="B8" s="122" t="s">
        <v>26</v>
      </c>
      <c r="C8" s="59" t="s">
        <v>27</v>
      </c>
      <c r="D8" s="59" t="s">
        <v>28</v>
      </c>
      <c r="E8" s="59" t="s">
        <v>34</v>
      </c>
      <c r="F8" s="25" t="s">
        <v>35</v>
      </c>
      <c r="G8" s="121">
        <v>100</v>
      </c>
      <c r="H8" s="121"/>
      <c r="I8" s="27"/>
      <c r="J8" s="127" t="s">
        <v>38</v>
      </c>
      <c r="K8" s="119">
        <f>SUMIFS(ItemizedBudget[Income],ItemizedBudget[Frequency],"Monthly",ItemizedBudget[Planned Month],"All")</f>
        <v>13940.333333333332</v>
      </c>
      <c r="L8" s="119">
        <f>SUMIFS(ItemizedBudget[Income],ItemizedBudget[Frequency],"One-Time",ItemizedBudget[Planned Month],J8)</f>
        <v>5000</v>
      </c>
      <c r="M8" s="119">
        <f>SUMIFS(ItemizedBudget[Expenditures],ItemizedBudget[Frequency],"Monthly",ItemizedBudget[Planned Month],"All")</f>
        <v>7555.7933333333331</v>
      </c>
      <c r="N8" s="119">
        <f>SUMIFS(ItemizedBudget[Expenditures],ItemizedBudget[Spending Category],"Mortgage")</f>
        <v>4450</v>
      </c>
      <c r="O8" s="119">
        <f>SUMIFS(ItemizedBudget[Expenditures],ItemizedBudget[Spending Category],"Rent - Outgoing",ItemizedBudget[Planned Month],J8)</f>
        <v>0</v>
      </c>
      <c r="P8" s="119">
        <f t="shared" si="0"/>
        <v>3105.7933333333331</v>
      </c>
      <c r="Q8" s="119">
        <f>SUMIFS(ItemizedBudget[Expenditures],ItemizedBudget[Frequency],"One-Time",ItemizedBudget[Planned Month],J8)</f>
        <v>9000</v>
      </c>
      <c r="R8" s="123">
        <f t="shared" si="1"/>
        <v>2384.5399999999972</v>
      </c>
    </row>
    <row r="9" spans="2:20" x14ac:dyDescent="0.25">
      <c r="B9" s="122" t="s">
        <v>26</v>
      </c>
      <c r="C9" s="59" t="s">
        <v>27</v>
      </c>
      <c r="D9" s="59" t="s">
        <v>28</v>
      </c>
      <c r="E9" s="59" t="s">
        <v>37</v>
      </c>
      <c r="F9" s="25" t="s">
        <v>35</v>
      </c>
      <c r="G9" s="121">
        <v>25</v>
      </c>
      <c r="H9" s="121"/>
      <c r="J9" s="127" t="s">
        <v>40</v>
      </c>
      <c r="K9" s="119">
        <f>SUMIFS(ItemizedBudget[Income],ItemizedBudget[Frequency],"Monthly",ItemizedBudget[Planned Month],"All")</f>
        <v>13940.333333333332</v>
      </c>
      <c r="L9" s="119">
        <f>SUMIFS(ItemizedBudget[Income],ItemizedBudget[Frequency],"One-Time",ItemizedBudget[Planned Month],J9)</f>
        <v>0</v>
      </c>
      <c r="M9" s="119">
        <f>SUMIFS(ItemizedBudget[Expenditures],ItemizedBudget[Frequency],"Monthly",ItemizedBudget[Planned Month],"All")</f>
        <v>7555.7933333333331</v>
      </c>
      <c r="N9" s="119">
        <f>SUMIFS(ItemizedBudget[Expenditures],ItemizedBudget[Spending Category],"Mortgage")</f>
        <v>4450</v>
      </c>
      <c r="O9" s="119">
        <f>SUMIFS(ItemizedBudget[Expenditures],ItemizedBudget[Spending Category],"Rent - Outgoing",ItemizedBudget[Planned Month],J9)</f>
        <v>0</v>
      </c>
      <c r="P9" s="119">
        <f t="shared" si="0"/>
        <v>3105.7933333333331</v>
      </c>
      <c r="Q9" s="119">
        <f>SUMIFS(ItemizedBudget[Expenditures],ItemizedBudget[Frequency],"One-Time",ItemizedBudget[Planned Month],J9)</f>
        <v>0</v>
      </c>
      <c r="R9" s="123">
        <f t="shared" si="1"/>
        <v>6384.5399999999991</v>
      </c>
    </row>
    <row r="10" spans="2:20" x14ac:dyDescent="0.25">
      <c r="B10" s="122" t="s">
        <v>26</v>
      </c>
      <c r="C10" s="59" t="s">
        <v>27</v>
      </c>
      <c r="D10" s="59" t="s">
        <v>28</v>
      </c>
      <c r="E10" s="59" t="s">
        <v>73</v>
      </c>
      <c r="F10" s="25" t="s">
        <v>74</v>
      </c>
      <c r="G10" s="121">
        <v>200</v>
      </c>
      <c r="H10" s="121"/>
      <c r="J10" s="127" t="s">
        <v>42</v>
      </c>
      <c r="K10" s="119">
        <f>SUMIFS(ItemizedBudget[Income],ItemizedBudget[Frequency],"Monthly",ItemizedBudget[Planned Month],"All")</f>
        <v>13940.333333333332</v>
      </c>
      <c r="L10" s="119">
        <f>SUMIFS(ItemizedBudget[Income],ItemizedBudget[Frequency],"One-Time",ItemizedBudget[Planned Month],J10)</f>
        <v>0</v>
      </c>
      <c r="M10" s="119">
        <f>SUMIFS(ItemizedBudget[Expenditures],ItemizedBudget[Frequency],"Monthly",ItemizedBudget[Planned Month],"All")</f>
        <v>7555.7933333333331</v>
      </c>
      <c r="N10" s="119">
        <f>SUMIFS(ItemizedBudget[Expenditures],ItemizedBudget[Spending Category],"Mortgage")</f>
        <v>4450</v>
      </c>
      <c r="O10" s="119">
        <f>SUMIFS(ItemizedBudget[Expenditures],ItemizedBudget[Spending Category],"Rent - Outgoing",ItemizedBudget[Planned Month],J10)</f>
        <v>0</v>
      </c>
      <c r="P10" s="119">
        <f>M10-(N10+O10)</f>
        <v>3105.7933333333331</v>
      </c>
      <c r="Q10" s="119">
        <f>SUMIFS(ItemizedBudget[Expenditures],ItemizedBudget[Frequency],"One-Time",ItemizedBudget[Planned Month],J10)</f>
        <v>4500</v>
      </c>
      <c r="R10" s="123">
        <f t="shared" si="1"/>
        <v>1884.5399999999991</v>
      </c>
    </row>
    <row r="11" spans="2:20" x14ac:dyDescent="0.25">
      <c r="B11" s="122" t="s">
        <v>26</v>
      </c>
      <c r="C11" s="59" t="s">
        <v>27</v>
      </c>
      <c r="D11" s="59" t="s">
        <v>28</v>
      </c>
      <c r="E11" s="59" t="s">
        <v>52</v>
      </c>
      <c r="F11" s="25" t="s">
        <v>46</v>
      </c>
      <c r="G11" s="121">
        <v>30</v>
      </c>
      <c r="H11" s="121"/>
      <c r="J11" s="127" t="s">
        <v>44</v>
      </c>
      <c r="K11" s="119">
        <f>SUMIFS(ItemizedBudget[Income],ItemizedBudget[Frequency],"Monthly",ItemizedBudget[Planned Month],"All")</f>
        <v>13940.333333333332</v>
      </c>
      <c r="L11" s="119">
        <f>SUMIFS(ItemizedBudget[Income],ItemizedBudget[Frequency],"One-Time",ItemizedBudget[Planned Month],J11)</f>
        <v>4400</v>
      </c>
      <c r="M11" s="119">
        <f>SUMIFS(ItemizedBudget[Expenditures],ItemizedBudget[Frequency],"Monthly",ItemizedBudget[Planned Month],"All")</f>
        <v>7555.7933333333331</v>
      </c>
      <c r="N11" s="119">
        <f>SUMIFS(ItemizedBudget[Expenditures],ItemizedBudget[Spending Category],"Mortgage")</f>
        <v>4450</v>
      </c>
      <c r="O11" s="119">
        <f>SUMIFS(ItemizedBudget[Expenditures],ItemizedBudget[Spending Category],"Rent - Outgoing",ItemizedBudget[Planned Month],J11)</f>
        <v>2250</v>
      </c>
      <c r="P11" s="119">
        <f>M11-(N11+O11)</f>
        <v>855.79333333333307</v>
      </c>
      <c r="Q11" s="119">
        <f>SUMIFS(ItemizedBudget[Expenditures],ItemizedBudget[Frequency],"One-Time",ItemizedBudget[Planned Month],J11)</f>
        <v>2250</v>
      </c>
      <c r="R11" s="123">
        <f t="shared" si="1"/>
        <v>6284.5399999999991</v>
      </c>
    </row>
    <row r="12" spans="2:20" x14ac:dyDescent="0.25">
      <c r="B12" s="122" t="s">
        <v>26</v>
      </c>
      <c r="C12" s="59" t="s">
        <v>27</v>
      </c>
      <c r="D12" s="59" t="s">
        <v>28</v>
      </c>
      <c r="E12" s="146" t="s">
        <v>76</v>
      </c>
      <c r="F12" s="25" t="s">
        <v>77</v>
      </c>
      <c r="G12" s="121">
        <v>135</v>
      </c>
      <c r="H12" s="121"/>
      <c r="J12" s="127" t="s">
        <v>47</v>
      </c>
      <c r="K12" s="119">
        <f>SUMIFS(ItemizedBudget[Income],ItemizedBudget[Frequency],"Monthly",ItemizedBudget[Planned Month],"All")</f>
        <v>13940.333333333332</v>
      </c>
      <c r="L12" s="119">
        <f>SUMIFS(ItemizedBudget[Income],ItemizedBudget[Frequency],"One-Time",ItemizedBudget[Planned Month],J12)</f>
        <v>4400</v>
      </c>
      <c r="M12" s="119">
        <f>SUMIFS(ItemizedBudget[Expenditures],ItemizedBudget[Frequency],"Monthly",ItemizedBudget[Planned Month],"All")</f>
        <v>7555.7933333333331</v>
      </c>
      <c r="N12" s="119">
        <f>SUMIFS(ItemizedBudget[Expenditures],ItemizedBudget[Spending Category],"Mortgage")</f>
        <v>4450</v>
      </c>
      <c r="O12" s="119">
        <f>SUMIFS(ItemizedBudget[Expenditures],ItemizedBudget[Spending Category],"Rent - Outgoing",ItemizedBudget[Planned Month],J12)</f>
        <v>2250</v>
      </c>
      <c r="P12" s="119">
        <f t="shared" si="0"/>
        <v>855.79333333333307</v>
      </c>
      <c r="Q12" s="119">
        <f>SUMIFS(ItemizedBudget[Expenditures],ItemizedBudget[Frequency],"One-Time",ItemizedBudget[Planned Month],J12)</f>
        <v>6000</v>
      </c>
      <c r="R12" s="123">
        <f>(K12+L12)-(M12+Q12+O12)</f>
        <v>2534.5399999999991</v>
      </c>
    </row>
    <row r="13" spans="2:20" x14ac:dyDescent="0.25">
      <c r="B13" s="122" t="s">
        <v>26</v>
      </c>
      <c r="C13" s="59" t="s">
        <v>27</v>
      </c>
      <c r="D13" s="59" t="s">
        <v>28</v>
      </c>
      <c r="E13" s="59" t="s">
        <v>65</v>
      </c>
      <c r="F13" s="59" t="s">
        <v>66</v>
      </c>
      <c r="G13" s="121">
        <v>0</v>
      </c>
      <c r="H13" s="133">
        <f>(2861*26)/12</f>
        <v>6198.833333333333</v>
      </c>
      <c r="J13" s="127" t="s">
        <v>49</v>
      </c>
      <c r="K13" s="119">
        <f>SUMIFS(ItemizedBudget[Income],ItemizedBudget[Frequency],"Monthly",ItemizedBudget[Planned Month],"All")</f>
        <v>13940.333333333332</v>
      </c>
      <c r="L13" s="119">
        <f>SUMIFS(ItemizedBudget[Income],ItemizedBudget[Frequency],"One-Time",ItemizedBudget[Planned Month],J13)</f>
        <v>4400</v>
      </c>
      <c r="M13" s="119">
        <f>SUMIFS(ItemizedBudget[Expenditures],ItemizedBudget[Frequency],"Monthly",ItemizedBudget[Planned Month],"All")</f>
        <v>7555.7933333333331</v>
      </c>
      <c r="N13" s="119">
        <f>SUMIFS(ItemizedBudget[Expenditures],ItemizedBudget[Spending Category],"Mortgage")</f>
        <v>4450</v>
      </c>
      <c r="O13" s="119">
        <f>SUMIFS(ItemizedBudget[Expenditures],ItemizedBudget[Spending Category],"Rent - Outgoing",ItemizedBudget[Planned Month],J13)</f>
        <v>2250</v>
      </c>
      <c r="P13" s="119">
        <f t="shared" si="0"/>
        <v>855.79333333333307</v>
      </c>
      <c r="Q13" s="119">
        <f>SUMIFS(ItemizedBudget[Expenditures],ItemizedBudget[Frequency],"One-Time",ItemizedBudget[Planned Month],J13)</f>
        <v>2250</v>
      </c>
      <c r="R13" s="123">
        <f t="shared" si="1"/>
        <v>6284.5399999999991</v>
      </c>
    </row>
    <row r="14" spans="2:20" x14ac:dyDescent="0.25">
      <c r="B14" s="122" t="s">
        <v>26</v>
      </c>
      <c r="C14" s="59" t="s">
        <v>27</v>
      </c>
      <c r="D14" s="59" t="s">
        <v>28</v>
      </c>
      <c r="E14" s="59" t="s">
        <v>59</v>
      </c>
      <c r="F14" s="25" t="s">
        <v>60</v>
      </c>
      <c r="G14" s="121">
        <v>39</v>
      </c>
      <c r="H14" s="121"/>
      <c r="J14" s="127" t="s">
        <v>51</v>
      </c>
      <c r="K14" s="119">
        <f>SUMIFS(ItemizedBudget[Income],ItemizedBudget[Frequency],"Monthly",ItemizedBudget[Planned Month],"All")</f>
        <v>13940.333333333332</v>
      </c>
      <c r="L14" s="119">
        <f>SUMIFS(ItemizedBudget[Income],ItemizedBudget[Frequency],"One-Time",ItemizedBudget[Planned Month],J14)</f>
        <v>4400</v>
      </c>
      <c r="M14" s="119">
        <f>SUMIFS(ItemizedBudget[Expenditures],ItemizedBudget[Frequency],"Monthly",ItemizedBudget[Planned Month],"All")</f>
        <v>7555.7933333333331</v>
      </c>
      <c r="N14" s="119">
        <f>SUMIFS(ItemizedBudget[Expenditures],ItemizedBudget[Spending Category],"Mortgage")</f>
        <v>4450</v>
      </c>
      <c r="O14" s="119">
        <f>SUMIFS(ItemizedBudget[Expenditures],ItemizedBudget[Spending Category],"Rent - Outgoing",ItemizedBudget[Planned Month],J14)</f>
        <v>2250</v>
      </c>
      <c r="P14" s="119">
        <f t="shared" si="0"/>
        <v>855.79333333333307</v>
      </c>
      <c r="Q14" s="119">
        <f>SUMIFS(ItemizedBudget[Expenditures],ItemizedBudget[Frequency],"One-Time",ItemizedBudget[Planned Month],J14)</f>
        <v>2250</v>
      </c>
      <c r="R14" s="123">
        <f>(K14+L14)-(M14+Q14+O14)</f>
        <v>6284.5399999999991</v>
      </c>
    </row>
    <row r="15" spans="2:20" x14ac:dyDescent="0.25">
      <c r="B15" s="122" t="s">
        <v>26</v>
      </c>
      <c r="C15" s="59" t="s">
        <v>27</v>
      </c>
      <c r="D15" s="59" t="s">
        <v>28</v>
      </c>
      <c r="E15" s="59" t="s">
        <v>41</v>
      </c>
      <c r="F15" s="59" t="s">
        <v>41</v>
      </c>
      <c r="G15" s="121">
        <v>175</v>
      </c>
      <c r="H15" s="121"/>
      <c r="J15" s="127" t="s">
        <v>53</v>
      </c>
      <c r="K15" s="119">
        <f>SUMIFS(ItemizedBudget[Income],ItemizedBudget[Frequency],"Monthly",ItemizedBudget[Planned Month],"All")</f>
        <v>13940.333333333332</v>
      </c>
      <c r="L15" s="119">
        <f>SUMIFS(ItemizedBudget[Income],ItemizedBudget[Frequency],"One-Time",ItemizedBudget[Planned Month],J15)</f>
        <v>4400</v>
      </c>
      <c r="M15" s="119">
        <f>SUMIFS(ItemizedBudget[Expenditures],ItemizedBudget[Frequency],"Monthly",ItemizedBudget[Planned Month],"All")</f>
        <v>7555.7933333333331</v>
      </c>
      <c r="N15" s="119">
        <f>SUMIFS(ItemizedBudget[Expenditures],ItemizedBudget[Spending Category],"Mortgage")</f>
        <v>4450</v>
      </c>
      <c r="O15" s="119">
        <f>SUMIFS(ItemizedBudget[Expenditures],ItemizedBudget[Spending Category],"Rent - Outgoing",ItemizedBudget[Planned Month],J15)</f>
        <v>2250</v>
      </c>
      <c r="P15" s="119">
        <f t="shared" si="0"/>
        <v>855.79333333333307</v>
      </c>
      <c r="Q15" s="119">
        <f>SUMIFS(ItemizedBudget[Expenditures],ItemizedBudget[Frequency],"One-Time",ItemizedBudget[Planned Month],J15)</f>
        <v>3750</v>
      </c>
      <c r="R15" s="123">
        <f t="shared" si="1"/>
        <v>4784.5399999999991</v>
      </c>
    </row>
    <row r="16" spans="2:20" ht="13.8" thickBot="1" x14ac:dyDescent="0.3">
      <c r="B16" s="122" t="s">
        <v>26</v>
      </c>
      <c r="C16" s="59" t="s">
        <v>27</v>
      </c>
      <c r="D16" s="59" t="s">
        <v>28</v>
      </c>
      <c r="E16" s="59" t="s">
        <v>43</v>
      </c>
      <c r="F16" s="25" t="s">
        <v>43</v>
      </c>
      <c r="G16" s="121">
        <v>600</v>
      </c>
      <c r="H16" s="121"/>
      <c r="J16" s="142" t="s">
        <v>55</v>
      </c>
      <c r="K16" s="132">
        <f>SUMIFS(ItemizedBudget[Income],ItemizedBudget[Frequency],"Monthly",ItemizedBudget[Planned Month],"All")</f>
        <v>13940.333333333332</v>
      </c>
      <c r="L16" s="132">
        <f>SUMIFS(ItemizedBudget[Income],ItemizedBudget[Frequency],"One-Time",ItemizedBudget[Planned Month],J16)</f>
        <v>4400</v>
      </c>
      <c r="M16" s="132">
        <f>SUMIFS(ItemizedBudget[Expenditures],ItemizedBudget[Frequency],"Monthly",ItemizedBudget[Planned Month],"All")</f>
        <v>7555.7933333333331</v>
      </c>
      <c r="N16" s="132">
        <f>SUMIFS(ItemizedBudget[Expenditures],ItemizedBudget[Spending Category],"Mortgage")</f>
        <v>4450</v>
      </c>
      <c r="O16" s="132">
        <f>SUMIFS(ItemizedBudget[Expenditures],ItemizedBudget[Spending Category],"Rent - Outgoing",ItemizedBudget[Planned Month],J16)</f>
        <v>2250</v>
      </c>
      <c r="P16" s="132">
        <f t="shared" si="0"/>
        <v>855.79333333333307</v>
      </c>
      <c r="Q16" s="132">
        <f>SUMIFS(ItemizedBudget[Expenditures],ItemizedBudget[Frequency],"One-Time",ItemizedBudget[Planned Month],J16)</f>
        <v>2800</v>
      </c>
      <c r="R16" s="123">
        <f t="shared" si="1"/>
        <v>5734.5399999999991</v>
      </c>
    </row>
    <row r="17" spans="2:18" x14ac:dyDescent="0.25">
      <c r="B17" s="122" t="s">
        <v>26</v>
      </c>
      <c r="C17" s="59" t="s">
        <v>27</v>
      </c>
      <c r="D17" s="59" t="s">
        <v>28</v>
      </c>
      <c r="E17" s="59" t="s">
        <v>45</v>
      </c>
      <c r="F17" s="59" t="s">
        <v>46</v>
      </c>
      <c r="G17" s="121">
        <v>30</v>
      </c>
      <c r="H17" s="121"/>
      <c r="J17" s="116" t="s">
        <v>57</v>
      </c>
      <c r="K17" s="147">
        <f t="shared" ref="K17:R17" si="2">SUM(K5:K16)</f>
        <v>167284</v>
      </c>
      <c r="L17" s="147">
        <f t="shared" si="2"/>
        <v>47150</v>
      </c>
      <c r="M17" s="147">
        <f t="shared" si="2"/>
        <v>90669.52</v>
      </c>
      <c r="N17" s="147">
        <f t="shared" si="2"/>
        <v>53400</v>
      </c>
      <c r="O17" s="147">
        <f t="shared" si="2"/>
        <v>13500</v>
      </c>
      <c r="P17" s="147">
        <f t="shared" si="2"/>
        <v>23769.520000000004</v>
      </c>
      <c r="Q17" s="147">
        <f t="shared" si="2"/>
        <v>47498</v>
      </c>
      <c r="R17" s="147">
        <f t="shared" si="2"/>
        <v>62766.48</v>
      </c>
    </row>
    <row r="18" spans="2:18" x14ac:dyDescent="0.25">
      <c r="B18" s="122" t="s">
        <v>26</v>
      </c>
      <c r="C18" s="59" t="s">
        <v>27</v>
      </c>
      <c r="D18" s="59" t="s">
        <v>28</v>
      </c>
      <c r="E18" s="25" t="s">
        <v>58</v>
      </c>
      <c r="F18" s="25" t="s">
        <v>46</v>
      </c>
      <c r="G18" s="121">
        <f>40/1.5</f>
        <v>26.666666666666668</v>
      </c>
      <c r="H18" s="121"/>
      <c r="M18" s="100"/>
      <c r="N18" s="100"/>
      <c r="O18" s="100"/>
      <c r="P18" s="35"/>
      <c r="Q18" s="35"/>
    </row>
    <row r="19" spans="2:18" ht="26.4" x14ac:dyDescent="0.25">
      <c r="B19" s="122" t="s">
        <v>26</v>
      </c>
      <c r="C19" s="59" t="s">
        <v>27</v>
      </c>
      <c r="D19" s="59" t="s">
        <v>28</v>
      </c>
      <c r="E19" s="25" t="s">
        <v>63</v>
      </c>
      <c r="F19" s="25" t="s">
        <v>64</v>
      </c>
      <c r="G19" s="121">
        <v>333</v>
      </c>
      <c r="H19" s="121"/>
      <c r="J19" s="103" t="s">
        <v>11</v>
      </c>
      <c r="K19" s="65" t="s">
        <v>6</v>
      </c>
      <c r="L19" s="65" t="s">
        <v>15</v>
      </c>
      <c r="M19" s="65" t="s">
        <v>16</v>
      </c>
      <c r="N19" s="141" t="s">
        <v>61</v>
      </c>
      <c r="O19" s="117" t="s">
        <v>62</v>
      </c>
      <c r="P19" s="73"/>
      <c r="Q19" s="73"/>
    </row>
    <row r="20" spans="2:18" x14ac:dyDescent="0.25">
      <c r="B20" s="122" t="s">
        <v>26</v>
      </c>
      <c r="C20" s="59" t="s">
        <v>27</v>
      </c>
      <c r="D20" s="59" t="s">
        <v>28</v>
      </c>
      <c r="E20" s="59" t="s">
        <v>56</v>
      </c>
      <c r="F20" s="25" t="s">
        <v>46</v>
      </c>
      <c r="G20" s="121">
        <v>150</v>
      </c>
      <c r="H20" s="121"/>
      <c r="J20" s="127" t="str">
        <f>INDEX(ItemizedBudget[],MATCH(K20,ItemizedBudget[Spending Category],0),2)</f>
        <v>Monthly</v>
      </c>
      <c r="K20" s="59" t="str" cm="1">
        <f t="array" ref="K20">INDEX(ItemizedBudget[Spending Category], MATCH(0, COUNTIF($K$19:K19,ItemizedBudget[Spending Category]), 0))</f>
        <v>Shopping</v>
      </c>
      <c r="L20" s="119">
        <f>SUMIFS(ItemizedBudget[Expenditures],ItemizedBudget[Spending Category],K20)</f>
        <v>211.58333333333334</v>
      </c>
      <c r="M20" s="119">
        <f>SUMIFS(ItemizedBudget[Income],ItemizedBudget[Spending Category],K20)</f>
        <v>0</v>
      </c>
      <c r="N20" s="110">
        <f>IF(J20="Monthly",12*L20,L20)</f>
        <v>2539</v>
      </c>
      <c r="O20" s="121">
        <f>IF(J20="Monthly",12*M20,M20)</f>
        <v>0</v>
      </c>
      <c r="P20" s="66"/>
      <c r="Q20" s="66"/>
    </row>
    <row r="21" spans="2:18" x14ac:dyDescent="0.25">
      <c r="B21" s="122" t="s">
        <v>26</v>
      </c>
      <c r="C21" s="59" t="s">
        <v>27</v>
      </c>
      <c r="D21" s="59" t="s">
        <v>28</v>
      </c>
      <c r="E21" s="59" t="s">
        <v>64</v>
      </c>
      <c r="F21" s="25" t="s">
        <v>64</v>
      </c>
      <c r="G21" s="121">
        <v>350</v>
      </c>
      <c r="H21" s="121"/>
      <c r="J21" s="127" t="str">
        <f>INDEX(ItemizedBudget[],MATCH(K21,ItemizedBudget[Spending Category],0),2)</f>
        <v>Monthly</v>
      </c>
      <c r="K21" s="59" t="str" cm="1">
        <f t="array" ref="K21">INDEX(ItemizedBudget[Spending Category], MATCH(0, COUNTIF($K$19:K20,ItemizedBudget[Spending Category]), 0))</f>
        <v>Insurance</v>
      </c>
      <c r="L21" s="119">
        <f>SUMIFS(ItemizedBudget[Expenditures],ItemizedBudget[Spending Category],K21)</f>
        <v>194.71</v>
      </c>
      <c r="M21" s="119">
        <f>SUMIFS(ItemizedBudget[Income],ItemizedBudget[Spending Category],K21)</f>
        <v>0</v>
      </c>
      <c r="N21" s="110">
        <f t="shared" ref="N21:N39" si="3">IF(J21="Monthly",12*L21,L21)</f>
        <v>2336.52</v>
      </c>
      <c r="O21" s="121">
        <f t="shared" ref="O21:O39" si="4">IF(J21="Monthly",12*M21,M21)</f>
        <v>0</v>
      </c>
      <c r="P21" s="66"/>
      <c r="Q21" s="66"/>
    </row>
    <row r="22" spans="2:18" x14ac:dyDescent="0.25">
      <c r="B22" s="122" t="s">
        <v>26</v>
      </c>
      <c r="C22" s="59" t="s">
        <v>27</v>
      </c>
      <c r="D22" s="59" t="s">
        <v>28</v>
      </c>
      <c r="E22" s="59" t="s">
        <v>68</v>
      </c>
      <c r="F22" s="59" t="s">
        <v>69</v>
      </c>
      <c r="G22" s="133">
        <v>4450</v>
      </c>
      <c r="H22" s="133"/>
      <c r="J22" s="127" t="str">
        <f>INDEX(ItemizedBudget[],MATCH(K22,ItemizedBudget[Spending Category],0),2)</f>
        <v>Monthly</v>
      </c>
      <c r="K22" s="59" t="str" cm="1">
        <f t="array" ref="K22">INDEX(ItemizedBudget[Spending Category], MATCH(0, COUNTIF($K$19:K21,ItemizedBudget[Spending Category]), 0))</f>
        <v>Automotive</v>
      </c>
      <c r="L22" s="119">
        <f>SUMIFS(ItemizedBudget[Expenditures],ItemizedBudget[Spending Category],K22)</f>
        <v>360</v>
      </c>
      <c r="M22" s="119">
        <f>SUMIFS(ItemizedBudget[Income],ItemizedBudget[Spending Category],K22)</f>
        <v>15750</v>
      </c>
      <c r="N22" s="110">
        <f t="shared" si="3"/>
        <v>4320</v>
      </c>
      <c r="O22" s="121">
        <f t="shared" si="4"/>
        <v>189000</v>
      </c>
      <c r="P22" s="66"/>
      <c r="Q22" s="66"/>
    </row>
    <row r="23" spans="2:18" x14ac:dyDescent="0.25">
      <c r="B23" s="122" t="s">
        <v>26</v>
      </c>
      <c r="C23" s="59" t="s">
        <v>27</v>
      </c>
      <c r="D23" s="59" t="s">
        <v>28</v>
      </c>
      <c r="E23" s="59" t="s">
        <v>54</v>
      </c>
      <c r="F23" s="25" t="s">
        <v>46</v>
      </c>
      <c r="G23" s="121">
        <v>25</v>
      </c>
      <c r="H23" s="121"/>
      <c r="J23" s="127" t="str">
        <f>INDEX(ItemizedBudget[],MATCH(K23,ItemizedBudget[Spending Category],0),2)</f>
        <v>Monthly</v>
      </c>
      <c r="K23" s="59" t="str" cm="1">
        <f t="array" ref="K23">INDEX(ItemizedBudget[Spending Category], MATCH(0, COUNTIF($K$19:K22,ItemizedBudget[Spending Category]), 0))</f>
        <v>Cat</v>
      </c>
      <c r="L23" s="119">
        <f>SUMIFS(ItemizedBudget[Expenditures],ItemizedBudget[Spending Category],K23)</f>
        <v>1073</v>
      </c>
      <c r="M23" s="119">
        <f>SUMIFS(ItemizedBudget[Income],ItemizedBudget[Spending Category],K23)</f>
        <v>0</v>
      </c>
      <c r="N23" s="110">
        <f t="shared" si="3"/>
        <v>12876</v>
      </c>
      <c r="O23" s="121">
        <f t="shared" si="4"/>
        <v>0</v>
      </c>
      <c r="P23" s="66"/>
      <c r="Q23" s="66"/>
    </row>
    <row r="24" spans="2:18" x14ac:dyDescent="0.25">
      <c r="B24" s="122" t="s">
        <v>26</v>
      </c>
      <c r="C24" s="59" t="s">
        <v>27</v>
      </c>
      <c r="D24" s="59" t="s">
        <v>28</v>
      </c>
      <c r="E24" s="59" t="s">
        <v>70</v>
      </c>
      <c r="F24" s="25" t="s">
        <v>71</v>
      </c>
      <c r="G24" s="121">
        <v>60</v>
      </c>
      <c r="H24" s="121"/>
      <c r="J24" s="127" t="str">
        <f>INDEX(ItemizedBudget[],MATCH(K24,ItemizedBudget[Spending Category],0),2)</f>
        <v>Monthly</v>
      </c>
      <c r="K24" s="59" t="str" cm="1">
        <f t="array" ref="K24">INDEX(ItemizedBudget[Spending Category], MATCH(0, COUNTIF($K$19:K23,ItemizedBudget[Spending Category]), 0))</f>
        <v>Health</v>
      </c>
      <c r="L24" s="119">
        <f>SUMIFS(ItemizedBudget[Expenditures],ItemizedBudget[Spending Category],K24)</f>
        <v>1537.5</v>
      </c>
      <c r="M24" s="119">
        <f>SUMIFS(ItemizedBudget[Income],ItemizedBudget[Spending Category],K24)</f>
        <v>0</v>
      </c>
      <c r="N24" s="110">
        <f t="shared" si="3"/>
        <v>18450</v>
      </c>
      <c r="O24" s="121">
        <f t="shared" si="4"/>
        <v>0</v>
      </c>
      <c r="P24" s="66"/>
      <c r="Q24" s="66"/>
    </row>
    <row r="25" spans="2:18" x14ac:dyDescent="0.25">
      <c r="B25" s="122" t="s">
        <v>26</v>
      </c>
      <c r="C25" s="59" t="s">
        <v>27</v>
      </c>
      <c r="D25" s="59" t="s">
        <v>28</v>
      </c>
      <c r="E25" s="59" t="s">
        <v>72</v>
      </c>
      <c r="F25" s="25" t="s">
        <v>72</v>
      </c>
      <c r="G25" s="121">
        <v>400</v>
      </c>
      <c r="H25" s="121"/>
      <c r="J25" s="127" t="str">
        <f>INDEX(ItemizedBudget[],MATCH(K25,ItemizedBudget[Spending Category],0),2)</f>
        <v>Monthly</v>
      </c>
      <c r="K25" s="59" t="str" cm="1">
        <f t="array" ref="K25">INDEX(ItemizedBudget[Spending Category], MATCH(0, COUNTIF($K$19:K24,ItemizedBudget[Spending Category]), 0))</f>
        <v>Utilities</v>
      </c>
      <c r="L25" s="119">
        <f>SUMIFS(ItemizedBudget[Expenditures],ItemizedBudget[Spending Category],K25)</f>
        <v>135</v>
      </c>
      <c r="M25" s="119">
        <f>SUMIFS(ItemizedBudget[Income],ItemizedBudget[Spending Category],K25)</f>
        <v>0</v>
      </c>
      <c r="N25" s="110">
        <f t="shared" si="3"/>
        <v>1620</v>
      </c>
      <c r="O25" s="121">
        <f t="shared" si="4"/>
        <v>0</v>
      </c>
      <c r="P25" s="66"/>
      <c r="Q25" s="66"/>
    </row>
    <row r="26" spans="2:18" x14ac:dyDescent="0.25">
      <c r="B26" s="122" t="s">
        <v>26</v>
      </c>
      <c r="C26" s="59" t="s">
        <v>27</v>
      </c>
      <c r="D26" s="59" t="s">
        <v>28</v>
      </c>
      <c r="E26" s="25" t="s">
        <v>67</v>
      </c>
      <c r="F26" s="25" t="s">
        <v>66</v>
      </c>
      <c r="G26" s="121">
        <v>0</v>
      </c>
      <c r="H26" s="121">
        <f>(3573*26)/12</f>
        <v>7741.5</v>
      </c>
      <c r="J26" s="127" t="str">
        <f>INDEX(ItemizedBudget[],MATCH(K26,ItemizedBudget[Spending Category],0),2)</f>
        <v>Monthly</v>
      </c>
      <c r="K26" s="59" t="str" cm="1">
        <f t="array" ref="K26">INDEX(ItemizedBudget[Spending Category], MATCH(0, COUNTIF($K$19:K25,ItemizedBudget[Spending Category]), 0))</f>
        <v>Job Income</v>
      </c>
      <c r="L26" s="119">
        <f>SUMIFS(ItemizedBudget[Expenditures],ItemizedBudget[Spending Category],K26)</f>
        <v>0</v>
      </c>
      <c r="M26" s="119">
        <f>SUMIFS(ItemizedBudget[Income],ItemizedBudget[Spending Category],K26)</f>
        <v>13940.333333333332</v>
      </c>
      <c r="N26" s="110">
        <f t="shared" si="3"/>
        <v>0</v>
      </c>
      <c r="O26" s="121">
        <f t="shared" si="4"/>
        <v>167284</v>
      </c>
      <c r="P26" s="66"/>
      <c r="Q26" s="66"/>
    </row>
    <row r="27" spans="2:18" x14ac:dyDescent="0.25">
      <c r="B27" s="122" t="s">
        <v>26</v>
      </c>
      <c r="C27" s="114" t="s">
        <v>27</v>
      </c>
      <c r="D27" s="114" t="s">
        <v>28</v>
      </c>
      <c r="E27" s="114" t="s">
        <v>32</v>
      </c>
      <c r="F27" s="126" t="s">
        <v>30</v>
      </c>
      <c r="G27" s="134">
        <v>10</v>
      </c>
      <c r="H27" s="121"/>
      <c r="J27" s="127" t="str">
        <f>INDEX(ItemizedBudget[],MATCH(K27,ItemizedBudget[Spending Category],0),2)</f>
        <v>Monthly</v>
      </c>
      <c r="K27" s="59" t="str" cm="1">
        <f t="array" ref="K27">INDEX(ItemizedBudget[Spending Category], MATCH(0, COUNTIF($K$19:K26,ItemizedBudget[Spending Category]), 0))</f>
        <v>Pest</v>
      </c>
      <c r="L27" s="119">
        <f>SUMIFS(ItemizedBudget[Expenditures],ItemizedBudget[Spending Category],K27)</f>
        <v>39</v>
      </c>
      <c r="M27" s="119">
        <f>SUMIFS(ItemizedBudget[Income],ItemizedBudget[Spending Category],K27)</f>
        <v>0</v>
      </c>
      <c r="N27" s="110">
        <f>IF(J27="Monthly",12*L27,L27)</f>
        <v>468</v>
      </c>
      <c r="O27" s="121">
        <f t="shared" si="4"/>
        <v>0</v>
      </c>
      <c r="P27" s="66"/>
      <c r="Q27" s="66"/>
    </row>
    <row r="28" spans="2:18" x14ac:dyDescent="0.25">
      <c r="B28" s="122"/>
      <c r="C28" s="59" t="s">
        <v>27</v>
      </c>
      <c r="D28" s="59" t="s">
        <v>28</v>
      </c>
      <c r="E28" s="59" t="s">
        <v>78</v>
      </c>
      <c r="F28" s="59" t="s">
        <v>78</v>
      </c>
      <c r="G28" s="121">
        <v>35</v>
      </c>
      <c r="H28" s="121"/>
      <c r="J28" s="127" t="str">
        <f>INDEX(ItemizedBudget[],MATCH(K28,ItemizedBudget[Spending Category],0),2)</f>
        <v>Monthly</v>
      </c>
      <c r="K28" s="59" t="str" cm="1">
        <f t="array" ref="K28">INDEX(ItemizedBudget[Spending Category], MATCH(0, COUNTIF($K$19:K27,ItemizedBudget[Spending Category]), 0))</f>
        <v>Gas</v>
      </c>
      <c r="L28" s="119">
        <f>SUMIFS(ItemizedBudget[Expenditures],ItemizedBudget[Spending Category],K28)</f>
        <v>175</v>
      </c>
      <c r="M28" s="119">
        <f>SUMIFS(ItemizedBudget[Income],ItemizedBudget[Spending Category],K28)</f>
        <v>0</v>
      </c>
      <c r="N28" s="110">
        <f t="shared" si="3"/>
        <v>2100</v>
      </c>
      <c r="O28" s="121">
        <f t="shared" si="4"/>
        <v>0</v>
      </c>
      <c r="P28" s="66"/>
      <c r="Q28" s="66"/>
    </row>
    <row r="29" spans="2:18" x14ac:dyDescent="0.25">
      <c r="B29" s="122" t="s">
        <v>26</v>
      </c>
      <c r="C29" s="59" t="s">
        <v>27</v>
      </c>
      <c r="D29" s="59" t="s">
        <v>28</v>
      </c>
      <c r="E29" s="59" t="s">
        <v>50</v>
      </c>
      <c r="F29" s="25" t="s">
        <v>46</v>
      </c>
      <c r="G29" s="121">
        <v>30</v>
      </c>
      <c r="H29" s="121"/>
      <c r="J29" s="127" t="str">
        <f>INDEX(ItemizedBudget[],MATCH(K29,ItemizedBudget[Spending Category],0),2)</f>
        <v>Monthly</v>
      </c>
      <c r="K29" s="59" t="str" cm="1">
        <f t="array" ref="K29">INDEX(ItemizedBudget[Spending Category], MATCH(0, COUNTIF($K$19:K28,ItemizedBudget[Spending Category]), 0))</f>
        <v>Groceries</v>
      </c>
      <c r="L29" s="119">
        <f>SUMIFS(ItemizedBudget[Expenditures],ItemizedBudget[Spending Category],K29)</f>
        <v>600</v>
      </c>
      <c r="M29" s="119">
        <f>SUMIFS(ItemizedBudget[Income],ItemizedBudget[Spending Category],K29)</f>
        <v>0</v>
      </c>
      <c r="N29" s="110">
        <f>IF(J29="Monthly",12*L29,L29)</f>
        <v>7200</v>
      </c>
      <c r="O29" s="121">
        <f t="shared" si="4"/>
        <v>0</v>
      </c>
      <c r="P29" s="66"/>
      <c r="Q29" s="66"/>
    </row>
    <row r="30" spans="2:18" x14ac:dyDescent="0.25">
      <c r="B30" s="122" t="s">
        <v>26</v>
      </c>
      <c r="C30" s="59" t="s">
        <v>27</v>
      </c>
      <c r="D30" s="59" t="s">
        <v>28</v>
      </c>
      <c r="E30" s="59" t="s">
        <v>48</v>
      </c>
      <c r="F30" s="25" t="s">
        <v>46</v>
      </c>
      <c r="G30" s="121">
        <f>275/6</f>
        <v>45.833333333333336</v>
      </c>
      <c r="H30" s="121"/>
      <c r="J30" s="127" t="str">
        <f>INDEX(ItemizedBudget[],MATCH(K30,ItemizedBudget[Spending Category],0),2)</f>
        <v>Monthly</v>
      </c>
      <c r="K30" s="59" t="str" cm="1">
        <f t="array" ref="K30">INDEX(ItemizedBudget[Spending Category], MATCH(0, COUNTIF($K$19:K29,ItemizedBudget[Spending Category]), 0))</f>
        <v>Miscellaneous</v>
      </c>
      <c r="L30" s="119">
        <f>SUMIFS(ItemizedBudget[Expenditures],ItemizedBudget[Spending Category],K30)</f>
        <v>683</v>
      </c>
      <c r="M30" s="119">
        <f>SUMIFS(ItemizedBudget[Income],ItemizedBudget[Spending Category],K30)</f>
        <v>0</v>
      </c>
      <c r="N30" s="110">
        <f t="shared" si="3"/>
        <v>8196</v>
      </c>
      <c r="O30" s="121">
        <f t="shared" si="4"/>
        <v>0</v>
      </c>
      <c r="P30" s="66"/>
      <c r="Q30" s="66"/>
    </row>
    <row r="31" spans="2:18" x14ac:dyDescent="0.25">
      <c r="B31" s="122"/>
      <c r="C31" s="59" t="s">
        <v>79</v>
      </c>
      <c r="D31" s="59" t="s">
        <v>31</v>
      </c>
      <c r="E31" s="59" t="s">
        <v>109</v>
      </c>
      <c r="F31" s="59" t="s">
        <v>93</v>
      </c>
      <c r="G31" s="121">
        <v>300</v>
      </c>
      <c r="H31" s="121"/>
      <c r="J31" s="127" t="str">
        <f>INDEX(ItemizedBudget[],MATCH(K31,ItemizedBudget[Spending Category],0),2)</f>
        <v>Monthly</v>
      </c>
      <c r="K31" s="59" t="str" cm="1">
        <f t="array" ref="K31">INDEX(ItemizedBudget[Spending Category], MATCH(0, COUNTIF($K$19:K30,ItemizedBudget[Spending Category]), 0))</f>
        <v>Mortgage</v>
      </c>
      <c r="L31" s="119">
        <f>SUMIFS(ItemizedBudget[Expenditures],ItemizedBudget[Spending Category],K31)</f>
        <v>4450</v>
      </c>
      <c r="M31" s="119">
        <f>SUMIFS(ItemizedBudget[Income],ItemizedBudget[Spending Category],K31)</f>
        <v>0</v>
      </c>
      <c r="N31" s="110">
        <f t="shared" si="3"/>
        <v>53400</v>
      </c>
      <c r="O31" s="121">
        <f t="shared" si="4"/>
        <v>0</v>
      </c>
      <c r="P31" s="66"/>
      <c r="Q31" s="66"/>
    </row>
    <row r="32" spans="2:18" x14ac:dyDescent="0.25">
      <c r="B32" s="122"/>
      <c r="C32" s="59" t="s">
        <v>79</v>
      </c>
      <c r="D32" s="59" t="s">
        <v>38</v>
      </c>
      <c r="E32" s="59" t="s">
        <v>116</v>
      </c>
      <c r="F32" s="59" t="s">
        <v>93</v>
      </c>
      <c r="G32" s="121">
        <v>600</v>
      </c>
      <c r="H32" s="121"/>
      <c r="J32" s="127" t="str">
        <f>INDEX(ItemizedBudget[],MATCH(K32,ItemizedBudget[Spending Category],0),2)</f>
        <v>Monthly</v>
      </c>
      <c r="K32" s="59" t="str" cm="1">
        <f t="array" ref="K32">INDEX(ItemizedBudget[Spending Category], MATCH(0, COUNTIF($K$19:K31,ItemizedBudget[Spending Category]), 0))</f>
        <v>Phone</v>
      </c>
      <c r="L32" s="119">
        <f>SUMIFS(ItemizedBudget[Expenditures],ItemizedBudget[Spending Category],K32)</f>
        <v>60</v>
      </c>
      <c r="M32" s="119">
        <f>SUMIFS(ItemizedBudget[Income],ItemizedBudget[Spending Category],K32)</f>
        <v>0</v>
      </c>
      <c r="N32" s="110">
        <f t="shared" si="3"/>
        <v>720</v>
      </c>
      <c r="O32" s="121">
        <f t="shared" si="4"/>
        <v>0</v>
      </c>
      <c r="P32" s="66"/>
      <c r="Q32" s="66"/>
    </row>
    <row r="33" spans="2:22" x14ac:dyDescent="0.25">
      <c r="B33" s="122" t="s">
        <v>26</v>
      </c>
      <c r="C33" s="59" t="s">
        <v>79</v>
      </c>
      <c r="D33" s="59" t="s">
        <v>53</v>
      </c>
      <c r="E33" s="59" t="s">
        <v>80</v>
      </c>
      <c r="F33" s="59" t="s">
        <v>30</v>
      </c>
      <c r="G33" s="121">
        <v>250</v>
      </c>
      <c r="H33" s="121"/>
      <c r="J33" s="127" t="str">
        <f>INDEX(ItemizedBudget[],MATCH(K33,ItemizedBudget[Spending Category],0),2)</f>
        <v>Monthly</v>
      </c>
      <c r="K33" s="59" t="str" cm="1">
        <f t="array" ref="K33">INDEX(ItemizedBudget[Spending Category], MATCH(0, COUNTIF($K$19:K32,ItemizedBudget[Spending Category]), 0))</f>
        <v>Restaurant</v>
      </c>
      <c r="L33" s="119">
        <f>SUMIFS(ItemizedBudget[Expenditures],ItemizedBudget[Spending Category],K33)</f>
        <v>400</v>
      </c>
      <c r="M33" s="119">
        <f>SUMIFS(ItemizedBudget[Income],ItemizedBudget[Spending Category],K33)</f>
        <v>0</v>
      </c>
      <c r="N33" s="110">
        <f t="shared" si="3"/>
        <v>4800</v>
      </c>
      <c r="O33" s="121">
        <f t="shared" si="4"/>
        <v>0</v>
      </c>
      <c r="P33" s="66"/>
      <c r="Q33" s="66"/>
    </row>
    <row r="34" spans="2:22" x14ac:dyDescent="0.25">
      <c r="B34" s="122" t="s">
        <v>26</v>
      </c>
      <c r="C34" s="59" t="s">
        <v>79</v>
      </c>
      <c r="D34" s="59" t="s">
        <v>55</v>
      </c>
      <c r="E34" s="59" t="s">
        <v>84</v>
      </c>
      <c r="F34" s="59" t="s">
        <v>85</v>
      </c>
      <c r="G34" s="121">
        <v>550</v>
      </c>
      <c r="H34" s="121"/>
      <c r="J34" s="127" t="str">
        <f>INDEX(ItemizedBudget[],MATCH(K34,ItemizedBudget[Spending Category],0),2)</f>
        <v>Monthly</v>
      </c>
      <c r="K34" s="59" t="str" cm="1">
        <f t="array" ref="K34">INDEX(ItemizedBudget[Spending Category], MATCH(0, COUNTIF($K$19:K33,ItemizedBudget[Spending Category]), 0))</f>
        <v>Trash</v>
      </c>
      <c r="L34" s="119">
        <f>SUMIFS(ItemizedBudget[Expenditures],ItemizedBudget[Spending Category],K34)</f>
        <v>35</v>
      </c>
      <c r="M34" s="119">
        <f>SUMIFS(ItemizedBudget[Income],ItemizedBudget[Spending Category],K34)</f>
        <v>0</v>
      </c>
      <c r="N34" s="110">
        <f t="shared" si="3"/>
        <v>420</v>
      </c>
      <c r="O34" s="121">
        <f t="shared" si="4"/>
        <v>0</v>
      </c>
      <c r="P34" s="66"/>
      <c r="Q34" s="66"/>
    </row>
    <row r="35" spans="2:22" x14ac:dyDescent="0.25">
      <c r="B35" s="122" t="s">
        <v>26</v>
      </c>
      <c r="C35" s="59" t="s">
        <v>79</v>
      </c>
      <c r="D35" s="59" t="s">
        <v>36</v>
      </c>
      <c r="E35" s="59" t="s">
        <v>86</v>
      </c>
      <c r="F35" s="59" t="s">
        <v>46</v>
      </c>
      <c r="G35" s="121">
        <v>1200</v>
      </c>
      <c r="H35" s="121"/>
      <c r="J35" s="127" t="str">
        <f>INDEX(ItemizedBudget[],MATCH(K35,ItemizedBudget[Spending Category],0),2)</f>
        <v>One-Time</v>
      </c>
      <c r="K35" s="59" t="str" cm="1">
        <f t="array" ref="K35">INDEX(ItemizedBudget[Spending Category], MATCH(0, COUNTIF($K$19:K34,ItemizedBudget[Spending Category]), 0))</f>
        <v>Home Maintenance</v>
      </c>
      <c r="L35" s="119">
        <f>SUMIFS(ItemizedBudget[Expenditures],ItemizedBudget[Spending Category],K35)</f>
        <v>25800</v>
      </c>
      <c r="M35" s="119">
        <f>SUMIFS(ItemizedBudget[Income],ItemizedBudget[Spending Category],K35)</f>
        <v>0</v>
      </c>
      <c r="N35" s="110">
        <f t="shared" si="3"/>
        <v>25800</v>
      </c>
      <c r="O35" s="121">
        <f t="shared" si="4"/>
        <v>0</v>
      </c>
      <c r="P35" s="66"/>
      <c r="Q35" s="66"/>
    </row>
    <row r="36" spans="2:22" x14ac:dyDescent="0.25">
      <c r="B36" s="122"/>
      <c r="C36" s="59" t="s">
        <v>79</v>
      </c>
      <c r="D36" s="59" t="s">
        <v>42</v>
      </c>
      <c r="E36" s="59" t="s">
        <v>110</v>
      </c>
      <c r="F36" s="59" t="s">
        <v>93</v>
      </c>
      <c r="G36" s="121">
        <v>500</v>
      </c>
      <c r="H36" s="121"/>
      <c r="J36" s="127" t="str">
        <f>INDEX(ItemizedBudget[],MATCH(K36,ItemizedBudget[Spending Category],0),2)</f>
        <v>One-Time</v>
      </c>
      <c r="K36" s="59" t="str" cm="1">
        <f t="array" ref="K36">INDEX(ItemizedBudget[Spending Category], MATCH(0, COUNTIF($K$19:K35,ItemizedBudget[Spending Category]), 0))</f>
        <v>Gifts</v>
      </c>
      <c r="L36" s="119">
        <f>SUMIFS(ItemizedBudget[Expenditures],ItemizedBudget[Spending Category],K36)</f>
        <v>550</v>
      </c>
      <c r="M36" s="119">
        <f>SUMIFS(ItemizedBudget[Income],ItemizedBudget[Spending Category],K36)</f>
        <v>0</v>
      </c>
      <c r="N36" s="110">
        <f t="shared" si="3"/>
        <v>550</v>
      </c>
      <c r="O36" s="121">
        <f t="shared" si="4"/>
        <v>0</v>
      </c>
      <c r="P36" s="66"/>
      <c r="Q36" s="66"/>
      <c r="V36" s="148" t="s">
        <v>87</v>
      </c>
    </row>
    <row r="37" spans="2:22" x14ac:dyDescent="0.25">
      <c r="B37" s="122" t="s">
        <v>90</v>
      </c>
      <c r="C37" s="59" t="s">
        <v>79</v>
      </c>
      <c r="D37" s="59" t="s">
        <v>38</v>
      </c>
      <c r="E37" s="59" t="s">
        <v>94</v>
      </c>
      <c r="F37" s="59" t="s">
        <v>93</v>
      </c>
      <c r="G37" s="121">
        <v>7500</v>
      </c>
      <c r="H37" s="121"/>
      <c r="J37" s="127" t="str">
        <f>INDEX(ItemizedBudget[],MATCH(K37,ItemizedBudget[Spending Category],0),2)</f>
        <v>One-Time</v>
      </c>
      <c r="K37" s="59" t="str" cm="1">
        <f t="array" ref="K37">INDEX(ItemizedBudget[Spending Category], MATCH(0, COUNTIF($K$19:K36,ItemizedBudget[Spending Category]), 0))</f>
        <v>Home Heating</v>
      </c>
      <c r="L37" s="119">
        <f>SUMIFS(ItemizedBudget[Expenditures],ItemizedBudget[Spending Category],K37)</f>
        <v>2750</v>
      </c>
      <c r="M37" s="119">
        <f>SUMIFS(ItemizedBudget[Income],ItemizedBudget[Spending Category],K37)</f>
        <v>0</v>
      </c>
      <c r="N37" s="110">
        <f>IF(J37="Monthly",12*L37,L37)</f>
        <v>2750</v>
      </c>
      <c r="O37" s="121">
        <f t="shared" si="4"/>
        <v>0</v>
      </c>
      <c r="P37" s="66"/>
      <c r="Q37" s="66"/>
    </row>
    <row r="38" spans="2:22" x14ac:dyDescent="0.25">
      <c r="B38" s="122"/>
      <c r="C38" s="59" t="s">
        <v>79</v>
      </c>
      <c r="D38" s="59" t="s">
        <v>53</v>
      </c>
      <c r="E38" s="59" t="s">
        <v>114</v>
      </c>
      <c r="F38" s="59" t="s">
        <v>93</v>
      </c>
      <c r="G38" s="121">
        <v>500</v>
      </c>
      <c r="H38" s="121"/>
      <c r="J38" s="127" t="str">
        <f>INDEX(ItemizedBudget[],MATCH(K38,ItemizedBudget[Spending Category],0),2)</f>
        <v>One-Time</v>
      </c>
      <c r="K38" s="59" t="str" cm="1">
        <f t="array" ref="K38">INDEX(ItemizedBudget[Spending Category], MATCH(0, COUNTIF($K$19:K37,ItemizedBudget[Spending Category]), 0))</f>
        <v>Rent - Incoming</v>
      </c>
      <c r="L38" s="119">
        <f>SUMIFS(ItemizedBudget[Expenditures],ItemizedBudget[Spending Category],K38)</f>
        <v>0</v>
      </c>
      <c r="M38" s="119">
        <f>SUMIFS(ItemizedBudget[Income],ItemizedBudget[Spending Category],K38)</f>
        <v>26400</v>
      </c>
      <c r="N38" s="110">
        <f t="shared" si="3"/>
        <v>0</v>
      </c>
      <c r="O38" s="121">
        <f t="shared" si="4"/>
        <v>26400</v>
      </c>
      <c r="P38" s="66"/>
      <c r="Q38" s="66"/>
    </row>
    <row r="39" spans="2:22" x14ac:dyDescent="0.25">
      <c r="B39" s="122"/>
      <c r="C39" s="59" t="s">
        <v>79</v>
      </c>
      <c r="D39" s="59" t="s">
        <v>31</v>
      </c>
      <c r="E39" s="59" t="s">
        <v>108</v>
      </c>
      <c r="F39" s="59" t="s">
        <v>93</v>
      </c>
      <c r="G39" s="110">
        <v>350</v>
      </c>
      <c r="H39" s="121"/>
      <c r="J39" s="129" t="str">
        <f>INDEX(ItemizedBudget[],MATCH(K39,ItemizedBudget[Spending Category],0),2)</f>
        <v>One-Time</v>
      </c>
      <c r="K39" s="114" t="str" cm="1">
        <f t="array" ref="K39">INDEX(ItemizedBudget[Spending Category], MATCH(0, COUNTIF($K$19:K38,ItemizedBudget[Spending Category]), 0))</f>
        <v>Rent - Outgoing</v>
      </c>
      <c r="L39" s="125">
        <f>SUMIFS(ItemizedBudget[Expenditures],ItemizedBudget[Spending Category],K39)</f>
        <v>13500</v>
      </c>
      <c r="M39" s="125">
        <f>SUMIFS(ItemizedBudget[Income],ItemizedBudget[Spending Category],K39)</f>
        <v>0</v>
      </c>
      <c r="N39" s="135">
        <f t="shared" si="3"/>
        <v>13500</v>
      </c>
      <c r="O39" s="124">
        <f t="shared" si="4"/>
        <v>0</v>
      </c>
    </row>
    <row r="40" spans="2:22" x14ac:dyDescent="0.25">
      <c r="B40" s="122"/>
      <c r="C40" s="59" t="s">
        <v>79</v>
      </c>
      <c r="D40" s="59" t="s">
        <v>31</v>
      </c>
      <c r="E40" s="59" t="s">
        <v>107</v>
      </c>
      <c r="F40" s="59" t="s">
        <v>93</v>
      </c>
      <c r="G40" s="110">
        <v>350</v>
      </c>
      <c r="H40" s="121"/>
      <c r="J40" s="127" t="str">
        <f>INDEX(ItemizedBudget[],MATCH(K40,ItemizedBudget[Spending Category],0),2)</f>
        <v>One-Time</v>
      </c>
      <c r="K40" s="114" t="str" cm="1">
        <f t="array" ref="K40">INDEX(ItemizedBudget[Spending Category], MATCH(0, COUNTIF($K$19:K39,ItemizedBudget[Spending Category]), 0))</f>
        <v>Tax Refund</v>
      </c>
      <c r="L40" s="119">
        <f>SUMIFS(ItemizedBudget[Expenditures],ItemizedBudget[Spending Category],K40)</f>
        <v>0</v>
      </c>
      <c r="M40" s="119">
        <f>SUMIFS(ItemizedBudget[Income],ItemizedBudget[Spending Category],K40)</f>
        <v>5000</v>
      </c>
      <c r="N40" s="119"/>
      <c r="O40" s="123"/>
    </row>
    <row r="41" spans="2:22" x14ac:dyDescent="0.25">
      <c r="B41" s="122"/>
      <c r="C41" s="59" t="s">
        <v>79</v>
      </c>
      <c r="D41" s="59" t="s">
        <v>31</v>
      </c>
      <c r="E41" s="59" t="s">
        <v>98</v>
      </c>
      <c r="F41" s="59" t="s">
        <v>93</v>
      </c>
      <c r="G41" s="110">
        <v>2250</v>
      </c>
      <c r="H41" s="121"/>
      <c r="J41" s="157" t="str">
        <f>INDEX(ItemizedBudget[],MATCH(K41,ItemizedBudget[Spending Category],0),2)</f>
        <v>One-Time</v>
      </c>
      <c r="K41" s="114" t="str" cm="1">
        <f t="array" ref="K41">INDEX(ItemizedBudget[Spending Category], MATCH(0, COUNTIF($K$19:K40,ItemizedBudget[Spending Category]), 0))</f>
        <v>Vacation</v>
      </c>
      <c r="L41" s="119">
        <f>SUMIFS(ItemizedBudget[Expenditures],ItemizedBudget[Spending Category],K41)</f>
        <v>2500</v>
      </c>
      <c r="M41" s="119">
        <f>SUMIFS(ItemizedBudget[Income],ItemizedBudget[Spending Category],K41)</f>
        <v>0</v>
      </c>
      <c r="N41" s="119"/>
      <c r="O41" s="123"/>
    </row>
    <row r="42" spans="2:22" x14ac:dyDescent="0.25">
      <c r="B42" s="122" t="s">
        <v>26</v>
      </c>
      <c r="C42" s="59" t="s">
        <v>79</v>
      </c>
      <c r="D42" s="59" t="s">
        <v>53</v>
      </c>
      <c r="E42" s="59" t="s">
        <v>88</v>
      </c>
      <c r="F42" s="59" t="s">
        <v>89</v>
      </c>
      <c r="G42" s="118">
        <v>750</v>
      </c>
      <c r="H42" s="133"/>
      <c r="I42" s="67"/>
      <c r="J42" s="158" t="e">
        <f>INDEX(ItemizedBudget[],MATCH(K42,ItemizedBudget[Spending Category],0),2)</f>
        <v>#N/A</v>
      </c>
      <c r="K42" s="114" cm="1">
        <f t="array" ref="K42">INDEX(ItemizedBudget[Spending Category], MATCH(0, COUNTIF($K$19:K41,ItemizedBudget[Spending Category]), 0))</f>
        <v>0</v>
      </c>
      <c r="L42" s="119">
        <f>SUMIFS(ItemizedBudget[Expenditures],ItemizedBudget[Spending Category],K42)</f>
        <v>0</v>
      </c>
      <c r="M42" s="119">
        <f>SUMIFS(ItemizedBudget[Income],ItemizedBudget[Spending Category],K42)</f>
        <v>0</v>
      </c>
      <c r="N42" s="119"/>
      <c r="O42" s="123"/>
    </row>
    <row r="43" spans="2:22" x14ac:dyDescent="0.25">
      <c r="B43" s="122" t="s">
        <v>90</v>
      </c>
      <c r="C43" s="59" t="s">
        <v>79</v>
      </c>
      <c r="D43" s="59" t="s">
        <v>31</v>
      </c>
      <c r="E43" s="59" t="s">
        <v>96</v>
      </c>
      <c r="F43" s="59" t="s">
        <v>93</v>
      </c>
      <c r="G43" s="110">
        <v>500</v>
      </c>
      <c r="H43" s="121"/>
      <c r="J43" s="127" t="e">
        <f>INDEX(ItemizedBudget[],MATCH(K43,ItemizedBudget[Spending Category],0),2)</f>
        <v>#N/A</v>
      </c>
      <c r="K43" s="114" t="e" cm="1">
        <f t="array" ref="K43">INDEX(ItemizedBudget[Spending Category], MATCH(0, COUNTIF($K$19:K42,ItemizedBudget[Spending Category]), 0))</f>
        <v>#N/A</v>
      </c>
      <c r="L43" s="119">
        <f>SUMIFS(ItemizedBudget[Expenditures],ItemizedBudget[Spending Category],K43)</f>
        <v>0</v>
      </c>
      <c r="M43" s="119">
        <f>SUMIFS(ItemizedBudget[Income],ItemizedBudget[Spending Category],K43)</f>
        <v>0</v>
      </c>
      <c r="N43" s="119"/>
      <c r="O43" s="123"/>
    </row>
    <row r="44" spans="2:22" x14ac:dyDescent="0.25">
      <c r="B44" s="122"/>
      <c r="C44" s="59" t="s">
        <v>79</v>
      </c>
      <c r="D44" s="59" t="s">
        <v>31</v>
      </c>
      <c r="E44" s="59" t="s">
        <v>111</v>
      </c>
      <c r="F44" s="59" t="s">
        <v>93</v>
      </c>
      <c r="G44" s="121">
        <v>150</v>
      </c>
      <c r="H44" s="121"/>
    </row>
    <row r="45" spans="2:22" x14ac:dyDescent="0.25">
      <c r="B45" s="122" t="s">
        <v>26</v>
      </c>
      <c r="C45" s="59" t="s">
        <v>79</v>
      </c>
      <c r="D45" s="59" t="s">
        <v>38</v>
      </c>
      <c r="E45" s="59" t="s">
        <v>92</v>
      </c>
      <c r="F45" s="59" t="s">
        <v>93</v>
      </c>
      <c r="G45" s="121">
        <v>300</v>
      </c>
      <c r="H45" s="121"/>
    </row>
    <row r="46" spans="2:22" x14ac:dyDescent="0.25">
      <c r="B46" s="122"/>
      <c r="C46" s="59" t="s">
        <v>79</v>
      </c>
      <c r="D46" s="59" t="s">
        <v>31</v>
      </c>
      <c r="E46" s="59" t="s">
        <v>112</v>
      </c>
      <c r="F46" s="59" t="s">
        <v>93</v>
      </c>
      <c r="G46" s="121">
        <v>350</v>
      </c>
      <c r="H46" s="121"/>
    </row>
    <row r="47" spans="2:22" x14ac:dyDescent="0.25">
      <c r="B47" s="122" t="s">
        <v>90</v>
      </c>
      <c r="C47" s="59" t="s">
        <v>79</v>
      </c>
      <c r="D47" s="59" t="s">
        <v>47</v>
      </c>
      <c r="E47" s="59" t="s">
        <v>91</v>
      </c>
      <c r="F47" s="59" t="s">
        <v>89</v>
      </c>
      <c r="G47" s="121">
        <v>2000</v>
      </c>
      <c r="H47" s="121"/>
    </row>
    <row r="48" spans="2:22" x14ac:dyDescent="0.25">
      <c r="B48" s="122" t="s">
        <v>90</v>
      </c>
      <c r="C48" s="59" t="s">
        <v>79</v>
      </c>
      <c r="D48" s="59" t="s">
        <v>47</v>
      </c>
      <c r="E48" s="59" t="s">
        <v>99</v>
      </c>
      <c r="F48" s="59" t="s">
        <v>99</v>
      </c>
      <c r="G48" s="121">
        <v>0</v>
      </c>
      <c r="H48" s="121">
        <v>4400</v>
      </c>
    </row>
    <row r="49" spans="2:8" x14ac:dyDescent="0.25">
      <c r="B49" s="122" t="s">
        <v>90</v>
      </c>
      <c r="C49" s="59" t="s">
        <v>79</v>
      </c>
      <c r="D49" s="59" t="s">
        <v>49</v>
      </c>
      <c r="E49" s="59" t="s">
        <v>99</v>
      </c>
      <c r="F49" s="59" t="s">
        <v>99</v>
      </c>
      <c r="G49" s="121">
        <v>0</v>
      </c>
      <c r="H49" s="121">
        <v>4400</v>
      </c>
    </row>
    <row r="50" spans="2:8" x14ac:dyDescent="0.25">
      <c r="B50" s="122" t="s">
        <v>90</v>
      </c>
      <c r="C50" s="59" t="s">
        <v>79</v>
      </c>
      <c r="D50" s="59" t="s">
        <v>51</v>
      </c>
      <c r="E50" s="59" t="s">
        <v>99</v>
      </c>
      <c r="F50" s="59" t="s">
        <v>99</v>
      </c>
      <c r="G50" s="110">
        <v>0</v>
      </c>
      <c r="H50" s="121">
        <v>4400</v>
      </c>
    </row>
    <row r="51" spans="2:8" x14ac:dyDescent="0.25">
      <c r="B51" s="122" t="s">
        <v>90</v>
      </c>
      <c r="C51" s="59" t="s">
        <v>79</v>
      </c>
      <c r="D51" s="59" t="s">
        <v>53</v>
      </c>
      <c r="E51" s="59" t="s">
        <v>99</v>
      </c>
      <c r="F51" s="59" t="s">
        <v>99</v>
      </c>
      <c r="G51" s="110">
        <v>0</v>
      </c>
      <c r="H51" s="121">
        <v>4400</v>
      </c>
    </row>
    <row r="52" spans="2:8" x14ac:dyDescent="0.25">
      <c r="B52" s="122" t="s">
        <v>90</v>
      </c>
      <c r="C52" s="59" t="s">
        <v>79</v>
      </c>
      <c r="D52" s="59" t="s">
        <v>55</v>
      </c>
      <c r="E52" s="59" t="s">
        <v>99</v>
      </c>
      <c r="F52" s="59" t="s">
        <v>99</v>
      </c>
      <c r="G52" s="119">
        <v>0</v>
      </c>
      <c r="H52" s="121">
        <v>4400</v>
      </c>
    </row>
    <row r="53" spans="2:8" x14ac:dyDescent="0.25">
      <c r="B53" s="136"/>
      <c r="C53" s="59" t="s">
        <v>79</v>
      </c>
      <c r="D53" s="114" t="s">
        <v>44</v>
      </c>
      <c r="E53" s="59" t="s">
        <v>99</v>
      </c>
      <c r="F53" s="59" t="s">
        <v>99</v>
      </c>
      <c r="G53" s="135"/>
      <c r="H53" s="134">
        <v>4400</v>
      </c>
    </row>
    <row r="54" spans="2:8" x14ac:dyDescent="0.25">
      <c r="B54" s="136" t="s">
        <v>90</v>
      </c>
      <c r="C54" s="114" t="s">
        <v>79</v>
      </c>
      <c r="D54" s="114" t="s">
        <v>47</v>
      </c>
      <c r="E54" s="59" t="s">
        <v>100</v>
      </c>
      <c r="F54" s="59" t="s">
        <v>100</v>
      </c>
      <c r="G54" s="137">
        <v>2250</v>
      </c>
      <c r="H54" s="137"/>
    </row>
    <row r="55" spans="2:8" x14ac:dyDescent="0.25">
      <c r="B55" s="136" t="s">
        <v>90</v>
      </c>
      <c r="C55" s="114" t="s">
        <v>79</v>
      </c>
      <c r="D55" s="114" t="s">
        <v>49</v>
      </c>
      <c r="E55" s="114" t="s">
        <v>100</v>
      </c>
      <c r="F55" s="114" t="s">
        <v>100</v>
      </c>
      <c r="G55" s="137">
        <v>2250</v>
      </c>
      <c r="H55" s="137"/>
    </row>
    <row r="56" spans="2:8" x14ac:dyDescent="0.25">
      <c r="B56" s="136" t="s">
        <v>90</v>
      </c>
      <c r="C56" s="114" t="s">
        <v>79</v>
      </c>
      <c r="D56" s="114" t="s">
        <v>51</v>
      </c>
      <c r="E56" s="114" t="s">
        <v>100</v>
      </c>
      <c r="F56" s="114" t="s">
        <v>100</v>
      </c>
      <c r="G56" s="137">
        <v>2250</v>
      </c>
      <c r="H56" s="137"/>
    </row>
    <row r="57" spans="2:8" x14ac:dyDescent="0.25">
      <c r="B57" s="136" t="s">
        <v>90</v>
      </c>
      <c r="C57" s="114" t="s">
        <v>79</v>
      </c>
      <c r="D57" s="114" t="s">
        <v>53</v>
      </c>
      <c r="E57" s="114" t="s">
        <v>100</v>
      </c>
      <c r="F57" s="114" t="s">
        <v>100</v>
      </c>
      <c r="G57" s="137">
        <v>2250</v>
      </c>
      <c r="H57" s="137"/>
    </row>
    <row r="58" spans="2:8" x14ac:dyDescent="0.25">
      <c r="B58" s="136" t="s">
        <v>90</v>
      </c>
      <c r="C58" s="114" t="s">
        <v>79</v>
      </c>
      <c r="D58" s="114" t="s">
        <v>55</v>
      </c>
      <c r="E58" s="114" t="s">
        <v>100</v>
      </c>
      <c r="F58" s="114" t="s">
        <v>100</v>
      </c>
      <c r="G58" s="137">
        <v>2250</v>
      </c>
      <c r="H58" s="137"/>
    </row>
    <row r="59" spans="2:8" x14ac:dyDescent="0.25">
      <c r="B59" s="136"/>
      <c r="C59" s="114" t="s">
        <v>79</v>
      </c>
      <c r="D59" s="114" t="s">
        <v>44</v>
      </c>
      <c r="E59" s="114" t="s">
        <v>100</v>
      </c>
      <c r="F59" s="114" t="s">
        <v>100</v>
      </c>
      <c r="G59" s="137">
        <v>2250</v>
      </c>
      <c r="H59" s="137"/>
    </row>
    <row r="60" spans="2:8" x14ac:dyDescent="0.25">
      <c r="B60" s="136"/>
      <c r="C60" s="114" t="s">
        <v>79</v>
      </c>
      <c r="D60" s="114" t="s">
        <v>42</v>
      </c>
      <c r="E60" s="114" t="s">
        <v>103</v>
      </c>
      <c r="F60" s="114" t="s">
        <v>93</v>
      </c>
      <c r="G60" s="111">
        <v>1500</v>
      </c>
      <c r="H60" s="111"/>
    </row>
    <row r="61" spans="2:8" x14ac:dyDescent="0.25">
      <c r="B61" s="136"/>
      <c r="C61" s="114" t="s">
        <v>79</v>
      </c>
      <c r="D61" s="114" t="s">
        <v>31</v>
      </c>
      <c r="E61" s="114" t="s">
        <v>115</v>
      </c>
      <c r="F61" s="114" t="s">
        <v>30</v>
      </c>
      <c r="G61" s="137"/>
      <c r="H61" s="137">
        <v>15750</v>
      </c>
    </row>
    <row r="62" spans="2:8" x14ac:dyDescent="0.25">
      <c r="B62" s="136"/>
      <c r="C62" s="114" t="s">
        <v>79</v>
      </c>
      <c r="D62" s="114" t="s">
        <v>33</v>
      </c>
      <c r="E62" s="114" t="s">
        <v>106</v>
      </c>
      <c r="F62" s="114" t="s">
        <v>93</v>
      </c>
      <c r="G62" s="137">
        <v>5000</v>
      </c>
      <c r="H62" s="137"/>
    </row>
    <row r="63" spans="2:8" x14ac:dyDescent="0.25">
      <c r="B63" s="136"/>
      <c r="C63" s="114" t="s">
        <v>79</v>
      </c>
      <c r="D63" s="114" t="s">
        <v>47</v>
      </c>
      <c r="E63" s="114" t="s">
        <v>113</v>
      </c>
      <c r="F63" s="114" t="s">
        <v>93</v>
      </c>
      <c r="G63" s="137">
        <v>1750</v>
      </c>
      <c r="H63" s="137"/>
    </row>
    <row r="64" spans="2:8" x14ac:dyDescent="0.25">
      <c r="B64" s="136"/>
      <c r="C64" s="114" t="s">
        <v>79</v>
      </c>
      <c r="D64" s="114" t="s">
        <v>31</v>
      </c>
      <c r="E64" s="114" t="s">
        <v>97</v>
      </c>
      <c r="F64" s="114" t="s">
        <v>93</v>
      </c>
      <c r="G64" s="137">
        <v>350</v>
      </c>
      <c r="H64" s="137"/>
    </row>
    <row r="65" spans="2:8" x14ac:dyDescent="0.25">
      <c r="B65" s="136" t="s">
        <v>90</v>
      </c>
      <c r="C65" s="114" t="s">
        <v>79</v>
      </c>
      <c r="D65" s="114" t="s">
        <v>38</v>
      </c>
      <c r="E65" s="114" t="s">
        <v>5</v>
      </c>
      <c r="F65" s="114" t="s">
        <v>101</v>
      </c>
      <c r="G65" s="111"/>
      <c r="H65" s="138">
        <v>5000</v>
      </c>
    </row>
    <row r="66" spans="2:8" x14ac:dyDescent="0.25">
      <c r="B66" s="136" t="s">
        <v>90</v>
      </c>
      <c r="C66" s="114" t="s">
        <v>79</v>
      </c>
      <c r="D66" s="114" t="s">
        <v>42</v>
      </c>
      <c r="E66" s="114" t="s">
        <v>102</v>
      </c>
      <c r="F66" s="114" t="s">
        <v>102</v>
      </c>
      <c r="G66" s="137">
        <v>2500</v>
      </c>
      <c r="H66" s="137"/>
    </row>
    <row r="67" spans="2:8" x14ac:dyDescent="0.25">
      <c r="B67" s="136" t="s">
        <v>26</v>
      </c>
      <c r="C67" s="114" t="s">
        <v>79</v>
      </c>
      <c r="D67" s="114" t="s">
        <v>36</v>
      </c>
      <c r="E67" s="114" t="s">
        <v>83</v>
      </c>
      <c r="F67" s="114" t="s">
        <v>35</v>
      </c>
      <c r="G67" s="137">
        <f>(58*3)*2</f>
        <v>348</v>
      </c>
      <c r="H67" s="137"/>
    </row>
    <row r="68" spans="2:8" x14ac:dyDescent="0.25">
      <c r="B68" s="136" t="s">
        <v>26</v>
      </c>
      <c r="C68" s="114" t="s">
        <v>79</v>
      </c>
      <c r="D68" s="114" t="s">
        <v>38</v>
      </c>
      <c r="E68" s="114" t="s">
        <v>81</v>
      </c>
      <c r="F68" s="114" t="s">
        <v>35</v>
      </c>
      <c r="G68" s="137">
        <v>300</v>
      </c>
      <c r="H68" s="137"/>
    </row>
    <row r="69" spans="2:8" x14ac:dyDescent="0.25">
      <c r="B69" s="136" t="s">
        <v>26</v>
      </c>
      <c r="C69" s="114" t="s">
        <v>79</v>
      </c>
      <c r="D69" s="114" t="s">
        <v>38</v>
      </c>
      <c r="E69" s="114" t="s">
        <v>82</v>
      </c>
      <c r="F69" s="114" t="s">
        <v>35</v>
      </c>
      <c r="G69" s="137">
        <v>300</v>
      </c>
      <c r="H69" s="137"/>
    </row>
    <row r="70" spans="2:8" x14ac:dyDescent="0.25">
      <c r="B70" s="136" t="s">
        <v>90</v>
      </c>
      <c r="C70" s="114" t="s">
        <v>79</v>
      </c>
      <c r="D70" s="114" t="s">
        <v>36</v>
      </c>
      <c r="E70" s="114" t="s">
        <v>95</v>
      </c>
      <c r="F70" s="114" t="s">
        <v>93</v>
      </c>
      <c r="G70" s="137">
        <v>2850</v>
      </c>
      <c r="H70" s="137"/>
    </row>
    <row r="71" spans="2:8" x14ac:dyDescent="0.25">
      <c r="B71" s="136"/>
      <c r="C71" s="114" t="s">
        <v>79</v>
      </c>
      <c r="D71" s="114" t="s">
        <v>33</v>
      </c>
      <c r="E71" s="114" t="s">
        <v>104</v>
      </c>
      <c r="F71" s="114" t="s">
        <v>93</v>
      </c>
      <c r="G71" s="137">
        <v>150</v>
      </c>
      <c r="H71" s="137"/>
    </row>
    <row r="72" spans="2:8" x14ac:dyDescent="0.25">
      <c r="B72" s="136"/>
      <c r="C72" s="114" t="s">
        <v>79</v>
      </c>
      <c r="D72" s="114" t="s">
        <v>33</v>
      </c>
      <c r="E72" s="114" t="s">
        <v>105</v>
      </c>
      <c r="F72" s="114" t="s">
        <v>93</v>
      </c>
      <c r="G72" s="137">
        <v>550</v>
      </c>
      <c r="H72" s="110"/>
    </row>
    <row r="73" spans="2:8" x14ac:dyDescent="0.25">
      <c r="B73" s="155"/>
      <c r="C73" s="113"/>
      <c r="D73" s="113"/>
      <c r="E73" s="113"/>
      <c r="F73" s="114"/>
      <c r="G73" s="137"/>
      <c r="H73" s="137"/>
    </row>
    <row r="74" spans="2:8" x14ac:dyDescent="0.25">
      <c r="B74" s="155"/>
      <c r="C74" s="113"/>
      <c r="D74" s="113"/>
      <c r="E74" s="113"/>
      <c r="F74" s="114"/>
      <c r="G74" s="137"/>
      <c r="H74" s="137"/>
    </row>
    <row r="75" spans="2:8" x14ac:dyDescent="0.25">
      <c r="B75" s="155"/>
      <c r="C75" s="113"/>
      <c r="D75" s="113"/>
      <c r="E75" s="113"/>
      <c r="F75" s="114"/>
      <c r="G75" s="137"/>
      <c r="H75" s="137"/>
    </row>
  </sheetData>
  <phoneticPr fontId="6" type="noConversion"/>
  <pageMargins left="0.7" right="0.7" top="0.75" bottom="0.75" header="0.3" footer="0.3"/>
  <tableParts count="3">
    <tablePart r:id="rId1"/>
    <tablePart r:id="rId2"/>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E08E6-D17E-4407-9EEA-93E58FD206F7}">
  <sheetPr>
    <tabColor theme="7" tint="0.79998168889431442"/>
  </sheetPr>
  <dimension ref="B2:V45"/>
  <sheetViews>
    <sheetView topLeftCell="F1" zoomScale="109" zoomScaleNormal="101" workbookViewId="0">
      <selection activeCell="H23" sqref="H23"/>
    </sheetView>
  </sheetViews>
  <sheetFormatPr defaultColWidth="8.77734375" defaultRowHeight="13.2" x14ac:dyDescent="0.25"/>
  <cols>
    <col min="1" max="1" width="8" style="22" customWidth="1"/>
    <col min="2" max="2" width="24.21875" style="22" hidden="1" customWidth="1"/>
    <col min="3" max="3" width="13.44140625" style="22" customWidth="1"/>
    <col min="4" max="4" width="16.44140625" style="22" customWidth="1"/>
    <col min="5" max="5" width="32.21875" style="22" bestFit="1" customWidth="1"/>
    <col min="6" max="6" width="20" style="22" customWidth="1"/>
    <col min="7" max="7" width="15.6640625" style="105" bestFit="1" customWidth="1"/>
    <col min="8" max="8" width="10" style="105" bestFit="1" customWidth="1"/>
    <col min="9" max="9" width="7.6640625" style="22" customWidth="1"/>
    <col min="10" max="10" width="14" style="22" bestFit="1" customWidth="1"/>
    <col min="11" max="11" width="14.109375" style="22" customWidth="1"/>
    <col min="12" max="12" width="12.21875" style="22" customWidth="1"/>
    <col min="13" max="13" width="12.6640625" style="22" customWidth="1"/>
    <col min="14" max="14" width="18.44140625" style="22" customWidth="1"/>
    <col min="15" max="15" width="15.6640625" style="22" customWidth="1"/>
    <col min="16" max="16" width="21" style="22" customWidth="1"/>
    <col min="17" max="17" width="14" style="22" customWidth="1"/>
    <col min="18" max="18" width="12.5546875" style="22" bestFit="1" customWidth="1"/>
    <col min="19" max="16384" width="8.77734375" style="22"/>
  </cols>
  <sheetData>
    <row r="2" spans="2:20" x14ac:dyDescent="0.25">
      <c r="C2" s="30" t="s">
        <v>421</v>
      </c>
      <c r="N2" s="27">
        <f>SUM(N5:N11)+SUM(O12:O16)</f>
        <v>52850</v>
      </c>
      <c r="O2" s="27">
        <f>N2/12</f>
        <v>4404.166666666667</v>
      </c>
    </row>
    <row r="3" spans="2:20" x14ac:dyDescent="0.25">
      <c r="B3" s="100" t="s">
        <v>8</v>
      </c>
      <c r="C3" s="130"/>
      <c r="D3" s="130"/>
      <c r="E3" s="130"/>
      <c r="F3" s="130"/>
      <c r="G3" s="131"/>
      <c r="H3" s="131"/>
      <c r="J3" s="100" t="s">
        <v>9</v>
      </c>
      <c r="K3" s="100"/>
      <c r="L3" s="100"/>
      <c r="M3" s="100"/>
      <c r="N3" s="100"/>
      <c r="O3" s="100"/>
      <c r="P3" s="35"/>
      <c r="Q3" s="35"/>
    </row>
    <row r="4" spans="2:20" ht="26.55" customHeight="1" x14ac:dyDescent="0.25">
      <c r="B4" s="128" t="s">
        <v>10</v>
      </c>
      <c r="C4" s="115" t="s">
        <v>11</v>
      </c>
      <c r="D4" s="115" t="s">
        <v>12</v>
      </c>
      <c r="E4" s="115" t="s">
        <v>13</v>
      </c>
      <c r="F4" s="115" t="s">
        <v>14</v>
      </c>
      <c r="G4" s="139" t="s">
        <v>15</v>
      </c>
      <c r="H4" s="139" t="s">
        <v>16</v>
      </c>
      <c r="J4" s="77" t="s">
        <v>17</v>
      </c>
      <c r="K4" s="140" t="s">
        <v>18</v>
      </c>
      <c r="L4" s="140" t="s">
        <v>19</v>
      </c>
      <c r="M4" s="65" t="s">
        <v>20</v>
      </c>
      <c r="N4" s="65" t="s">
        <v>21</v>
      </c>
      <c r="O4" s="65" t="s">
        <v>22</v>
      </c>
      <c r="P4" s="65" t="s">
        <v>23</v>
      </c>
      <c r="Q4" s="65" t="s">
        <v>24</v>
      </c>
      <c r="R4" s="78" t="s">
        <v>25</v>
      </c>
    </row>
    <row r="5" spans="2:20" x14ac:dyDescent="0.25">
      <c r="B5" s="122" t="s">
        <v>26</v>
      </c>
      <c r="C5" s="59" t="s">
        <v>27</v>
      </c>
      <c r="D5" s="59" t="s">
        <v>28</v>
      </c>
      <c r="E5" s="59" t="s">
        <v>29</v>
      </c>
      <c r="F5" s="25" t="s">
        <v>30</v>
      </c>
      <c r="G5" s="121">
        <v>100</v>
      </c>
      <c r="H5" s="121"/>
      <c r="J5" s="122" t="s">
        <v>31</v>
      </c>
      <c r="K5" s="119">
        <f>SUMIFS(ItemizedBudget14[Income],ItemizedBudget14[Frequency],"Monthly",ItemizedBudget14[Planned Month],"All")</f>
        <v>18600</v>
      </c>
      <c r="L5" s="119">
        <f>SUMIFS(ItemizedBudget14[Income],ItemizedBudget14[Frequency],"One-Time",ItemizedBudget14[Planned Month],J5)</f>
        <v>0</v>
      </c>
      <c r="M5" s="119">
        <f>SUMIFS(ItemizedBudget14[Expenditures],ItemizedBudget14[Frequency],"Monthly",ItemizedBudget14[Planned Month],"All")</f>
        <v>10655.793333333333</v>
      </c>
      <c r="N5" s="119">
        <f>SUMIFS(ItemizedBudget14[Expenditures],ItemizedBudget14[Spending Category],"Mortgage")</f>
        <v>7550</v>
      </c>
      <c r="O5" s="119">
        <f>SUMIFS(ItemizedBudget14[Expenditures],ItemizedBudget14[Spending Category],"Rent - Outgoing",ItemizedBudget14[Planned Month],J5)</f>
        <v>0</v>
      </c>
      <c r="P5" s="119">
        <f>M5-(N5+O5)</f>
        <v>3105.7933333333331</v>
      </c>
      <c r="Q5" s="119">
        <f>SUMIFS(ItemizedBudget14[Expenditures],ItemizedBudget14[Frequency],"One-Time",ItemizedBudget14[Planned Month],J5)</f>
        <v>1500</v>
      </c>
      <c r="R5" s="123">
        <f>(K5+L5)-(M5+Q5+O5)</f>
        <v>6444.2066666666669</v>
      </c>
    </row>
    <row r="6" spans="2:20" x14ac:dyDescent="0.25">
      <c r="B6" s="122" t="s">
        <v>26</v>
      </c>
      <c r="C6" s="59" t="s">
        <v>27</v>
      </c>
      <c r="D6" s="59" t="s">
        <v>28</v>
      </c>
      <c r="E6" s="59" t="s">
        <v>32</v>
      </c>
      <c r="F6" s="25" t="s">
        <v>30</v>
      </c>
      <c r="G6" s="121">
        <v>10</v>
      </c>
      <c r="H6" s="121"/>
      <c r="I6" s="27"/>
      <c r="J6" s="122" t="s">
        <v>33</v>
      </c>
      <c r="K6" s="119">
        <f>SUMIFS(ItemizedBudget14[Income],ItemizedBudget14[Frequency],"Monthly",ItemizedBudget14[Planned Month],"All")</f>
        <v>18600</v>
      </c>
      <c r="L6" s="119">
        <f>SUMIFS(ItemizedBudget14[Income],ItemizedBudget14[Frequency],"One-Time",ItemizedBudget14[Planned Month],J6)</f>
        <v>0</v>
      </c>
      <c r="M6" s="119">
        <f>SUMIFS(ItemizedBudget14[Expenditures],ItemizedBudget14[Frequency],"Monthly",ItemizedBudget14[Planned Month],"All")</f>
        <v>10655.793333333333</v>
      </c>
      <c r="N6" s="119">
        <f>SUMIFS(ItemizedBudget14[Expenditures],ItemizedBudget14[Spending Category],"Mortgage")</f>
        <v>7550</v>
      </c>
      <c r="O6" s="119">
        <f>SUMIFS(ItemizedBudget14[Expenditures],ItemizedBudget14[Spending Category],"Rent - Outgoing",ItemizedBudget14[Planned Month],J6)</f>
        <v>0</v>
      </c>
      <c r="P6" s="119">
        <f t="shared" ref="P6:P16" si="0">M6-(N6+O6)</f>
        <v>3105.7933333333331</v>
      </c>
      <c r="Q6" s="119">
        <f>SUMIFS(ItemizedBudget14[Expenditures],ItemizedBudget14[Frequency],"One-Time",ItemizedBudget14[Planned Month],J6)</f>
        <v>0</v>
      </c>
      <c r="R6" s="123">
        <f t="shared" ref="R6:R16" si="1">(K6+L6)-(M6+Q6+O6)</f>
        <v>7944.2066666666669</v>
      </c>
      <c r="T6" s="22">
        <f>SUMIFS(ItemizedBudget14[Expenditures],ItemizedBudget14[Item],"Rent: Outgoing",ItemizedBudget14[Item],"Mortgage 50 Morrison",ItemizedBudget14[Planned Month],J5)</f>
        <v>0</v>
      </c>
    </row>
    <row r="7" spans="2:20" x14ac:dyDescent="0.25">
      <c r="B7" s="122" t="s">
        <v>26</v>
      </c>
      <c r="C7" s="59" t="s">
        <v>27</v>
      </c>
      <c r="D7" s="59" t="s">
        <v>28</v>
      </c>
      <c r="E7" s="59" t="s">
        <v>34</v>
      </c>
      <c r="F7" s="25" t="s">
        <v>35</v>
      </c>
      <c r="G7" s="121">
        <v>100</v>
      </c>
      <c r="H7" s="121"/>
      <c r="J7" s="127" t="s">
        <v>36</v>
      </c>
      <c r="K7" s="119">
        <f>SUMIFS(ItemizedBudget14[Income],ItemizedBudget14[Frequency],"Monthly",ItemizedBudget14[Planned Month],"All")</f>
        <v>18600</v>
      </c>
      <c r="L7" s="119">
        <f>SUMIFS(ItemizedBudget14[Income],ItemizedBudget14[Frequency],"One-Time",ItemizedBudget14[Planned Month],J7)</f>
        <v>0</v>
      </c>
      <c r="M7" s="119">
        <f>SUMIFS(ItemizedBudget14[Expenditures],ItemizedBudget14[Frequency],"Monthly",ItemizedBudget14[Planned Month],"All")</f>
        <v>10655.793333333333</v>
      </c>
      <c r="N7" s="119">
        <f>SUMIFS(ItemizedBudget14[Expenditures],ItemizedBudget14[Spending Category],"Mortgage")</f>
        <v>7550</v>
      </c>
      <c r="O7" s="119">
        <f>SUMIFS(ItemizedBudget14[Expenditures],ItemizedBudget14[Spending Category],"Rent - Outgoing",ItemizedBudget14[Planned Month],J7)</f>
        <v>0</v>
      </c>
      <c r="P7" s="119">
        <f t="shared" si="0"/>
        <v>3105.7933333333331</v>
      </c>
      <c r="Q7" s="119">
        <f>SUMIFS(ItemizedBudget14[Expenditures],ItemizedBudget14[Frequency],"One-Time",ItemizedBudget14[Planned Month],J7)</f>
        <v>1548</v>
      </c>
      <c r="R7" s="123">
        <f t="shared" si="1"/>
        <v>6396.2066666666669</v>
      </c>
    </row>
    <row r="8" spans="2:20" x14ac:dyDescent="0.25">
      <c r="B8" s="122" t="s">
        <v>26</v>
      </c>
      <c r="C8" s="59" t="s">
        <v>27</v>
      </c>
      <c r="D8" s="59" t="s">
        <v>28</v>
      </c>
      <c r="E8" s="59" t="s">
        <v>37</v>
      </c>
      <c r="F8" s="25" t="s">
        <v>35</v>
      </c>
      <c r="G8" s="121">
        <v>25</v>
      </c>
      <c r="H8" s="121"/>
      <c r="I8" s="27"/>
      <c r="J8" s="127" t="s">
        <v>38</v>
      </c>
      <c r="K8" s="119">
        <f>SUMIFS(ItemizedBudget14[Income],ItemizedBudget14[Frequency],"Monthly",ItemizedBudget14[Planned Month],"All")</f>
        <v>18600</v>
      </c>
      <c r="L8" s="119">
        <f>SUMIFS(ItemizedBudget14[Income],ItemizedBudget14[Frequency],"One-Time",ItemizedBudget14[Planned Month],J8)</f>
        <v>5000</v>
      </c>
      <c r="M8" s="119">
        <f>SUMIFS(ItemizedBudget14[Expenditures],ItemizedBudget14[Frequency],"Monthly",ItemizedBudget14[Planned Month],"All")</f>
        <v>10655.793333333333</v>
      </c>
      <c r="N8" s="119">
        <f>SUMIFS(ItemizedBudget14[Expenditures],ItemizedBudget14[Spending Category],"Mortgage")</f>
        <v>7550</v>
      </c>
      <c r="O8" s="119">
        <f>SUMIFS(ItemizedBudget14[Expenditures],ItemizedBudget14[Spending Category],"Rent - Outgoing",ItemizedBudget14[Planned Month],J8)</f>
        <v>0</v>
      </c>
      <c r="P8" s="119">
        <f t="shared" si="0"/>
        <v>3105.7933333333331</v>
      </c>
      <c r="Q8" s="119">
        <f>SUMIFS(ItemizedBudget14[Expenditures],ItemizedBudget14[Frequency],"One-Time",ItemizedBudget14[Planned Month],J8)</f>
        <v>3900</v>
      </c>
      <c r="R8" s="123">
        <f t="shared" si="1"/>
        <v>9044.2066666666669</v>
      </c>
    </row>
    <row r="9" spans="2:20" x14ac:dyDescent="0.25">
      <c r="B9" s="122" t="s">
        <v>26</v>
      </c>
      <c r="C9" s="59" t="s">
        <v>27</v>
      </c>
      <c r="D9" s="59" t="s">
        <v>28</v>
      </c>
      <c r="E9" s="59" t="s">
        <v>39</v>
      </c>
      <c r="F9" s="59" t="s">
        <v>408</v>
      </c>
      <c r="G9" s="121">
        <v>194.71</v>
      </c>
      <c r="H9" s="121"/>
      <c r="J9" s="127" t="s">
        <v>40</v>
      </c>
      <c r="K9" s="119">
        <f>SUMIFS(ItemizedBudget14[Income],ItemizedBudget14[Frequency],"Monthly",ItemizedBudget14[Planned Month],"All")</f>
        <v>18600</v>
      </c>
      <c r="L9" s="119">
        <f>SUMIFS(ItemizedBudget14[Income],ItemizedBudget14[Frequency],"One-Time",ItemizedBudget14[Planned Month],J9)</f>
        <v>0</v>
      </c>
      <c r="M9" s="119">
        <f>SUMIFS(ItemizedBudget14[Expenditures],ItemizedBudget14[Frequency],"Monthly",ItemizedBudget14[Planned Month],"All")</f>
        <v>10655.793333333333</v>
      </c>
      <c r="N9" s="119">
        <f>SUMIFS(ItemizedBudget14[Expenditures],ItemizedBudget14[Spending Category],"Mortgage")</f>
        <v>7550</v>
      </c>
      <c r="O9" s="119">
        <f>SUMIFS(ItemizedBudget14[Expenditures],ItemizedBudget14[Spending Category],"Rent - Outgoing",ItemizedBudget14[Planned Month],J9)</f>
        <v>0</v>
      </c>
      <c r="P9" s="119">
        <f t="shared" si="0"/>
        <v>3105.7933333333331</v>
      </c>
      <c r="Q9" s="119">
        <f>SUMIFS(ItemizedBudget14[Expenditures],ItemizedBudget14[Frequency],"One-Time",ItemizedBudget14[Planned Month],J9)</f>
        <v>0</v>
      </c>
      <c r="R9" s="123">
        <f t="shared" si="1"/>
        <v>7944.2066666666669</v>
      </c>
    </row>
    <row r="10" spans="2:20" x14ac:dyDescent="0.25">
      <c r="B10" s="122" t="s">
        <v>26</v>
      </c>
      <c r="C10" s="59" t="s">
        <v>27</v>
      </c>
      <c r="D10" s="59" t="s">
        <v>28</v>
      </c>
      <c r="E10" s="59" t="s">
        <v>41</v>
      </c>
      <c r="F10" s="59" t="s">
        <v>41</v>
      </c>
      <c r="G10" s="121">
        <v>175</v>
      </c>
      <c r="H10" s="121"/>
      <c r="J10" s="127" t="s">
        <v>42</v>
      </c>
      <c r="K10" s="119">
        <f>SUMIFS(ItemizedBudget14[Income],ItemizedBudget14[Frequency],"Monthly",ItemizedBudget14[Planned Month],"All")</f>
        <v>18600</v>
      </c>
      <c r="L10" s="119">
        <f>SUMIFS(ItemizedBudget14[Income],ItemizedBudget14[Frequency],"One-Time",ItemizedBudget14[Planned Month],J10)</f>
        <v>0</v>
      </c>
      <c r="M10" s="119">
        <f>SUMIFS(ItemizedBudget14[Expenditures],ItemizedBudget14[Frequency],"Monthly",ItemizedBudget14[Planned Month],"All")</f>
        <v>10655.793333333333</v>
      </c>
      <c r="N10" s="119">
        <f>SUMIFS(ItemizedBudget14[Expenditures],ItemizedBudget14[Spending Category],"Mortgage")</f>
        <v>7550</v>
      </c>
      <c r="O10" s="119">
        <f>SUMIFS(ItemizedBudget14[Expenditures],ItemizedBudget14[Spending Category],"Rent - Outgoing",ItemizedBudget14[Planned Month],J10)</f>
        <v>0</v>
      </c>
      <c r="P10" s="119">
        <f>M10-(N10+O10)</f>
        <v>3105.7933333333331</v>
      </c>
      <c r="Q10" s="119">
        <f>SUMIFS(ItemizedBudget14[Expenditures],ItemizedBudget14[Frequency],"One-Time",ItemizedBudget14[Planned Month],J10)</f>
        <v>1500</v>
      </c>
      <c r="R10" s="123">
        <f t="shared" si="1"/>
        <v>6444.2066666666669</v>
      </c>
    </row>
    <row r="11" spans="2:20" x14ac:dyDescent="0.25">
      <c r="B11" s="122" t="s">
        <v>26</v>
      </c>
      <c r="C11" s="59" t="s">
        <v>27</v>
      </c>
      <c r="D11" s="59" t="s">
        <v>28</v>
      </c>
      <c r="E11" s="59" t="s">
        <v>43</v>
      </c>
      <c r="F11" s="25" t="s">
        <v>43</v>
      </c>
      <c r="G11" s="121">
        <v>600</v>
      </c>
      <c r="H11" s="121"/>
      <c r="J11" s="127" t="s">
        <v>44</v>
      </c>
      <c r="K11" s="119">
        <f>SUMIFS(ItemizedBudget14[Income],ItemizedBudget14[Frequency],"Monthly",ItemizedBudget14[Planned Month],"All")</f>
        <v>18600</v>
      </c>
      <c r="L11" s="119">
        <f>SUMIFS(ItemizedBudget14[Income],ItemizedBudget14[Frequency],"One-Time",ItemizedBudget14[Planned Month],J11)</f>
        <v>0</v>
      </c>
      <c r="M11" s="119">
        <f>SUMIFS(ItemizedBudget14[Expenditures],ItemizedBudget14[Frequency],"Monthly",ItemizedBudget14[Planned Month],"All")</f>
        <v>10655.793333333333</v>
      </c>
      <c r="N11" s="119">
        <f>SUMIFS(ItemizedBudget14[Expenditures],ItemizedBudget14[Spending Category],"Mortgage")</f>
        <v>7550</v>
      </c>
      <c r="O11" s="119">
        <f>SUMIFS(ItemizedBudget14[Expenditures],ItemizedBudget14[Spending Category],"Rent - Outgoing",ItemizedBudget14[Planned Month],J11)</f>
        <v>0</v>
      </c>
      <c r="P11" s="119">
        <f>M11-(N11+O11)</f>
        <v>3105.7933333333331</v>
      </c>
      <c r="Q11" s="119">
        <f>SUMIFS(ItemizedBudget14[Expenditures],ItemizedBudget14[Frequency],"One-Time",ItemizedBudget14[Planned Month],J11)</f>
        <v>0</v>
      </c>
      <c r="R11" s="123">
        <f t="shared" si="1"/>
        <v>7944.2066666666669</v>
      </c>
    </row>
    <row r="12" spans="2:20" x14ac:dyDescent="0.25">
      <c r="B12" s="122" t="s">
        <v>26</v>
      </c>
      <c r="C12" s="59" t="s">
        <v>27</v>
      </c>
      <c r="D12" s="59" t="s">
        <v>28</v>
      </c>
      <c r="E12" s="146" t="s">
        <v>45</v>
      </c>
      <c r="F12" s="59" t="s">
        <v>46</v>
      </c>
      <c r="G12" s="121">
        <v>30</v>
      </c>
      <c r="H12" s="121"/>
      <c r="J12" s="127" t="s">
        <v>47</v>
      </c>
      <c r="K12" s="119">
        <f>SUMIFS(ItemizedBudget14[Income],ItemizedBudget14[Frequency],"Monthly",ItemizedBudget14[Planned Month],"All")</f>
        <v>18600</v>
      </c>
      <c r="L12" s="119">
        <f>SUMIFS(ItemizedBudget14[Income],ItemizedBudget14[Frequency],"One-Time",ItemizedBudget14[Planned Month],J12)</f>
        <v>0</v>
      </c>
      <c r="M12" s="119">
        <f>SUMIFS(ItemizedBudget14[Expenditures],ItemizedBudget14[Frequency],"Monthly",ItemizedBudget14[Planned Month],"All")</f>
        <v>10655.793333333333</v>
      </c>
      <c r="N12" s="119">
        <f>SUMIFS(ItemizedBudget14[Expenditures],ItemizedBudget14[Spending Category],"Mortgage")</f>
        <v>7550</v>
      </c>
      <c r="O12" s="119">
        <f>SUMIFS(ItemizedBudget14[Expenditures],ItemizedBudget14[Spending Category],"Rent - Outgoing",ItemizedBudget14[Planned Month],J12)</f>
        <v>0</v>
      </c>
      <c r="P12" s="119">
        <f t="shared" si="0"/>
        <v>3105.7933333333331</v>
      </c>
      <c r="Q12" s="119">
        <f>SUMIFS(ItemizedBudget14[Expenditures],ItemizedBudget14[Frequency],"One-Time",ItemizedBudget14[Planned Month],J12)</f>
        <v>1750</v>
      </c>
      <c r="R12" s="123">
        <f>(K12+L12)-(M12+Q12+O12)</f>
        <v>6194.2066666666669</v>
      </c>
    </row>
    <row r="13" spans="2:20" x14ac:dyDescent="0.25">
      <c r="B13" s="122" t="s">
        <v>26</v>
      </c>
      <c r="C13" s="59" t="s">
        <v>27</v>
      </c>
      <c r="D13" s="59" t="s">
        <v>28</v>
      </c>
      <c r="E13" s="59" t="s">
        <v>48</v>
      </c>
      <c r="F13" s="25" t="s">
        <v>46</v>
      </c>
      <c r="G13" s="121">
        <f>275/6</f>
        <v>45.833333333333336</v>
      </c>
      <c r="H13" s="121"/>
      <c r="J13" s="127" t="s">
        <v>49</v>
      </c>
      <c r="K13" s="119">
        <f>SUMIFS(ItemizedBudget14[Income],ItemizedBudget14[Frequency],"Monthly",ItemizedBudget14[Planned Month],"All")</f>
        <v>18600</v>
      </c>
      <c r="L13" s="119">
        <f>SUMIFS(ItemizedBudget14[Income],ItemizedBudget14[Frequency],"One-Time",ItemizedBudget14[Planned Month],J13)</f>
        <v>0</v>
      </c>
      <c r="M13" s="119">
        <f>SUMIFS(ItemizedBudget14[Expenditures],ItemizedBudget14[Frequency],"Monthly",ItemizedBudget14[Planned Month],"All")</f>
        <v>10655.793333333333</v>
      </c>
      <c r="N13" s="119">
        <f>SUMIFS(ItemizedBudget14[Expenditures],ItemizedBudget14[Spending Category],"Mortgage")</f>
        <v>7550</v>
      </c>
      <c r="O13" s="119">
        <f>SUMIFS(ItemizedBudget14[Expenditures],ItemizedBudget14[Spending Category],"Rent - Outgoing",ItemizedBudget14[Planned Month],J13)</f>
        <v>0</v>
      </c>
      <c r="P13" s="119">
        <f t="shared" si="0"/>
        <v>3105.7933333333331</v>
      </c>
      <c r="Q13" s="119">
        <f>SUMIFS(ItemizedBudget14[Expenditures],ItemizedBudget14[Frequency],"One-Time",ItemizedBudget14[Planned Month],J13)</f>
        <v>0</v>
      </c>
      <c r="R13" s="123">
        <f t="shared" si="1"/>
        <v>7944.2066666666669</v>
      </c>
    </row>
    <row r="14" spans="2:20" x14ac:dyDescent="0.25">
      <c r="B14" s="122" t="s">
        <v>26</v>
      </c>
      <c r="C14" s="59" t="s">
        <v>27</v>
      </c>
      <c r="D14" s="59" t="s">
        <v>28</v>
      </c>
      <c r="E14" s="59" t="s">
        <v>50</v>
      </c>
      <c r="F14" s="25" t="s">
        <v>46</v>
      </c>
      <c r="G14" s="121">
        <v>30</v>
      </c>
      <c r="H14" s="121"/>
      <c r="J14" s="127" t="s">
        <v>51</v>
      </c>
      <c r="K14" s="119">
        <f>SUMIFS(ItemizedBudget14[Income],ItemizedBudget14[Frequency],"Monthly",ItemizedBudget14[Planned Month],"All")</f>
        <v>18600</v>
      </c>
      <c r="L14" s="119">
        <f>SUMIFS(ItemizedBudget14[Income],ItemizedBudget14[Frequency],"One-Time",ItemizedBudget14[Planned Month],J14)</f>
        <v>0</v>
      </c>
      <c r="M14" s="119">
        <f>SUMIFS(ItemizedBudget14[Expenditures],ItemizedBudget14[Frequency],"Monthly",ItemizedBudget14[Planned Month],"All")</f>
        <v>10655.793333333333</v>
      </c>
      <c r="N14" s="119">
        <f>SUMIFS(ItemizedBudget14[Expenditures],ItemizedBudget14[Spending Category],"Mortgage")</f>
        <v>7550</v>
      </c>
      <c r="O14" s="119">
        <f>SUMIFS(ItemizedBudget14[Expenditures],ItemizedBudget14[Spending Category],"Rent - Outgoing",ItemizedBudget14[Planned Month],J14)</f>
        <v>0</v>
      </c>
      <c r="P14" s="119">
        <f t="shared" si="0"/>
        <v>3105.7933333333331</v>
      </c>
      <c r="Q14" s="119">
        <f>SUMIFS(ItemizedBudget14[Expenditures],ItemizedBudget14[Frequency],"One-Time",ItemizedBudget14[Planned Month],J14)</f>
        <v>0</v>
      </c>
      <c r="R14" s="123">
        <f>(K14+L14)-(M14+Q14+O14)</f>
        <v>7944.2066666666669</v>
      </c>
    </row>
    <row r="15" spans="2:20" x14ac:dyDescent="0.25">
      <c r="B15" s="122" t="s">
        <v>26</v>
      </c>
      <c r="C15" s="59" t="s">
        <v>27</v>
      </c>
      <c r="D15" s="59" t="s">
        <v>28</v>
      </c>
      <c r="E15" s="59" t="s">
        <v>52</v>
      </c>
      <c r="F15" s="25" t="s">
        <v>46</v>
      </c>
      <c r="G15" s="121">
        <v>30</v>
      </c>
      <c r="H15" s="121"/>
      <c r="J15" s="127" t="s">
        <v>53</v>
      </c>
      <c r="K15" s="119">
        <f>SUMIFS(ItemizedBudget14[Income],ItemizedBudget14[Frequency],"Monthly",ItemizedBudget14[Planned Month],"All")</f>
        <v>18600</v>
      </c>
      <c r="L15" s="119">
        <f>SUMIFS(ItemizedBudget14[Income],ItemizedBudget14[Frequency],"One-Time",ItemizedBudget14[Planned Month],J15)</f>
        <v>0</v>
      </c>
      <c r="M15" s="119">
        <f>SUMIFS(ItemizedBudget14[Expenditures],ItemizedBudget14[Frequency],"Monthly",ItemizedBudget14[Planned Month],"All")</f>
        <v>10655.793333333333</v>
      </c>
      <c r="N15" s="119">
        <f>SUMIFS(ItemizedBudget14[Expenditures],ItemizedBudget14[Spending Category],"Mortgage")</f>
        <v>7550</v>
      </c>
      <c r="O15" s="119">
        <f>SUMIFS(ItemizedBudget14[Expenditures],ItemizedBudget14[Spending Category],"Rent - Outgoing",ItemizedBudget14[Planned Month],J15)</f>
        <v>0</v>
      </c>
      <c r="P15" s="119">
        <f t="shared" si="0"/>
        <v>3105.7933333333331</v>
      </c>
      <c r="Q15" s="119">
        <f>SUMIFS(ItemizedBudget14[Expenditures],ItemizedBudget14[Frequency],"One-Time",ItemizedBudget14[Planned Month],J15)</f>
        <v>750</v>
      </c>
      <c r="R15" s="123">
        <f t="shared" si="1"/>
        <v>7194.2066666666669</v>
      </c>
    </row>
    <row r="16" spans="2:20" ht="13.8" thickBot="1" x14ac:dyDescent="0.3">
      <c r="B16" s="122" t="s">
        <v>26</v>
      </c>
      <c r="C16" s="59" t="s">
        <v>27</v>
      </c>
      <c r="D16" s="59" t="s">
        <v>28</v>
      </c>
      <c r="E16" s="59" t="s">
        <v>54</v>
      </c>
      <c r="F16" s="25" t="s">
        <v>46</v>
      </c>
      <c r="G16" s="121">
        <v>25</v>
      </c>
      <c r="H16" s="121"/>
      <c r="J16" s="142" t="s">
        <v>55</v>
      </c>
      <c r="K16" s="132">
        <f>SUMIFS(ItemizedBudget14[Income],ItemizedBudget14[Frequency],"Monthly",ItemizedBudget14[Planned Month],"All")</f>
        <v>18600</v>
      </c>
      <c r="L16" s="132">
        <f>SUMIFS(ItemizedBudget14[Income],ItemizedBudget14[Frequency],"One-Time",ItemizedBudget14[Planned Month],J16)</f>
        <v>0</v>
      </c>
      <c r="M16" s="132">
        <f>SUMIFS(ItemizedBudget14[Expenditures],ItemizedBudget14[Frequency],"Monthly",ItemizedBudget14[Planned Month],"All")</f>
        <v>10655.793333333333</v>
      </c>
      <c r="N16" s="132">
        <f>SUMIFS(ItemizedBudget14[Expenditures],ItemizedBudget14[Spending Category],"Mortgage")</f>
        <v>7550</v>
      </c>
      <c r="O16" s="132">
        <f>SUMIFS(ItemizedBudget14[Expenditures],ItemizedBudget14[Spending Category],"Rent - Outgoing",ItemizedBudget14[Planned Month],J16)</f>
        <v>0</v>
      </c>
      <c r="P16" s="132">
        <f t="shared" si="0"/>
        <v>3105.7933333333331</v>
      </c>
      <c r="Q16" s="132">
        <f>SUMIFS(ItemizedBudget14[Expenditures],ItemizedBudget14[Frequency],"One-Time",ItemizedBudget14[Planned Month],J16)</f>
        <v>550</v>
      </c>
      <c r="R16" s="123">
        <f t="shared" si="1"/>
        <v>7394.2066666666669</v>
      </c>
    </row>
    <row r="17" spans="2:18" x14ac:dyDescent="0.25">
      <c r="B17" s="122" t="s">
        <v>26</v>
      </c>
      <c r="C17" s="59" t="s">
        <v>27</v>
      </c>
      <c r="D17" s="59" t="s">
        <v>28</v>
      </c>
      <c r="E17" s="59" t="s">
        <v>56</v>
      </c>
      <c r="F17" s="25" t="s">
        <v>46</v>
      </c>
      <c r="G17" s="121">
        <v>150</v>
      </c>
      <c r="H17" s="121"/>
      <c r="J17" s="116" t="s">
        <v>57</v>
      </c>
      <c r="K17" s="147">
        <f t="shared" ref="K17:R17" si="2">SUM(K5:K16)</f>
        <v>223200</v>
      </c>
      <c r="L17" s="147">
        <f t="shared" si="2"/>
        <v>5000</v>
      </c>
      <c r="M17" s="147">
        <f t="shared" si="2"/>
        <v>127869.52</v>
      </c>
      <c r="N17" s="147">
        <f t="shared" si="2"/>
        <v>90600</v>
      </c>
      <c r="O17" s="147">
        <f t="shared" si="2"/>
        <v>0</v>
      </c>
      <c r="P17" s="147">
        <f t="shared" si="2"/>
        <v>37269.520000000004</v>
      </c>
      <c r="Q17" s="147">
        <f t="shared" si="2"/>
        <v>11498</v>
      </c>
      <c r="R17" s="147">
        <f t="shared" si="2"/>
        <v>88832.48</v>
      </c>
    </row>
    <row r="18" spans="2:18" x14ac:dyDescent="0.25">
      <c r="B18" s="122" t="s">
        <v>26</v>
      </c>
      <c r="C18" s="59" t="s">
        <v>27</v>
      </c>
      <c r="D18" s="59" t="s">
        <v>28</v>
      </c>
      <c r="E18" s="25" t="s">
        <v>58</v>
      </c>
      <c r="F18" s="25" t="s">
        <v>46</v>
      </c>
      <c r="G18" s="121">
        <f>40/1.5</f>
        <v>26.666666666666668</v>
      </c>
      <c r="H18" s="121"/>
      <c r="M18" s="100"/>
      <c r="N18" s="100"/>
      <c r="O18" s="100"/>
      <c r="P18" s="35"/>
      <c r="Q18" s="35"/>
    </row>
    <row r="19" spans="2:18" ht="26.4" x14ac:dyDescent="0.25">
      <c r="B19" s="122" t="s">
        <v>26</v>
      </c>
      <c r="C19" s="59" t="s">
        <v>27</v>
      </c>
      <c r="D19" s="59" t="s">
        <v>28</v>
      </c>
      <c r="E19" s="59" t="s">
        <v>59</v>
      </c>
      <c r="F19" s="25" t="s">
        <v>60</v>
      </c>
      <c r="G19" s="121">
        <v>39</v>
      </c>
      <c r="H19" s="121"/>
      <c r="J19" s="103" t="s">
        <v>11</v>
      </c>
      <c r="K19" s="65" t="s">
        <v>6</v>
      </c>
      <c r="L19" s="65" t="s">
        <v>15</v>
      </c>
      <c r="M19" s="65" t="s">
        <v>16</v>
      </c>
      <c r="N19" s="141" t="s">
        <v>61</v>
      </c>
      <c r="O19" s="117" t="s">
        <v>62</v>
      </c>
      <c r="P19" s="73"/>
      <c r="Q19" s="73"/>
    </row>
    <row r="20" spans="2:18" x14ac:dyDescent="0.25">
      <c r="B20" s="122" t="s">
        <v>26</v>
      </c>
      <c r="C20" s="59" t="s">
        <v>27</v>
      </c>
      <c r="D20" s="59" t="s">
        <v>28</v>
      </c>
      <c r="E20" s="25" t="s">
        <v>63</v>
      </c>
      <c r="F20" s="25" t="s">
        <v>64</v>
      </c>
      <c r="G20" s="121">
        <v>333</v>
      </c>
      <c r="H20" s="121"/>
      <c r="J20" s="127" t="str">
        <f>INDEX(ItemizedBudget14[],MATCH(K20,ItemizedBudget14[Spending Category],0),2)</f>
        <v>Monthly</v>
      </c>
      <c r="K20" s="59" t="str" cm="1">
        <f t="array" ref="K20">INDEX(ItemizedBudget14[Spending Category], MATCH(0, COUNTIF($K$19:K19,ItemizedBudget14[Spending Category]), 0))</f>
        <v>Automotive</v>
      </c>
      <c r="L20" s="119">
        <f>SUMIFS(ItemizedBudget14[Expenditures],ItemizedBudget14[Spending Category],K20)</f>
        <v>360</v>
      </c>
      <c r="M20" s="119">
        <f>SUMIFS(ItemizedBudget14[Income],ItemizedBudget14[Spending Category],K20)</f>
        <v>0</v>
      </c>
      <c r="N20" s="110">
        <f>IF(J20="Monthly",12*L20,L20)</f>
        <v>4320</v>
      </c>
      <c r="O20" s="121">
        <f>IF(J20="Monthly",12*M20,M20)</f>
        <v>0</v>
      </c>
      <c r="P20" s="66"/>
      <c r="Q20" s="66"/>
    </row>
    <row r="21" spans="2:18" x14ac:dyDescent="0.25">
      <c r="B21" s="122" t="s">
        <v>26</v>
      </c>
      <c r="C21" s="59" t="s">
        <v>27</v>
      </c>
      <c r="D21" s="59" t="s">
        <v>28</v>
      </c>
      <c r="E21" s="59" t="s">
        <v>65</v>
      </c>
      <c r="F21" s="59" t="s">
        <v>66</v>
      </c>
      <c r="G21" s="121">
        <v>0</v>
      </c>
      <c r="H21" s="133">
        <v>6400</v>
      </c>
      <c r="J21" s="127" t="str">
        <f>INDEX(ItemizedBudget14[],MATCH(K21,ItemizedBudget14[Spending Category],0),2)</f>
        <v>Monthly</v>
      </c>
      <c r="K21" s="59" t="str" cm="1">
        <f t="array" ref="K21">INDEX(ItemizedBudget14[Spending Category], MATCH(0, COUNTIF($K$19:K20,ItemizedBudget14[Spending Category]), 0))</f>
        <v>Cat</v>
      </c>
      <c r="L21" s="119">
        <f>SUMIFS(ItemizedBudget14[Expenditures],ItemizedBudget14[Spending Category],K21)</f>
        <v>1073</v>
      </c>
      <c r="M21" s="119">
        <f>SUMIFS(ItemizedBudget14[Income],ItemizedBudget14[Spending Category],K21)</f>
        <v>0</v>
      </c>
      <c r="N21" s="110">
        <f t="shared" ref="N21:N26" si="3">IF(J21="Monthly",12*L21,L21)</f>
        <v>12876</v>
      </c>
      <c r="O21" s="121">
        <f t="shared" ref="O21:O39" si="4">IF(J21="Monthly",12*M21,M21)</f>
        <v>0</v>
      </c>
      <c r="P21" s="66"/>
      <c r="Q21" s="66"/>
    </row>
    <row r="22" spans="2:18" x14ac:dyDescent="0.25">
      <c r="B22" s="122" t="s">
        <v>26</v>
      </c>
      <c r="C22" s="59" t="s">
        <v>27</v>
      </c>
      <c r="D22" s="59" t="s">
        <v>28</v>
      </c>
      <c r="E22" s="25" t="s">
        <v>67</v>
      </c>
      <c r="F22" s="25" t="s">
        <v>66</v>
      </c>
      <c r="G22" s="121">
        <v>0</v>
      </c>
      <c r="H22" s="121">
        <v>7800</v>
      </c>
      <c r="J22" s="127" t="str">
        <f>INDEX(ItemizedBudget14[],MATCH(K22,ItemizedBudget14[Spending Category],0),2)</f>
        <v>Monthly</v>
      </c>
      <c r="K22" s="59" t="str" cm="1">
        <f t="array" ref="K22">INDEX(ItemizedBudget14[Spending Category], MATCH(0, COUNTIF($K$19:K21,ItemizedBudget14[Spending Category]), 0))</f>
        <v>Insurance</v>
      </c>
      <c r="L22" s="119">
        <f>SUMIFS(ItemizedBudget14[Expenditures],ItemizedBudget14[Spending Category],K22)</f>
        <v>194.71</v>
      </c>
      <c r="M22" s="119">
        <f>SUMIFS(ItemizedBudget14[Income],ItemizedBudget14[Spending Category],K22)</f>
        <v>0</v>
      </c>
      <c r="N22" s="110">
        <f t="shared" si="3"/>
        <v>2336.52</v>
      </c>
      <c r="O22" s="121">
        <f t="shared" si="4"/>
        <v>0</v>
      </c>
      <c r="P22" s="66"/>
      <c r="Q22" s="66"/>
    </row>
    <row r="23" spans="2:18" x14ac:dyDescent="0.25">
      <c r="B23" s="122" t="s">
        <v>26</v>
      </c>
      <c r="C23" s="59" t="s">
        <v>27</v>
      </c>
      <c r="D23" s="59" t="s">
        <v>28</v>
      </c>
      <c r="E23" s="59" t="s">
        <v>64</v>
      </c>
      <c r="F23" s="25" t="s">
        <v>64</v>
      </c>
      <c r="G23" s="121">
        <v>350</v>
      </c>
      <c r="H23" s="121"/>
      <c r="J23" s="127" t="str">
        <f>INDEX(ItemizedBudget14[],MATCH(K23,ItemizedBudget14[Spending Category],0),2)</f>
        <v>Monthly</v>
      </c>
      <c r="K23" s="59" t="str" cm="1">
        <f t="array" ref="K23">INDEX(ItemizedBudget14[Spending Category], MATCH(0, COUNTIF($K$19:K22,ItemizedBudget14[Spending Category]), 0))</f>
        <v>Gas</v>
      </c>
      <c r="L23" s="119">
        <f>SUMIFS(ItemizedBudget14[Expenditures],ItemizedBudget14[Spending Category],K23)</f>
        <v>175</v>
      </c>
      <c r="M23" s="119">
        <f>SUMIFS(ItemizedBudget14[Income],ItemizedBudget14[Spending Category],K23)</f>
        <v>0</v>
      </c>
      <c r="N23" s="110">
        <f t="shared" si="3"/>
        <v>2100</v>
      </c>
      <c r="O23" s="121">
        <f t="shared" si="4"/>
        <v>0</v>
      </c>
      <c r="P23" s="66"/>
      <c r="Q23" s="66"/>
    </row>
    <row r="24" spans="2:18" x14ac:dyDescent="0.25">
      <c r="B24" s="122" t="s">
        <v>26</v>
      </c>
      <c r="C24" s="59" t="s">
        <v>27</v>
      </c>
      <c r="D24" s="59" t="s">
        <v>28</v>
      </c>
      <c r="E24" s="59" t="s">
        <v>68</v>
      </c>
      <c r="F24" s="59" t="s">
        <v>69</v>
      </c>
      <c r="G24" s="133">
        <v>4450</v>
      </c>
      <c r="H24" s="133"/>
      <c r="J24" s="127" t="str">
        <f>INDEX(ItemizedBudget14[],MATCH(K24,ItemizedBudget14[Spending Category],0),2)</f>
        <v>Monthly</v>
      </c>
      <c r="K24" s="59" t="str" cm="1">
        <f t="array" ref="K24">INDEX(ItemizedBudget14[Spending Category], MATCH(0, COUNTIF($K$19:K23,ItemizedBudget14[Spending Category]), 0))</f>
        <v>Groceries</v>
      </c>
      <c r="L24" s="119">
        <f>SUMIFS(ItemizedBudget14[Expenditures],ItemizedBudget14[Spending Category],K24)</f>
        <v>600</v>
      </c>
      <c r="M24" s="119">
        <f>SUMIFS(ItemizedBudget14[Income],ItemizedBudget14[Spending Category],K24)</f>
        <v>0</v>
      </c>
      <c r="N24" s="110">
        <f t="shared" si="3"/>
        <v>7200</v>
      </c>
      <c r="O24" s="121">
        <f t="shared" si="4"/>
        <v>0</v>
      </c>
      <c r="P24" s="66"/>
      <c r="Q24" s="66"/>
    </row>
    <row r="25" spans="2:18" x14ac:dyDescent="0.25">
      <c r="B25" s="122" t="s">
        <v>26</v>
      </c>
      <c r="C25" s="59" t="s">
        <v>27</v>
      </c>
      <c r="D25" s="59" t="s">
        <v>28</v>
      </c>
      <c r="E25" s="59" t="s">
        <v>70</v>
      </c>
      <c r="F25" s="25" t="s">
        <v>71</v>
      </c>
      <c r="G25" s="121">
        <v>60</v>
      </c>
      <c r="H25" s="121"/>
      <c r="J25" s="127" t="str">
        <f>INDEX(ItemizedBudget14[],MATCH(K25,ItemizedBudget14[Spending Category],0),2)</f>
        <v>Monthly</v>
      </c>
      <c r="K25" s="59" t="str" cm="1">
        <f t="array" ref="K25">INDEX(ItemizedBudget14[Spending Category], MATCH(0, COUNTIF($K$19:K24,ItemizedBudget14[Spending Category]), 0))</f>
        <v>Health</v>
      </c>
      <c r="L25" s="119">
        <f>SUMIFS(ItemizedBudget14[Expenditures],ItemizedBudget14[Spending Category],K25)</f>
        <v>1537.5</v>
      </c>
      <c r="M25" s="119">
        <f>SUMIFS(ItemizedBudget14[Income],ItemizedBudget14[Spending Category],K25)</f>
        <v>0</v>
      </c>
      <c r="N25" s="110">
        <f t="shared" si="3"/>
        <v>18450</v>
      </c>
      <c r="O25" s="121">
        <f t="shared" si="4"/>
        <v>0</v>
      </c>
      <c r="P25" s="66"/>
      <c r="Q25" s="66"/>
    </row>
    <row r="26" spans="2:18" x14ac:dyDescent="0.25">
      <c r="B26" s="122" t="s">
        <v>26</v>
      </c>
      <c r="C26" s="59" t="s">
        <v>27</v>
      </c>
      <c r="D26" s="59" t="s">
        <v>28</v>
      </c>
      <c r="E26" s="59" t="s">
        <v>72</v>
      </c>
      <c r="F26" s="25" t="s">
        <v>72</v>
      </c>
      <c r="G26" s="121">
        <v>400</v>
      </c>
      <c r="H26" s="121"/>
      <c r="J26" s="127" t="str">
        <f>INDEX(ItemizedBudget14[],MATCH(K26,ItemizedBudget14[Spending Category],0),2)</f>
        <v>Monthly</v>
      </c>
      <c r="K26" s="59" t="str" cm="1">
        <f t="array" ref="K26">INDEX(ItemizedBudget14[Spending Category], MATCH(0, COUNTIF($K$19:K25,ItemizedBudget14[Spending Category]), 0))</f>
        <v>Pest</v>
      </c>
      <c r="L26" s="119">
        <f>SUMIFS(ItemizedBudget14[Expenditures],ItemizedBudget14[Spending Category],K26)</f>
        <v>39</v>
      </c>
      <c r="M26" s="119">
        <f>SUMIFS(ItemizedBudget14[Income],ItemizedBudget14[Spending Category],K26)</f>
        <v>0</v>
      </c>
      <c r="N26" s="110">
        <f t="shared" si="3"/>
        <v>468</v>
      </c>
      <c r="O26" s="121">
        <f t="shared" si="4"/>
        <v>0</v>
      </c>
      <c r="P26" s="66"/>
      <c r="Q26" s="66"/>
    </row>
    <row r="27" spans="2:18" x14ac:dyDescent="0.25">
      <c r="B27" s="122" t="s">
        <v>26</v>
      </c>
      <c r="C27" s="114" t="s">
        <v>27</v>
      </c>
      <c r="D27" s="114" t="s">
        <v>28</v>
      </c>
      <c r="E27" s="114" t="s">
        <v>73</v>
      </c>
      <c r="F27" s="126" t="s">
        <v>74</v>
      </c>
      <c r="G27" s="134">
        <v>200</v>
      </c>
      <c r="H27" s="121"/>
      <c r="J27" s="127" t="str">
        <f>INDEX(ItemizedBudget14[],MATCH(K27,ItemizedBudget14[Spending Category],0),2)</f>
        <v>Monthly</v>
      </c>
      <c r="K27" s="59" t="str" cm="1">
        <f t="array" ref="K27">INDEX(ItemizedBudget14[Spending Category], MATCH(0, COUNTIF($K$19:K26,ItemizedBudget14[Spending Category]), 0))</f>
        <v>Miscellaneous</v>
      </c>
      <c r="L27" s="119">
        <f>SUMIFS(ItemizedBudget14[Expenditures],ItemizedBudget14[Spending Category],K27)</f>
        <v>683</v>
      </c>
      <c r="M27" s="119">
        <f>SUMIFS(ItemizedBudget14[Income],ItemizedBudget14[Spending Category],K27)</f>
        <v>0</v>
      </c>
      <c r="N27" s="110">
        <f>IF(J27="Monthly",12*L27,L27)</f>
        <v>8196</v>
      </c>
      <c r="O27" s="121">
        <f t="shared" si="4"/>
        <v>0</v>
      </c>
      <c r="P27" s="66"/>
      <c r="Q27" s="66"/>
    </row>
    <row r="28" spans="2:18" x14ac:dyDescent="0.25">
      <c r="B28" s="122" t="s">
        <v>26</v>
      </c>
      <c r="C28" s="59" t="s">
        <v>27</v>
      </c>
      <c r="D28" s="59" t="s">
        <v>28</v>
      </c>
      <c r="E28" s="59" t="s">
        <v>75</v>
      </c>
      <c r="F28" s="25" t="s">
        <v>74</v>
      </c>
      <c r="G28" s="121">
        <f>139/12</f>
        <v>11.583333333333334</v>
      </c>
      <c r="H28" s="121"/>
      <c r="J28" s="127" t="str">
        <f>INDEX(ItemizedBudget14[],MATCH(K28,ItemizedBudget14[Spending Category],0),2)</f>
        <v>Monthly</v>
      </c>
      <c r="K28" s="59" t="str" cm="1">
        <f t="array" ref="K28">INDEX(ItemizedBudget14[Spending Category], MATCH(0, COUNTIF($K$19:K27,ItemizedBudget14[Spending Category]), 0))</f>
        <v>Job Income</v>
      </c>
      <c r="L28" s="119">
        <f>SUMIFS(ItemizedBudget14[Expenditures],ItemizedBudget14[Spending Category],K28)</f>
        <v>0</v>
      </c>
      <c r="M28" s="119">
        <f>SUMIFS(ItemizedBudget14[Income],ItemizedBudget14[Spending Category],K28)</f>
        <v>14200</v>
      </c>
      <c r="N28" s="110">
        <f t="shared" ref="N28" si="5">IF(J28="Monthly",12*L28,L28)</f>
        <v>0</v>
      </c>
      <c r="O28" s="121">
        <f t="shared" si="4"/>
        <v>170400</v>
      </c>
      <c r="P28" s="66"/>
      <c r="Q28" s="66"/>
    </row>
    <row r="29" spans="2:18" x14ac:dyDescent="0.25">
      <c r="B29" s="122" t="s">
        <v>26</v>
      </c>
      <c r="C29" s="59" t="s">
        <v>27</v>
      </c>
      <c r="D29" s="59" t="s">
        <v>28</v>
      </c>
      <c r="E29" s="59" t="s">
        <v>76</v>
      </c>
      <c r="F29" s="25" t="s">
        <v>77</v>
      </c>
      <c r="G29" s="121">
        <v>135</v>
      </c>
      <c r="H29" s="121"/>
      <c r="J29" s="127" t="str">
        <f>INDEX(ItemizedBudget14[],MATCH(K29,ItemizedBudget14[Spending Category],0),2)</f>
        <v>Monthly</v>
      </c>
      <c r="K29" s="59" t="str" cm="1">
        <f t="array" ref="K29">INDEX(ItemizedBudget14[Spending Category], MATCH(0, COUNTIF($K$19:K28,ItemizedBudget14[Spending Category]), 0))</f>
        <v>Mortgage</v>
      </c>
      <c r="L29" s="119">
        <f>SUMIFS(ItemizedBudget14[Expenditures],ItemizedBudget14[Spending Category],K29)</f>
        <v>7550</v>
      </c>
      <c r="M29" s="119">
        <f>SUMIFS(ItemizedBudget14[Income],ItemizedBudget14[Spending Category],K29)</f>
        <v>0</v>
      </c>
      <c r="N29" s="110">
        <f>IF(J29="Monthly",12*L29,L29)</f>
        <v>90600</v>
      </c>
      <c r="O29" s="121">
        <f t="shared" si="4"/>
        <v>0</v>
      </c>
      <c r="P29" s="66"/>
      <c r="Q29" s="66"/>
    </row>
    <row r="30" spans="2:18" x14ac:dyDescent="0.25">
      <c r="B30" s="122"/>
      <c r="C30" s="59" t="s">
        <v>27</v>
      </c>
      <c r="D30" s="59" t="s">
        <v>28</v>
      </c>
      <c r="E30" s="59" t="s">
        <v>78</v>
      </c>
      <c r="F30" s="59" t="s">
        <v>78</v>
      </c>
      <c r="G30" s="121">
        <v>35</v>
      </c>
      <c r="H30" s="121"/>
      <c r="J30" s="127" t="str">
        <f>INDEX(ItemizedBudget14[],MATCH(K30,ItemizedBudget14[Spending Category],0),2)</f>
        <v>Monthly</v>
      </c>
      <c r="K30" s="59" t="str" cm="1">
        <f t="array" ref="K30">INDEX(ItemizedBudget14[Spending Category], MATCH(0, COUNTIF($K$19:K29,ItemizedBudget14[Spending Category]), 0))</f>
        <v>Phone</v>
      </c>
      <c r="L30" s="119">
        <f>SUMIFS(ItemizedBudget14[Expenditures],ItemizedBudget14[Spending Category],K30)</f>
        <v>60</v>
      </c>
      <c r="M30" s="119">
        <f>SUMIFS(ItemizedBudget14[Income],ItemizedBudget14[Spending Category],K30)</f>
        <v>0</v>
      </c>
      <c r="N30" s="110">
        <f t="shared" ref="N30:N36" si="6">IF(J30="Monthly",12*L30,L30)</f>
        <v>720</v>
      </c>
      <c r="O30" s="121">
        <f t="shared" si="4"/>
        <v>0</v>
      </c>
      <c r="P30" s="66"/>
      <c r="Q30" s="66"/>
    </row>
    <row r="31" spans="2:18" x14ac:dyDescent="0.25">
      <c r="B31" s="122" t="s">
        <v>90</v>
      </c>
      <c r="C31" s="59" t="s">
        <v>27</v>
      </c>
      <c r="D31" s="59" t="s">
        <v>28</v>
      </c>
      <c r="E31" s="59" t="s">
        <v>99</v>
      </c>
      <c r="F31" s="59" t="s">
        <v>99</v>
      </c>
      <c r="G31" s="121">
        <v>0</v>
      </c>
      <c r="H31" s="121">
        <v>4400</v>
      </c>
      <c r="J31" s="127" t="str">
        <f>INDEX(ItemizedBudget14[],MATCH(K31,ItemizedBudget14[Spending Category],0),2)</f>
        <v>Monthly</v>
      </c>
      <c r="K31" s="59" t="str" cm="1">
        <f t="array" ref="K31">INDEX(ItemizedBudget14[Spending Category], MATCH(0, COUNTIF($K$19:K30,ItemizedBudget14[Spending Category]), 0))</f>
        <v>Restaurant</v>
      </c>
      <c r="L31" s="119">
        <f>SUMIFS(ItemizedBudget14[Expenditures],ItemizedBudget14[Spending Category],K31)</f>
        <v>400</v>
      </c>
      <c r="M31" s="119">
        <f>SUMIFS(ItemizedBudget14[Income],ItemizedBudget14[Spending Category],K31)</f>
        <v>0</v>
      </c>
      <c r="N31" s="110">
        <f t="shared" si="6"/>
        <v>4800</v>
      </c>
      <c r="O31" s="121">
        <f t="shared" si="4"/>
        <v>0</v>
      </c>
      <c r="P31" s="66"/>
      <c r="Q31" s="66"/>
    </row>
    <row r="32" spans="2:18" x14ac:dyDescent="0.25">
      <c r="B32" s="122" t="s">
        <v>90</v>
      </c>
      <c r="C32" s="59" t="s">
        <v>27</v>
      </c>
      <c r="D32" s="59" t="s">
        <v>28</v>
      </c>
      <c r="E32" s="59" t="s">
        <v>428</v>
      </c>
      <c r="F32" s="59" t="s">
        <v>69</v>
      </c>
      <c r="G32" s="121">
        <v>3100</v>
      </c>
      <c r="H32" s="121"/>
      <c r="J32" s="127" t="str">
        <f>INDEX(ItemizedBudget14[],MATCH(K32,ItemizedBudget14[Spending Category],0),2)</f>
        <v>Monthly</v>
      </c>
      <c r="K32" s="59" t="str" cm="1">
        <f t="array" ref="K32">INDEX(ItemizedBudget14[Spending Category], MATCH(0, COUNTIF($K$19:K31,ItemizedBudget14[Spending Category]), 0))</f>
        <v>Shopping</v>
      </c>
      <c r="L32" s="119">
        <f>SUMIFS(ItemizedBudget14[Expenditures],ItemizedBudget14[Spending Category],K32)</f>
        <v>211.58333333333334</v>
      </c>
      <c r="M32" s="119">
        <f>SUMIFS(ItemizedBudget14[Income],ItemizedBudget14[Spending Category],K32)</f>
        <v>0</v>
      </c>
      <c r="N32" s="110">
        <f t="shared" si="6"/>
        <v>2539</v>
      </c>
      <c r="O32" s="121">
        <f t="shared" si="4"/>
        <v>0</v>
      </c>
      <c r="P32" s="66"/>
      <c r="Q32" s="66"/>
    </row>
    <row r="33" spans="2:22" x14ac:dyDescent="0.25">
      <c r="B33" s="122" t="s">
        <v>26</v>
      </c>
      <c r="C33" s="59" t="s">
        <v>79</v>
      </c>
      <c r="D33" s="59" t="s">
        <v>53</v>
      </c>
      <c r="E33" s="59" t="s">
        <v>80</v>
      </c>
      <c r="F33" s="59" t="s">
        <v>30</v>
      </c>
      <c r="G33" s="121">
        <v>250</v>
      </c>
      <c r="H33" s="121"/>
      <c r="J33" s="127" t="str">
        <f>INDEX(ItemizedBudget14[],MATCH(K33,ItemizedBudget14[Spending Category],0),2)</f>
        <v>Monthly</v>
      </c>
      <c r="K33" s="59" t="str" cm="1">
        <f t="array" ref="K33">INDEX(ItemizedBudget14[Spending Category], MATCH(0, COUNTIF($K$19:K32,ItemizedBudget14[Spending Category]), 0))</f>
        <v>Utilities</v>
      </c>
      <c r="L33" s="119">
        <f>SUMIFS(ItemizedBudget14[Expenditures],ItemizedBudget14[Spending Category],K33)</f>
        <v>135</v>
      </c>
      <c r="M33" s="119">
        <f>SUMIFS(ItemizedBudget14[Income],ItemizedBudget14[Spending Category],K33)</f>
        <v>0</v>
      </c>
      <c r="N33" s="110">
        <f t="shared" si="6"/>
        <v>1620</v>
      </c>
      <c r="O33" s="121">
        <f t="shared" si="4"/>
        <v>0</v>
      </c>
      <c r="P33" s="66"/>
      <c r="Q33" s="66"/>
    </row>
    <row r="34" spans="2:22" x14ac:dyDescent="0.25">
      <c r="B34" s="122" t="s">
        <v>26</v>
      </c>
      <c r="C34" s="59" t="s">
        <v>79</v>
      </c>
      <c r="D34" s="59" t="s">
        <v>38</v>
      </c>
      <c r="E34" s="59" t="s">
        <v>81</v>
      </c>
      <c r="F34" s="59" t="s">
        <v>35</v>
      </c>
      <c r="G34" s="121">
        <v>300</v>
      </c>
      <c r="H34" s="121"/>
      <c r="J34" s="127" t="str">
        <f>INDEX(ItemizedBudget14[],MATCH(K34,ItemizedBudget14[Spending Category],0),2)</f>
        <v>Monthly</v>
      </c>
      <c r="K34" s="59" t="str" cm="1">
        <f t="array" ref="K34">INDEX(ItemizedBudget14[Spending Category], MATCH(0, COUNTIF($K$19:K33,ItemizedBudget14[Spending Category]), 0))</f>
        <v>Trash</v>
      </c>
      <c r="L34" s="119">
        <f>SUMIFS(ItemizedBudget14[Expenditures],ItemizedBudget14[Spending Category],K34)</f>
        <v>35</v>
      </c>
      <c r="M34" s="119">
        <f>SUMIFS(ItemizedBudget14[Income],ItemizedBudget14[Spending Category],K34)</f>
        <v>0</v>
      </c>
      <c r="N34" s="110">
        <f t="shared" si="6"/>
        <v>420</v>
      </c>
      <c r="O34" s="121">
        <f t="shared" si="4"/>
        <v>0</v>
      </c>
      <c r="P34" s="66"/>
      <c r="Q34" s="66"/>
    </row>
    <row r="35" spans="2:22" x14ac:dyDescent="0.25">
      <c r="B35" s="122" t="s">
        <v>26</v>
      </c>
      <c r="C35" s="59" t="s">
        <v>79</v>
      </c>
      <c r="D35" s="59" t="s">
        <v>38</v>
      </c>
      <c r="E35" s="59" t="s">
        <v>82</v>
      </c>
      <c r="F35" s="59" t="s">
        <v>35</v>
      </c>
      <c r="G35" s="121">
        <v>300</v>
      </c>
      <c r="H35" s="121"/>
      <c r="J35" s="127" t="str">
        <f>INDEX(ItemizedBudget14[],MATCH(K35,ItemizedBudget14[Spending Category],0),2)</f>
        <v>Monthly</v>
      </c>
      <c r="K35" s="59" t="str" cm="1">
        <f t="array" ref="K35">INDEX(ItemizedBudget14[Spending Category], MATCH(0, COUNTIF($K$19:K34,ItemizedBudget14[Spending Category]), 0))</f>
        <v>Rent - Incoming</v>
      </c>
      <c r="L35" s="119">
        <f>SUMIFS(ItemizedBudget14[Expenditures],ItemizedBudget14[Spending Category],K35)</f>
        <v>0</v>
      </c>
      <c r="M35" s="119">
        <f>SUMIFS(ItemizedBudget14[Income],ItemizedBudget14[Spending Category],K35)</f>
        <v>4400</v>
      </c>
      <c r="N35" s="110">
        <f t="shared" si="6"/>
        <v>0</v>
      </c>
      <c r="O35" s="121">
        <f t="shared" si="4"/>
        <v>52800</v>
      </c>
      <c r="P35" s="66"/>
      <c r="Q35" s="66"/>
    </row>
    <row r="36" spans="2:22" x14ac:dyDescent="0.25">
      <c r="B36" s="122" t="s">
        <v>26</v>
      </c>
      <c r="C36" s="59" t="s">
        <v>79</v>
      </c>
      <c r="D36" s="59" t="s">
        <v>36</v>
      </c>
      <c r="E36" s="59" t="s">
        <v>83</v>
      </c>
      <c r="F36" s="59" t="s">
        <v>35</v>
      </c>
      <c r="G36" s="121">
        <f>(58*3)*2</f>
        <v>348</v>
      </c>
      <c r="H36" s="121"/>
      <c r="J36" s="127" t="str">
        <f>INDEX(ItemizedBudget14[],MATCH(K36,ItemizedBudget14[Spending Category],0),2)</f>
        <v>One-Time</v>
      </c>
      <c r="K36" s="59" t="str" cm="1">
        <f t="array" ref="K36">INDEX(ItemizedBudget14[Spending Category], MATCH(0, COUNTIF($K$19:K35,ItemizedBudget14[Spending Category]), 0))</f>
        <v>Gifts</v>
      </c>
      <c r="L36" s="119">
        <f>SUMIFS(ItemizedBudget14[Expenditures],ItemizedBudget14[Spending Category],K36)</f>
        <v>550</v>
      </c>
      <c r="M36" s="119">
        <f>SUMIFS(ItemizedBudget14[Income],ItemizedBudget14[Spending Category],K36)</f>
        <v>0</v>
      </c>
      <c r="N36" s="110">
        <f t="shared" si="6"/>
        <v>550</v>
      </c>
      <c r="O36" s="121">
        <f t="shared" si="4"/>
        <v>0</v>
      </c>
      <c r="P36" s="66"/>
      <c r="Q36" s="66"/>
      <c r="V36" s="148" t="s">
        <v>87</v>
      </c>
    </row>
    <row r="37" spans="2:22" x14ac:dyDescent="0.25">
      <c r="B37" s="122" t="s">
        <v>26</v>
      </c>
      <c r="C37" s="59" t="s">
        <v>79</v>
      </c>
      <c r="D37" s="59" t="s">
        <v>55</v>
      </c>
      <c r="E37" s="59" t="s">
        <v>84</v>
      </c>
      <c r="F37" s="59" t="s">
        <v>85</v>
      </c>
      <c r="G37" s="121">
        <v>550</v>
      </c>
      <c r="H37" s="121"/>
      <c r="J37" s="127" t="str">
        <f>INDEX(ItemizedBudget14[],MATCH(K37,ItemizedBudget14[Spending Category],0),2)</f>
        <v>One-Time</v>
      </c>
      <c r="K37" s="59" t="str" cm="1">
        <f t="array" ref="K37">INDEX(ItemizedBudget14[Spending Category], MATCH(0, COUNTIF($K$19:K36,ItemizedBudget14[Spending Category]), 0))</f>
        <v>Home Maintenance</v>
      </c>
      <c r="L37" s="119">
        <f>SUMIFS(ItemizedBudget14[Expenditures],ItemizedBudget14[Spending Category],K37)</f>
        <v>7050</v>
      </c>
      <c r="M37" s="119">
        <f>SUMIFS(ItemizedBudget14[Income],ItemizedBudget14[Spending Category],K37)</f>
        <v>0</v>
      </c>
      <c r="N37" s="110">
        <f>IF(J37="Monthly",12*L37,L37)</f>
        <v>7050</v>
      </c>
      <c r="O37" s="121">
        <f t="shared" si="4"/>
        <v>0</v>
      </c>
      <c r="P37" s="66"/>
      <c r="Q37" s="66"/>
    </row>
    <row r="38" spans="2:22" x14ac:dyDescent="0.25">
      <c r="B38" s="122" t="s">
        <v>26</v>
      </c>
      <c r="C38" s="59" t="s">
        <v>79</v>
      </c>
      <c r="D38" s="59" t="s">
        <v>36</v>
      </c>
      <c r="E38" s="59" t="s">
        <v>86</v>
      </c>
      <c r="F38" s="59" t="s">
        <v>46</v>
      </c>
      <c r="G38" s="121">
        <v>1200</v>
      </c>
      <c r="H38" s="121"/>
      <c r="J38" s="127" t="str">
        <f>INDEX(ItemizedBudget14[],MATCH(K38,ItemizedBudget14[Spending Category],0),2)</f>
        <v>One-Time</v>
      </c>
      <c r="K38" s="59" t="str" cm="1">
        <f t="array" ref="K38">INDEX(ItemizedBudget14[Spending Category], MATCH(0, COUNTIF($K$19:K37,ItemizedBudget14[Spending Category]), 0))</f>
        <v>Tax Refund</v>
      </c>
      <c r="L38" s="119">
        <f>SUMIFS(ItemizedBudget14[Expenditures],ItemizedBudget14[Spending Category],K38)</f>
        <v>0</v>
      </c>
      <c r="M38" s="119">
        <f>SUMIFS(ItemizedBudget14[Income],ItemizedBudget14[Spending Category],K38)</f>
        <v>5000</v>
      </c>
      <c r="N38" s="110">
        <f t="shared" ref="N38:N39" si="7">IF(J38="Monthly",12*L38,L38)</f>
        <v>0</v>
      </c>
      <c r="O38" s="121">
        <f t="shared" si="4"/>
        <v>5000</v>
      </c>
      <c r="P38" s="66"/>
      <c r="Q38" s="66"/>
    </row>
    <row r="39" spans="2:22" x14ac:dyDescent="0.25">
      <c r="B39" s="122" t="s">
        <v>26</v>
      </c>
      <c r="C39" s="59" t="s">
        <v>79</v>
      </c>
      <c r="D39" s="59" t="s">
        <v>38</v>
      </c>
      <c r="E39" s="59" t="s">
        <v>92</v>
      </c>
      <c r="F39" s="59" t="s">
        <v>93</v>
      </c>
      <c r="G39" s="110">
        <v>300</v>
      </c>
      <c r="H39" s="121"/>
      <c r="J39" s="129" t="str">
        <f>INDEX(ItemizedBudget14[],MATCH(K39,ItemizedBudget14[Spending Category],0),2)</f>
        <v>One-Time</v>
      </c>
      <c r="K39" s="114" t="str" cm="1">
        <f t="array" ref="K39">INDEX(ItemizedBudget14[Spending Category], MATCH(0, COUNTIF($K$19:K38,ItemizedBudget14[Spending Category]), 0))</f>
        <v>Vacation</v>
      </c>
      <c r="L39" s="125">
        <f>SUMIFS(ItemizedBudget14[Expenditures],ItemizedBudget14[Spending Category],K39)</f>
        <v>1500</v>
      </c>
      <c r="M39" s="125">
        <f>SUMIFS(ItemizedBudget14[Income],ItemizedBudget14[Spending Category],K39)</f>
        <v>0</v>
      </c>
      <c r="N39" s="135">
        <f t="shared" si="7"/>
        <v>1500</v>
      </c>
      <c r="O39" s="124">
        <f t="shared" si="4"/>
        <v>0</v>
      </c>
    </row>
    <row r="40" spans="2:22" x14ac:dyDescent="0.25">
      <c r="B40" s="136" t="s">
        <v>90</v>
      </c>
      <c r="C40" s="114" t="s">
        <v>79</v>
      </c>
      <c r="D40" s="114" t="s">
        <v>38</v>
      </c>
      <c r="E40" s="114" t="s">
        <v>5</v>
      </c>
      <c r="F40" s="114" t="s">
        <v>101</v>
      </c>
      <c r="G40" s="111"/>
      <c r="H40" s="138">
        <v>5000</v>
      </c>
      <c r="K40" s="30"/>
    </row>
    <row r="41" spans="2:22" x14ac:dyDescent="0.25">
      <c r="B41" s="136" t="s">
        <v>90</v>
      </c>
      <c r="C41" s="114" t="s">
        <v>79</v>
      </c>
      <c r="D41" s="114" t="s">
        <v>42</v>
      </c>
      <c r="E41" s="114" t="s">
        <v>102</v>
      </c>
      <c r="F41" s="114" t="s">
        <v>102</v>
      </c>
      <c r="G41" s="137">
        <v>1500</v>
      </c>
      <c r="H41" s="137"/>
      <c r="J41" s="30"/>
    </row>
    <row r="42" spans="2:22" x14ac:dyDescent="0.25">
      <c r="B42" s="136"/>
      <c r="C42" s="114" t="s">
        <v>79</v>
      </c>
      <c r="D42" s="114" t="s">
        <v>47</v>
      </c>
      <c r="E42" s="114" t="s">
        <v>113</v>
      </c>
      <c r="F42" s="114" t="s">
        <v>93</v>
      </c>
      <c r="G42" s="137">
        <v>1750</v>
      </c>
      <c r="H42" s="137"/>
      <c r="I42" s="67"/>
    </row>
    <row r="43" spans="2:22" x14ac:dyDescent="0.25">
      <c r="B43" s="136"/>
      <c r="C43" s="114" t="s">
        <v>79</v>
      </c>
      <c r="D43" s="114" t="s">
        <v>53</v>
      </c>
      <c r="E43" s="114" t="s">
        <v>114</v>
      </c>
      <c r="F43" s="114" t="s">
        <v>93</v>
      </c>
      <c r="G43" s="137">
        <v>500</v>
      </c>
      <c r="H43" s="137"/>
    </row>
    <row r="44" spans="2:22" x14ac:dyDescent="0.25">
      <c r="B44" s="154"/>
      <c r="C44" s="34" t="s">
        <v>79</v>
      </c>
      <c r="D44" s="34" t="s">
        <v>38</v>
      </c>
      <c r="E44" s="34" t="s">
        <v>197</v>
      </c>
      <c r="F44" s="59" t="s">
        <v>93</v>
      </c>
      <c r="G44" s="137">
        <v>3000</v>
      </c>
      <c r="H44" s="137"/>
    </row>
    <row r="45" spans="2:22" x14ac:dyDescent="0.25">
      <c r="B45" s="155"/>
      <c r="C45" s="113" t="s">
        <v>79</v>
      </c>
      <c r="D45" s="113" t="s">
        <v>31</v>
      </c>
      <c r="E45" s="113" t="s">
        <v>196</v>
      </c>
      <c r="F45" s="114" t="s">
        <v>93</v>
      </c>
      <c r="G45" s="137">
        <v>1500</v>
      </c>
      <c r="H45" s="137"/>
    </row>
  </sheetData>
  <pageMargins left="0.7" right="0.7" top="0.75" bottom="0.75" header="0.3" footer="0.3"/>
  <tableParts count="3">
    <tablePart r:id="rId1"/>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64BCC-A21E-450A-8A47-D6FFEB0DF216}">
  <sheetPr>
    <tabColor theme="7" tint="0.79998168889431442"/>
  </sheetPr>
  <dimension ref="B2:V61"/>
  <sheetViews>
    <sheetView topLeftCell="A28" zoomScale="109" zoomScaleNormal="101" workbookViewId="0">
      <selection activeCell="C50" sqref="C50:H50"/>
    </sheetView>
  </sheetViews>
  <sheetFormatPr defaultColWidth="8.77734375" defaultRowHeight="13.2" x14ac:dyDescent="0.25"/>
  <cols>
    <col min="1" max="1" width="8" style="22" customWidth="1"/>
    <col min="2" max="2" width="24.21875" style="22" hidden="1" customWidth="1"/>
    <col min="3" max="3" width="13.44140625" style="22" customWidth="1"/>
    <col min="4" max="4" width="16.44140625" style="22" customWidth="1"/>
    <col min="5" max="5" width="42.6640625" style="22" customWidth="1"/>
    <col min="6" max="6" width="26" style="22" customWidth="1"/>
    <col min="7" max="7" width="15.6640625" style="105" bestFit="1" customWidth="1"/>
    <col min="8" max="8" width="10" style="105" bestFit="1" customWidth="1"/>
    <col min="9" max="9" width="7.6640625" style="22" customWidth="1"/>
    <col min="10" max="10" width="14" style="22" bestFit="1" customWidth="1"/>
    <col min="11" max="11" width="16.88671875" style="22" customWidth="1"/>
    <col min="12" max="12" width="13.6640625" style="22" customWidth="1"/>
    <col min="13" max="13" width="12.6640625" style="22" customWidth="1"/>
    <col min="14" max="14" width="18.44140625" style="22" customWidth="1"/>
    <col min="15" max="15" width="15.6640625" style="22" customWidth="1"/>
    <col min="16" max="16" width="21" style="22" customWidth="1"/>
    <col min="17" max="17" width="14" style="22" customWidth="1"/>
    <col min="18" max="18" width="12.5546875" style="22" bestFit="1" customWidth="1"/>
    <col min="19" max="16384" width="8.77734375" style="22"/>
  </cols>
  <sheetData>
    <row r="2" spans="2:20" x14ac:dyDescent="0.25">
      <c r="C2" s="30" t="s">
        <v>421</v>
      </c>
      <c r="N2" s="27">
        <f>SUM(N5:N11)+SUM(O12:O16)</f>
        <v>52850</v>
      </c>
      <c r="O2" s="27">
        <f>N2/12</f>
        <v>4404.166666666667</v>
      </c>
    </row>
    <row r="3" spans="2:20" x14ac:dyDescent="0.25">
      <c r="B3" s="100" t="s">
        <v>8</v>
      </c>
      <c r="C3" s="130"/>
      <c r="D3" s="130"/>
      <c r="E3" s="130"/>
      <c r="F3" s="130"/>
      <c r="G3" s="131"/>
      <c r="H3" s="131"/>
      <c r="J3" s="100" t="s">
        <v>9</v>
      </c>
      <c r="K3" s="100"/>
      <c r="L3" s="100"/>
      <c r="M3" s="100"/>
      <c r="N3" s="100"/>
      <c r="O3" s="100"/>
      <c r="P3" s="35"/>
      <c r="Q3" s="35"/>
    </row>
    <row r="4" spans="2:20" ht="26.55" customHeight="1" x14ac:dyDescent="0.25">
      <c r="B4" s="128" t="s">
        <v>10</v>
      </c>
      <c r="C4" s="115" t="s">
        <v>11</v>
      </c>
      <c r="D4" s="115" t="s">
        <v>12</v>
      </c>
      <c r="E4" s="115" t="s">
        <v>13</v>
      </c>
      <c r="F4" s="115" t="s">
        <v>14</v>
      </c>
      <c r="G4" s="139" t="s">
        <v>15</v>
      </c>
      <c r="H4" s="139" t="s">
        <v>16</v>
      </c>
      <c r="J4" s="77" t="s">
        <v>17</v>
      </c>
      <c r="K4" s="140" t="s">
        <v>18</v>
      </c>
      <c r="L4" s="140" t="s">
        <v>19</v>
      </c>
      <c r="M4" s="65" t="s">
        <v>20</v>
      </c>
      <c r="N4" s="65" t="s">
        <v>21</v>
      </c>
      <c r="O4" s="65" t="s">
        <v>22</v>
      </c>
      <c r="P4" s="65" t="s">
        <v>23</v>
      </c>
      <c r="Q4" s="65" t="s">
        <v>24</v>
      </c>
      <c r="R4" s="78" t="s">
        <v>25</v>
      </c>
    </row>
    <row r="5" spans="2:20" x14ac:dyDescent="0.25">
      <c r="B5" s="122" t="s">
        <v>26</v>
      </c>
      <c r="C5" s="59" t="s">
        <v>27</v>
      </c>
      <c r="D5" s="59" t="s">
        <v>28</v>
      </c>
      <c r="E5" s="59" t="s">
        <v>75</v>
      </c>
      <c r="F5" s="25" t="s">
        <v>74</v>
      </c>
      <c r="G5" s="121">
        <f>139/12</f>
        <v>11.583333333333334</v>
      </c>
      <c r="H5" s="121"/>
      <c r="J5" s="122" t="s">
        <v>31</v>
      </c>
      <c r="K5" s="119">
        <f>SUMIFS(ItemizedBudget1424[Income],ItemizedBudget1424[Frequency],"Monthly",ItemizedBudget1424[Planned Month],"All")</f>
        <v>10598.833333333332</v>
      </c>
      <c r="L5" s="119">
        <f>SUMIFS(ItemizedBudget1424[Income],ItemizedBudget1424[Frequency],"One-Time",ItemizedBudget1424[Planned Month],J5)</f>
        <v>7741.5</v>
      </c>
      <c r="M5" s="119">
        <f>SUMIFS(ItemizedBudget1424[Expenditures],ItemizedBudget1424[Frequency],"Monthly",ItemizedBudget1424[Planned Month],"All")</f>
        <v>11505.793333333333</v>
      </c>
      <c r="N5" s="119">
        <f>SUMIFS(ItemizedBudget1424[Expenditures],ItemizedBudget1424[Spending Category],"Mortgage")</f>
        <v>7550</v>
      </c>
      <c r="O5" s="119">
        <f>SUMIFS(ItemizedBudget1424[Expenditures],ItemizedBudget1424[Spending Category],"Rent - Outgoing",ItemizedBudget1424[Planned Month],J5)</f>
        <v>0</v>
      </c>
      <c r="P5" s="119">
        <f>M5-(N5+O5)</f>
        <v>3955.7933333333331</v>
      </c>
      <c r="Q5" s="119">
        <f>SUMIFS(ItemizedBudget1424[Expenditures],ItemizedBudget1424[Frequency],"One-Time",ItemizedBudget1424[Planned Month],J5)</f>
        <v>1500</v>
      </c>
      <c r="R5" s="123">
        <f>(K5+L5)-(M5+Q5+O5)</f>
        <v>5334.5399999999991</v>
      </c>
    </row>
    <row r="6" spans="2:20" x14ac:dyDescent="0.25">
      <c r="B6" s="154"/>
      <c r="C6" s="34" t="s">
        <v>27</v>
      </c>
      <c r="D6" s="34" t="s">
        <v>28</v>
      </c>
      <c r="E6" s="34" t="s">
        <v>423</v>
      </c>
      <c r="F6" s="59" t="s">
        <v>422</v>
      </c>
      <c r="G6" s="121">
        <v>400</v>
      </c>
      <c r="H6" s="121"/>
      <c r="I6" s="27"/>
      <c r="J6" s="122" t="s">
        <v>33</v>
      </c>
      <c r="K6" s="119">
        <f>SUMIFS(ItemizedBudget1424[Income],ItemizedBudget1424[Frequency],"Monthly",ItemizedBudget1424[Planned Month],"All")</f>
        <v>10598.833333333332</v>
      </c>
      <c r="L6" s="119">
        <f>SUMIFS(ItemizedBudget1424[Income],ItemizedBudget1424[Frequency],"One-Time",ItemizedBudget1424[Planned Month],J6)</f>
        <v>7741.5</v>
      </c>
      <c r="M6" s="119">
        <f>SUMIFS(ItemizedBudget1424[Expenditures],ItemizedBudget1424[Frequency],"Monthly",ItemizedBudget1424[Planned Month],"All")</f>
        <v>11505.793333333333</v>
      </c>
      <c r="N6" s="119">
        <f>SUMIFS(ItemizedBudget1424[Expenditures],ItemizedBudget1424[Spending Category],"Mortgage")</f>
        <v>7550</v>
      </c>
      <c r="O6" s="119">
        <f>SUMIFS(ItemizedBudget1424[Expenditures],ItemizedBudget1424[Spending Category],"Rent - Outgoing",ItemizedBudget1424[Planned Month],J6)</f>
        <v>0</v>
      </c>
      <c r="P6" s="119">
        <f t="shared" ref="P6:P16" si="0">M6-(N6+O6)</f>
        <v>3955.7933333333331</v>
      </c>
      <c r="Q6" s="119">
        <f>SUMIFS(ItemizedBudget1424[Expenditures],ItemizedBudget1424[Frequency],"One-Time",ItemizedBudget1424[Planned Month],J6)</f>
        <v>0</v>
      </c>
      <c r="R6" s="123">
        <f t="shared" ref="R6:R16" si="1">(K6+L6)-(M6+Q6+O6)</f>
        <v>6834.5399999999991</v>
      </c>
      <c r="T6" s="22">
        <f>SUMIFS(ItemizedBudget1424[Expenditures],ItemizedBudget1424[Item],"Rent: Outgoing",ItemizedBudget1424[Item],"Mortgage 50 Morrison",ItemizedBudget1424[Planned Month],J5)</f>
        <v>0</v>
      </c>
    </row>
    <row r="7" spans="2:20" x14ac:dyDescent="0.25">
      <c r="B7" s="122" t="s">
        <v>26</v>
      </c>
      <c r="C7" s="59" t="s">
        <v>27</v>
      </c>
      <c r="D7" s="59" t="s">
        <v>28</v>
      </c>
      <c r="E7" s="59" t="s">
        <v>39</v>
      </c>
      <c r="F7" s="59" t="s">
        <v>408</v>
      </c>
      <c r="G7" s="121">
        <v>194.71</v>
      </c>
      <c r="H7" s="121"/>
      <c r="J7" s="127" t="s">
        <v>36</v>
      </c>
      <c r="K7" s="119">
        <f>SUMIFS(ItemizedBudget1424[Income],ItemizedBudget1424[Frequency],"Monthly",ItemizedBudget1424[Planned Month],"All")</f>
        <v>10598.833333333332</v>
      </c>
      <c r="L7" s="119">
        <f>SUMIFS(ItemizedBudget1424[Income],ItemizedBudget1424[Frequency],"One-Time",ItemizedBudget1424[Planned Month],J7)</f>
        <v>7741.5</v>
      </c>
      <c r="M7" s="119">
        <f>SUMIFS(ItemizedBudget1424[Expenditures],ItemizedBudget1424[Frequency],"Monthly",ItemizedBudget1424[Planned Month],"All")</f>
        <v>11505.793333333333</v>
      </c>
      <c r="N7" s="119">
        <f>SUMIFS(ItemizedBudget1424[Expenditures],ItemizedBudget1424[Spending Category],"Mortgage")</f>
        <v>7550</v>
      </c>
      <c r="O7" s="119">
        <f>SUMIFS(ItemizedBudget1424[Expenditures],ItemizedBudget1424[Spending Category],"Rent - Outgoing",ItemizedBudget1424[Planned Month],J7)</f>
        <v>0</v>
      </c>
      <c r="P7" s="119">
        <f t="shared" si="0"/>
        <v>3955.7933333333331</v>
      </c>
      <c r="Q7" s="119">
        <f>SUMIFS(ItemizedBudget1424[Expenditures],ItemizedBudget1424[Frequency],"One-Time",ItemizedBudget1424[Planned Month],J7)</f>
        <v>1548</v>
      </c>
      <c r="R7" s="123">
        <f t="shared" si="1"/>
        <v>5286.5399999999991</v>
      </c>
    </row>
    <row r="8" spans="2:20" x14ac:dyDescent="0.25">
      <c r="B8" s="122" t="s">
        <v>26</v>
      </c>
      <c r="C8" s="59" t="s">
        <v>27</v>
      </c>
      <c r="D8" s="59" t="s">
        <v>28</v>
      </c>
      <c r="E8" s="59" t="s">
        <v>29</v>
      </c>
      <c r="F8" s="25" t="s">
        <v>30</v>
      </c>
      <c r="G8" s="121">
        <v>100</v>
      </c>
      <c r="H8" s="121"/>
      <c r="I8" s="27"/>
      <c r="J8" s="127" t="s">
        <v>38</v>
      </c>
      <c r="K8" s="119">
        <f>SUMIFS(ItemizedBudget1424[Income],ItemizedBudget1424[Frequency],"Monthly",ItemizedBudget1424[Planned Month],"All")</f>
        <v>10598.833333333332</v>
      </c>
      <c r="L8" s="119">
        <f>SUMIFS(ItemizedBudget1424[Income],ItemizedBudget1424[Frequency],"One-Time",ItemizedBudget1424[Planned Month],J8)</f>
        <v>7741.5</v>
      </c>
      <c r="M8" s="119">
        <f>SUMIFS(ItemizedBudget1424[Expenditures],ItemizedBudget1424[Frequency],"Monthly",ItemizedBudget1424[Planned Month],"All")</f>
        <v>11505.793333333333</v>
      </c>
      <c r="N8" s="119">
        <f>SUMIFS(ItemizedBudget1424[Expenditures],ItemizedBudget1424[Spending Category],"Mortgage")</f>
        <v>7550</v>
      </c>
      <c r="O8" s="119">
        <f>SUMIFS(ItemizedBudget1424[Expenditures],ItemizedBudget1424[Spending Category],"Rent - Outgoing",ItemizedBudget1424[Planned Month],J8)</f>
        <v>0</v>
      </c>
      <c r="P8" s="119">
        <f t="shared" si="0"/>
        <v>3955.7933333333331</v>
      </c>
      <c r="Q8" s="119">
        <f>SUMIFS(ItemizedBudget1424[Expenditures],ItemizedBudget1424[Frequency],"One-Time",ItemizedBudget1424[Planned Month],J8)</f>
        <v>3900</v>
      </c>
      <c r="R8" s="123">
        <f t="shared" si="1"/>
        <v>2934.5399999999991</v>
      </c>
    </row>
    <row r="9" spans="2:20" x14ac:dyDescent="0.25">
      <c r="B9" s="122" t="s">
        <v>26</v>
      </c>
      <c r="C9" s="59" t="s">
        <v>27</v>
      </c>
      <c r="D9" s="59" t="s">
        <v>28</v>
      </c>
      <c r="E9" s="59" t="s">
        <v>34</v>
      </c>
      <c r="F9" s="25" t="s">
        <v>35</v>
      </c>
      <c r="G9" s="121">
        <v>100</v>
      </c>
      <c r="H9" s="121"/>
      <c r="J9" s="127" t="s">
        <v>40</v>
      </c>
      <c r="K9" s="119">
        <f>SUMIFS(ItemizedBudget1424[Income],ItemizedBudget1424[Frequency],"Monthly",ItemizedBudget1424[Planned Month],"All")</f>
        <v>10598.833333333332</v>
      </c>
      <c r="L9" s="119">
        <f>SUMIFS(ItemizedBudget1424[Income],ItemizedBudget1424[Frequency],"One-Time",ItemizedBudget1424[Planned Month],J9)</f>
        <v>7741.5</v>
      </c>
      <c r="M9" s="119">
        <f>SUMIFS(ItemizedBudget1424[Expenditures],ItemizedBudget1424[Frequency],"Monthly",ItemizedBudget1424[Planned Month],"All")</f>
        <v>11505.793333333333</v>
      </c>
      <c r="N9" s="119">
        <f>SUMIFS(ItemizedBudget1424[Expenditures],ItemizedBudget1424[Spending Category],"Mortgage")</f>
        <v>7550</v>
      </c>
      <c r="O9" s="119">
        <f>SUMIFS(ItemizedBudget1424[Expenditures],ItemizedBudget1424[Spending Category],"Rent - Outgoing",ItemizedBudget1424[Planned Month],J9)</f>
        <v>0</v>
      </c>
      <c r="P9" s="119">
        <f t="shared" si="0"/>
        <v>3955.7933333333331</v>
      </c>
      <c r="Q9" s="119">
        <f>SUMIFS(ItemizedBudget1424[Expenditures],ItemizedBudget1424[Frequency],"One-Time",ItemizedBudget1424[Planned Month],J9)</f>
        <v>0</v>
      </c>
      <c r="R9" s="123">
        <f t="shared" si="1"/>
        <v>6834.5399999999991</v>
      </c>
    </row>
    <row r="10" spans="2:20" x14ac:dyDescent="0.25">
      <c r="B10" s="122" t="s">
        <v>26</v>
      </c>
      <c r="C10" s="59" t="s">
        <v>27</v>
      </c>
      <c r="D10" s="59" t="s">
        <v>28</v>
      </c>
      <c r="E10" s="59" t="s">
        <v>37</v>
      </c>
      <c r="F10" s="25" t="s">
        <v>35</v>
      </c>
      <c r="G10" s="121">
        <v>25</v>
      </c>
      <c r="H10" s="121"/>
      <c r="J10" s="127" t="s">
        <v>42</v>
      </c>
      <c r="K10" s="119">
        <f>SUMIFS(ItemizedBudget1424[Income],ItemizedBudget1424[Frequency],"Monthly",ItemizedBudget1424[Planned Month],"All")</f>
        <v>10598.833333333332</v>
      </c>
      <c r="L10" s="119">
        <f>SUMIFS(ItemizedBudget1424[Income],ItemizedBudget1424[Frequency],"One-Time",ItemizedBudget1424[Planned Month],J10)</f>
        <v>7741.5</v>
      </c>
      <c r="M10" s="119">
        <f>SUMIFS(ItemizedBudget1424[Expenditures],ItemizedBudget1424[Frequency],"Monthly",ItemizedBudget1424[Planned Month],"All")</f>
        <v>11505.793333333333</v>
      </c>
      <c r="N10" s="119">
        <f>SUMIFS(ItemizedBudget1424[Expenditures],ItemizedBudget1424[Spending Category],"Mortgage")</f>
        <v>7550</v>
      </c>
      <c r="O10" s="119">
        <f>SUMIFS(ItemizedBudget1424[Expenditures],ItemizedBudget1424[Spending Category],"Rent - Outgoing",ItemizedBudget1424[Planned Month],J10)</f>
        <v>0</v>
      </c>
      <c r="P10" s="119">
        <f>M10-(N10+O10)</f>
        <v>3955.7933333333331</v>
      </c>
      <c r="Q10" s="119">
        <f>SUMIFS(ItemizedBudget1424[Expenditures],ItemizedBudget1424[Frequency],"One-Time",ItemizedBudget1424[Planned Month],J10)</f>
        <v>4500</v>
      </c>
      <c r="R10" s="123">
        <f t="shared" si="1"/>
        <v>2334.5399999999991</v>
      </c>
    </row>
    <row r="11" spans="2:20" x14ac:dyDescent="0.25">
      <c r="B11" s="154"/>
      <c r="C11" s="34" t="s">
        <v>27</v>
      </c>
      <c r="D11" s="34" t="s">
        <v>28</v>
      </c>
      <c r="E11" s="34" t="s">
        <v>200</v>
      </c>
      <c r="F11" s="59" t="s">
        <v>422</v>
      </c>
      <c r="G11" s="121">
        <v>200</v>
      </c>
      <c r="H11" s="121"/>
      <c r="J11" s="127" t="s">
        <v>44</v>
      </c>
      <c r="K11" s="119">
        <f>SUMIFS(ItemizedBudget1424[Income],ItemizedBudget1424[Frequency],"Monthly",ItemizedBudget1424[Planned Month],"All")</f>
        <v>10598.833333333332</v>
      </c>
      <c r="L11" s="119">
        <f>SUMIFS(ItemizedBudget1424[Income],ItemizedBudget1424[Frequency],"One-Time",ItemizedBudget1424[Planned Month],J11)</f>
        <v>7741.5</v>
      </c>
      <c r="M11" s="119">
        <f>SUMIFS(ItemizedBudget1424[Expenditures],ItemizedBudget1424[Frequency],"Monthly",ItemizedBudget1424[Planned Month],"All")</f>
        <v>11505.793333333333</v>
      </c>
      <c r="N11" s="119">
        <f>SUMIFS(ItemizedBudget1424[Expenditures],ItemizedBudget1424[Spending Category],"Mortgage")</f>
        <v>7550</v>
      </c>
      <c r="O11" s="119">
        <f>SUMIFS(ItemizedBudget1424[Expenditures],ItemizedBudget1424[Spending Category],"Rent - Outgoing",ItemizedBudget1424[Planned Month],J11)</f>
        <v>0</v>
      </c>
      <c r="P11" s="119">
        <f>M11-(N11+O11)</f>
        <v>3955.7933333333331</v>
      </c>
      <c r="Q11" s="119">
        <f>SUMIFS(ItemizedBudget1424[Expenditures],ItemizedBudget1424[Frequency],"One-Time",ItemizedBudget1424[Planned Month],J11)</f>
        <v>0</v>
      </c>
      <c r="R11" s="123">
        <f t="shared" si="1"/>
        <v>6834.5399999999991</v>
      </c>
    </row>
    <row r="12" spans="2:20" x14ac:dyDescent="0.25">
      <c r="B12" s="122" t="s">
        <v>26</v>
      </c>
      <c r="C12" s="59" t="s">
        <v>27</v>
      </c>
      <c r="D12" s="59" t="s">
        <v>28</v>
      </c>
      <c r="E12" s="146" t="s">
        <v>73</v>
      </c>
      <c r="F12" s="25" t="s">
        <v>74</v>
      </c>
      <c r="G12" s="121">
        <v>200</v>
      </c>
      <c r="H12" s="121"/>
      <c r="J12" s="127" t="s">
        <v>47</v>
      </c>
      <c r="K12" s="119">
        <f>SUMIFS(ItemizedBudget1424[Income],ItemizedBudget1424[Frequency],"Monthly",ItemizedBudget1424[Planned Month],"All")</f>
        <v>10598.833333333332</v>
      </c>
      <c r="L12" s="119">
        <f>SUMIFS(ItemizedBudget1424[Income],ItemizedBudget1424[Frequency],"One-Time",ItemizedBudget1424[Planned Month],J12)</f>
        <v>7741.5</v>
      </c>
      <c r="M12" s="119">
        <f>SUMIFS(ItemizedBudget1424[Expenditures],ItemizedBudget1424[Frequency],"Monthly",ItemizedBudget1424[Planned Month],"All")</f>
        <v>11505.793333333333</v>
      </c>
      <c r="N12" s="119">
        <f>SUMIFS(ItemizedBudget1424[Expenditures],ItemizedBudget1424[Spending Category],"Mortgage")</f>
        <v>7550</v>
      </c>
      <c r="O12" s="119">
        <f>SUMIFS(ItemizedBudget1424[Expenditures],ItemizedBudget1424[Spending Category],"Rent - Outgoing",ItemizedBudget1424[Planned Month],J12)</f>
        <v>0</v>
      </c>
      <c r="P12" s="119">
        <f t="shared" si="0"/>
        <v>3955.7933333333331</v>
      </c>
      <c r="Q12" s="119">
        <f>SUMIFS(ItemizedBudget1424[Expenditures],ItemizedBudget1424[Frequency],"One-Time",ItemizedBudget1424[Planned Month],J12)</f>
        <v>6750</v>
      </c>
      <c r="R12" s="123">
        <f>(K12+L12)-(M12+Q12+O12)</f>
        <v>84.539999999997235</v>
      </c>
    </row>
    <row r="13" spans="2:20" x14ac:dyDescent="0.25">
      <c r="B13" s="122" t="s">
        <v>26</v>
      </c>
      <c r="C13" s="59" t="s">
        <v>27</v>
      </c>
      <c r="D13" s="59" t="s">
        <v>28</v>
      </c>
      <c r="E13" s="59" t="s">
        <v>52</v>
      </c>
      <c r="F13" s="25" t="s">
        <v>46</v>
      </c>
      <c r="G13" s="121">
        <v>30</v>
      </c>
      <c r="H13" s="121"/>
      <c r="J13" s="127" t="s">
        <v>49</v>
      </c>
      <c r="K13" s="119">
        <f>SUMIFS(ItemizedBudget1424[Income],ItemizedBudget1424[Frequency],"Monthly",ItemizedBudget1424[Planned Month],"All")</f>
        <v>10598.833333333332</v>
      </c>
      <c r="L13" s="119">
        <f>SUMIFS(ItemizedBudget1424[Income],ItemizedBudget1424[Frequency],"One-Time",ItemizedBudget1424[Planned Month],J13)</f>
        <v>7741.5</v>
      </c>
      <c r="M13" s="119">
        <f>SUMIFS(ItemizedBudget1424[Expenditures],ItemizedBudget1424[Frequency],"Monthly",ItemizedBudget1424[Planned Month],"All")</f>
        <v>11505.793333333333</v>
      </c>
      <c r="N13" s="119">
        <f>SUMIFS(ItemizedBudget1424[Expenditures],ItemizedBudget1424[Spending Category],"Mortgage")</f>
        <v>7550</v>
      </c>
      <c r="O13" s="119">
        <f>SUMIFS(ItemizedBudget1424[Expenditures],ItemizedBudget1424[Spending Category],"Rent - Outgoing",ItemizedBudget1424[Planned Month],J13)</f>
        <v>0</v>
      </c>
      <c r="P13" s="119">
        <f t="shared" si="0"/>
        <v>3955.7933333333331</v>
      </c>
      <c r="Q13" s="119">
        <f>SUMIFS(ItemizedBudget1424[Expenditures],ItemizedBudget1424[Frequency],"One-Time",ItemizedBudget1424[Planned Month],J13)</f>
        <v>0</v>
      </c>
      <c r="R13" s="123">
        <f t="shared" si="1"/>
        <v>6834.5399999999991</v>
      </c>
    </row>
    <row r="14" spans="2:20" x14ac:dyDescent="0.25">
      <c r="B14" s="154"/>
      <c r="C14" s="34" t="s">
        <v>27</v>
      </c>
      <c r="D14" s="34" t="s">
        <v>28</v>
      </c>
      <c r="E14" s="34" t="s">
        <v>198</v>
      </c>
      <c r="F14" s="59" t="s">
        <v>422</v>
      </c>
      <c r="G14" s="121">
        <v>100</v>
      </c>
      <c r="H14" s="121"/>
      <c r="J14" s="127" t="s">
        <v>51</v>
      </c>
      <c r="K14" s="119">
        <f>SUMIFS(ItemizedBudget1424[Income],ItemizedBudget1424[Frequency],"Monthly",ItemizedBudget1424[Planned Month],"All")</f>
        <v>10598.833333333332</v>
      </c>
      <c r="L14" s="119">
        <f>SUMIFS(ItemizedBudget1424[Income],ItemizedBudget1424[Frequency],"One-Time",ItemizedBudget1424[Planned Month],J14)</f>
        <v>7741.5</v>
      </c>
      <c r="M14" s="119">
        <f>SUMIFS(ItemizedBudget1424[Expenditures],ItemizedBudget1424[Frequency],"Monthly",ItemizedBudget1424[Planned Month],"All")</f>
        <v>11505.793333333333</v>
      </c>
      <c r="N14" s="119">
        <f>SUMIFS(ItemizedBudget1424[Expenditures],ItemizedBudget1424[Spending Category],"Mortgage")</f>
        <v>7550</v>
      </c>
      <c r="O14" s="119">
        <f>SUMIFS(ItemizedBudget1424[Expenditures],ItemizedBudget1424[Spending Category],"Rent - Outgoing",ItemizedBudget1424[Planned Month],J14)</f>
        <v>0</v>
      </c>
      <c r="P14" s="119">
        <f t="shared" si="0"/>
        <v>3955.7933333333331</v>
      </c>
      <c r="Q14" s="119">
        <f>SUMIFS(ItemizedBudget1424[Expenditures],ItemizedBudget1424[Frequency],"One-Time",ItemizedBudget1424[Planned Month],J14)</f>
        <v>0</v>
      </c>
      <c r="R14" s="123">
        <f>(K14+L14)-(M14+Q14+O14)</f>
        <v>6834.5399999999991</v>
      </c>
    </row>
    <row r="15" spans="2:20" x14ac:dyDescent="0.25">
      <c r="B15" s="122" t="s">
        <v>26</v>
      </c>
      <c r="C15" s="59" t="s">
        <v>27</v>
      </c>
      <c r="D15" s="59" t="s">
        <v>28</v>
      </c>
      <c r="E15" s="59" t="s">
        <v>76</v>
      </c>
      <c r="F15" s="25" t="s">
        <v>77</v>
      </c>
      <c r="G15" s="121">
        <v>135</v>
      </c>
      <c r="H15" s="121"/>
      <c r="J15" s="127" t="s">
        <v>53</v>
      </c>
      <c r="K15" s="119">
        <f>SUMIFS(ItemizedBudget1424[Income],ItemizedBudget1424[Frequency],"Monthly",ItemizedBudget1424[Planned Month],"All")</f>
        <v>10598.833333333332</v>
      </c>
      <c r="L15" s="119">
        <f>SUMIFS(ItemizedBudget1424[Income],ItemizedBudget1424[Frequency],"One-Time",ItemizedBudget1424[Planned Month],J15)</f>
        <v>7741.5</v>
      </c>
      <c r="M15" s="119">
        <f>SUMIFS(ItemizedBudget1424[Expenditures],ItemizedBudget1424[Frequency],"Monthly",ItemizedBudget1424[Planned Month],"All")</f>
        <v>11505.793333333333</v>
      </c>
      <c r="N15" s="119">
        <f>SUMIFS(ItemizedBudget1424[Expenditures],ItemizedBudget1424[Spending Category],"Mortgage")</f>
        <v>7550</v>
      </c>
      <c r="O15" s="119">
        <f>SUMIFS(ItemizedBudget1424[Expenditures],ItemizedBudget1424[Spending Category],"Rent - Outgoing",ItemizedBudget1424[Planned Month],J15)</f>
        <v>0</v>
      </c>
      <c r="P15" s="119">
        <f t="shared" si="0"/>
        <v>3955.7933333333331</v>
      </c>
      <c r="Q15" s="119">
        <f>SUMIFS(ItemizedBudget1424[Expenditures],ItemizedBudget1424[Frequency],"One-Time",ItemizedBudget1424[Planned Month],J15)</f>
        <v>750</v>
      </c>
      <c r="R15" s="123">
        <f t="shared" si="1"/>
        <v>6084.5399999999991</v>
      </c>
    </row>
    <row r="16" spans="2:20" ht="13.8" thickBot="1" x14ac:dyDescent="0.3">
      <c r="B16" s="122" t="s">
        <v>26</v>
      </c>
      <c r="C16" s="59" t="s">
        <v>27</v>
      </c>
      <c r="D16" s="59" t="s">
        <v>28</v>
      </c>
      <c r="E16" s="59" t="s">
        <v>65</v>
      </c>
      <c r="F16" s="59" t="s">
        <v>66</v>
      </c>
      <c r="G16" s="121">
        <v>0</v>
      </c>
      <c r="H16" s="133">
        <f>(2861*26)/12</f>
        <v>6198.833333333333</v>
      </c>
      <c r="J16" s="142" t="s">
        <v>55</v>
      </c>
      <c r="K16" s="132">
        <f>SUMIFS(ItemizedBudget1424[Income],ItemizedBudget1424[Frequency],"Monthly",ItemizedBudget1424[Planned Month],"All")</f>
        <v>10598.833333333332</v>
      </c>
      <c r="L16" s="132">
        <f>SUMIFS(ItemizedBudget1424[Income],ItemizedBudget1424[Frequency],"One-Time",ItemizedBudget1424[Planned Month],J16)</f>
        <v>3870.75</v>
      </c>
      <c r="M16" s="132">
        <f>SUMIFS(ItemizedBudget1424[Expenditures],ItemizedBudget1424[Frequency],"Monthly",ItemizedBudget1424[Planned Month],"All")</f>
        <v>11505.793333333333</v>
      </c>
      <c r="N16" s="132">
        <f>SUMIFS(ItemizedBudget1424[Expenditures],ItemizedBudget1424[Spending Category],"Mortgage")</f>
        <v>7550</v>
      </c>
      <c r="O16" s="132">
        <f>SUMIFS(ItemizedBudget1424[Expenditures],ItemizedBudget1424[Spending Category],"Rent - Outgoing",ItemizedBudget1424[Planned Month],J16)</f>
        <v>0</v>
      </c>
      <c r="P16" s="132">
        <f t="shared" si="0"/>
        <v>3955.7933333333331</v>
      </c>
      <c r="Q16" s="132">
        <f>SUMIFS(ItemizedBudget1424[Expenditures],ItemizedBudget1424[Frequency],"One-Time",ItemizedBudget1424[Planned Month],J16)</f>
        <v>550</v>
      </c>
      <c r="R16" s="123">
        <f t="shared" si="1"/>
        <v>2413.7899999999991</v>
      </c>
    </row>
    <row r="17" spans="2:18" x14ac:dyDescent="0.25">
      <c r="B17" s="122" t="s">
        <v>26</v>
      </c>
      <c r="C17" s="59" t="s">
        <v>27</v>
      </c>
      <c r="D17" s="59" t="s">
        <v>28</v>
      </c>
      <c r="E17" s="59" t="s">
        <v>59</v>
      </c>
      <c r="F17" s="25" t="s">
        <v>60</v>
      </c>
      <c r="G17" s="121">
        <v>39</v>
      </c>
      <c r="H17" s="121"/>
      <c r="J17" s="116" t="s">
        <v>57</v>
      </c>
      <c r="K17" s="147">
        <f t="shared" ref="K17:R17" si="2">SUM(K5:K16)</f>
        <v>127185.99999999996</v>
      </c>
      <c r="L17" s="147">
        <f t="shared" si="2"/>
        <v>89027.25</v>
      </c>
      <c r="M17" s="147">
        <f t="shared" si="2"/>
        <v>138069.51999999999</v>
      </c>
      <c r="N17" s="147">
        <f t="shared" si="2"/>
        <v>90600</v>
      </c>
      <c r="O17" s="147">
        <f t="shared" si="2"/>
        <v>0</v>
      </c>
      <c r="P17" s="147">
        <f t="shared" si="2"/>
        <v>47469.520000000011</v>
      </c>
      <c r="Q17" s="147">
        <f t="shared" si="2"/>
        <v>19498</v>
      </c>
      <c r="R17" s="147">
        <f t="shared" si="2"/>
        <v>58645.729999999996</v>
      </c>
    </row>
    <row r="18" spans="2:18" x14ac:dyDescent="0.25">
      <c r="B18" s="122" t="s">
        <v>26</v>
      </c>
      <c r="C18" s="59" t="s">
        <v>27</v>
      </c>
      <c r="D18" s="59" t="s">
        <v>28</v>
      </c>
      <c r="E18" s="59" t="s">
        <v>41</v>
      </c>
      <c r="F18" s="59" t="s">
        <v>41</v>
      </c>
      <c r="G18" s="121">
        <v>175</v>
      </c>
      <c r="H18" s="121"/>
      <c r="M18" s="100"/>
      <c r="N18" s="100"/>
      <c r="O18" s="100"/>
      <c r="P18" s="35"/>
      <c r="Q18" s="35"/>
    </row>
    <row r="19" spans="2:18" ht="26.4" x14ac:dyDescent="0.25">
      <c r="B19" s="122" t="s">
        <v>26</v>
      </c>
      <c r="C19" s="59" t="s">
        <v>27</v>
      </c>
      <c r="D19" s="59" t="s">
        <v>28</v>
      </c>
      <c r="E19" s="59" t="s">
        <v>43</v>
      </c>
      <c r="F19" s="25" t="s">
        <v>43</v>
      </c>
      <c r="G19" s="121">
        <v>600</v>
      </c>
      <c r="H19" s="121"/>
      <c r="J19" s="103" t="s">
        <v>11</v>
      </c>
      <c r="K19" s="65" t="s">
        <v>6</v>
      </c>
      <c r="L19" s="65" t="s">
        <v>15</v>
      </c>
      <c r="M19" s="65" t="s">
        <v>16</v>
      </c>
      <c r="N19" s="141" t="s">
        <v>61</v>
      </c>
      <c r="O19" s="117" t="s">
        <v>62</v>
      </c>
      <c r="P19" s="73"/>
      <c r="Q19" s="73"/>
    </row>
    <row r="20" spans="2:18" x14ac:dyDescent="0.25">
      <c r="B20" s="122" t="s">
        <v>26</v>
      </c>
      <c r="C20" s="59" t="s">
        <v>27</v>
      </c>
      <c r="D20" s="59" t="s">
        <v>28</v>
      </c>
      <c r="E20" s="59" t="s">
        <v>45</v>
      </c>
      <c r="F20" s="59" t="s">
        <v>46</v>
      </c>
      <c r="G20" s="121">
        <v>30</v>
      </c>
      <c r="H20" s="121"/>
      <c r="J20" s="127" t="str">
        <f>INDEX(ItemizedBudget1424[],MATCH(K20,ItemizedBudget1424[Spending Category],0),2)</f>
        <v>Monthly</v>
      </c>
      <c r="K20" s="59" t="str" cm="1">
        <f t="array" ref="K20">INDEX(ItemizedBudget1424[Spending Category], MATCH(0, COUNTIF($K$19:K19,ItemizedBudget1424[Spending Category]), 0))</f>
        <v>Shopping</v>
      </c>
      <c r="L20" s="119">
        <f>SUMIFS(ItemizedBudget1424[Expenditures],ItemizedBudget1424[Spending Category],K20)</f>
        <v>211.58333333333334</v>
      </c>
      <c r="M20" s="119">
        <f>SUMIFS(ItemizedBudget1424[Income],ItemizedBudget1424[Spending Category],K20)</f>
        <v>0</v>
      </c>
      <c r="N20" s="110">
        <f>IF(J20="Monthly",12*L20,L20)</f>
        <v>2539</v>
      </c>
      <c r="O20" s="121">
        <f>IF(J20="Monthly",12*M20,M20)</f>
        <v>0</v>
      </c>
      <c r="P20" s="66"/>
      <c r="Q20" s="66"/>
    </row>
    <row r="21" spans="2:18" x14ac:dyDescent="0.25">
      <c r="B21" s="122" t="s">
        <v>26</v>
      </c>
      <c r="C21" s="59" t="s">
        <v>27</v>
      </c>
      <c r="D21" s="59" t="s">
        <v>28</v>
      </c>
      <c r="E21" s="25" t="s">
        <v>58</v>
      </c>
      <c r="F21" s="25" t="s">
        <v>46</v>
      </c>
      <c r="G21" s="121">
        <f>40/1.5</f>
        <v>26.666666666666668</v>
      </c>
      <c r="H21" s="121"/>
      <c r="J21" s="127" t="str">
        <f>INDEX(ItemizedBudget1424[],MATCH(K21,ItemizedBudget1424[Spending Category],0),2)</f>
        <v>Monthly</v>
      </c>
      <c r="K21" s="59" t="str" cm="1">
        <f t="array" ref="K21">INDEX(ItemizedBudget1424[Spending Category], MATCH(0, COUNTIF($K$19:K20,ItemizedBudget1424[Spending Category]), 0))</f>
        <v>Baby</v>
      </c>
      <c r="L21" s="119">
        <f>SUMIFS(ItemizedBudget1424[Expenditures],ItemizedBudget1424[Spending Category],K21)</f>
        <v>8850</v>
      </c>
      <c r="M21" s="119">
        <f>SUMIFS(ItemizedBudget1424[Income],ItemizedBudget1424[Spending Category],K21)</f>
        <v>0</v>
      </c>
      <c r="N21" s="156">
        <f>IF(J21="Monthly",12*L21,L21)</f>
        <v>106200</v>
      </c>
      <c r="O21" s="121">
        <f t="shared" ref="O21:O39" si="3">IF(J21="Monthly",12*M21,M21)</f>
        <v>0</v>
      </c>
      <c r="P21" s="66"/>
      <c r="Q21" s="66"/>
    </row>
    <row r="22" spans="2:18" x14ac:dyDescent="0.25">
      <c r="B22" s="122" t="s">
        <v>26</v>
      </c>
      <c r="C22" s="59" t="s">
        <v>27</v>
      </c>
      <c r="D22" s="59" t="s">
        <v>28</v>
      </c>
      <c r="E22" s="25" t="s">
        <v>63</v>
      </c>
      <c r="F22" s="25" t="s">
        <v>64</v>
      </c>
      <c r="G22" s="121">
        <v>333</v>
      </c>
      <c r="H22" s="121"/>
      <c r="J22" s="127" t="str">
        <f>INDEX(ItemizedBudget1424[],MATCH(K22,ItemizedBudget1424[Spending Category],0),2)</f>
        <v>Monthly</v>
      </c>
      <c r="K22" s="59" t="str" cm="1">
        <f t="array" ref="K22">INDEX(ItemizedBudget1424[Spending Category], MATCH(0, COUNTIF($K$19:K21,ItemizedBudget1424[Spending Category]), 0))</f>
        <v>Insurance</v>
      </c>
      <c r="L22" s="119">
        <f>SUMIFS(ItemizedBudget1424[Expenditures],ItemizedBudget1424[Spending Category],K22)</f>
        <v>194.71</v>
      </c>
      <c r="M22" s="119">
        <f>SUMIFS(ItemizedBudget1424[Income],ItemizedBudget1424[Spending Category],K22)</f>
        <v>0</v>
      </c>
      <c r="N22" s="110">
        <f t="shared" ref="N22:N26" si="4">IF(J22="Monthly",12*L22,L22)</f>
        <v>2336.52</v>
      </c>
      <c r="O22" s="121">
        <f t="shared" si="3"/>
        <v>0</v>
      </c>
      <c r="P22" s="66"/>
      <c r="Q22" s="66"/>
    </row>
    <row r="23" spans="2:18" x14ac:dyDescent="0.25">
      <c r="B23" s="122" t="s">
        <v>26</v>
      </c>
      <c r="C23" s="59" t="s">
        <v>27</v>
      </c>
      <c r="D23" s="59" t="s">
        <v>28</v>
      </c>
      <c r="E23" s="59" t="s">
        <v>56</v>
      </c>
      <c r="F23" s="25" t="s">
        <v>46</v>
      </c>
      <c r="G23" s="121">
        <v>150</v>
      </c>
      <c r="H23" s="121"/>
      <c r="J23" s="127" t="str">
        <f>INDEX(ItemizedBudget1424[],MATCH(K23,ItemizedBudget1424[Spending Category],0),2)</f>
        <v>Monthly</v>
      </c>
      <c r="K23" s="59" t="str" cm="1">
        <f t="array" ref="K23">INDEX(ItemizedBudget1424[Spending Category], MATCH(0, COUNTIF($K$19:K22,ItemizedBudget1424[Spending Category]), 0))</f>
        <v>Automotive</v>
      </c>
      <c r="L23" s="119">
        <f>SUMIFS(ItemizedBudget1424[Expenditures],ItemizedBudget1424[Spending Category],K23)</f>
        <v>360</v>
      </c>
      <c r="M23" s="119">
        <f>SUMIFS(ItemizedBudget1424[Income],ItemizedBudget1424[Spending Category],K23)</f>
        <v>0</v>
      </c>
      <c r="N23" s="110">
        <f t="shared" si="4"/>
        <v>4320</v>
      </c>
      <c r="O23" s="121">
        <f t="shared" si="3"/>
        <v>0</v>
      </c>
      <c r="P23" s="66"/>
      <c r="Q23" s="66"/>
    </row>
    <row r="24" spans="2:18" x14ac:dyDescent="0.25">
      <c r="B24" s="122" t="s">
        <v>26</v>
      </c>
      <c r="C24" s="59" t="s">
        <v>27</v>
      </c>
      <c r="D24" s="59" t="s">
        <v>28</v>
      </c>
      <c r="E24" s="59" t="s">
        <v>64</v>
      </c>
      <c r="F24" s="25" t="s">
        <v>64</v>
      </c>
      <c r="G24" s="121">
        <v>350</v>
      </c>
      <c r="H24" s="121"/>
      <c r="J24" s="127" t="str">
        <f>INDEX(ItemizedBudget1424[],MATCH(K24,ItemizedBudget1424[Spending Category],0),2)</f>
        <v>Monthly</v>
      </c>
      <c r="K24" s="59" t="str" cm="1">
        <f t="array" ref="K24">INDEX(ItemizedBudget1424[Spending Category], MATCH(0, COUNTIF($K$19:K23,ItemizedBudget1424[Spending Category]), 0))</f>
        <v>Cat</v>
      </c>
      <c r="L24" s="119">
        <f>SUMIFS(ItemizedBudget1424[Expenditures],ItemizedBudget1424[Spending Category],K24)</f>
        <v>1073</v>
      </c>
      <c r="M24" s="119">
        <f>SUMIFS(ItemizedBudget1424[Income],ItemizedBudget1424[Spending Category],K24)</f>
        <v>0</v>
      </c>
      <c r="N24" s="110">
        <f t="shared" si="4"/>
        <v>12876</v>
      </c>
      <c r="O24" s="121">
        <f t="shared" si="3"/>
        <v>0</v>
      </c>
      <c r="P24" s="66"/>
      <c r="Q24" s="66"/>
    </row>
    <row r="25" spans="2:18" x14ac:dyDescent="0.25">
      <c r="B25" s="122" t="s">
        <v>26</v>
      </c>
      <c r="C25" s="59" t="s">
        <v>27</v>
      </c>
      <c r="D25" s="59" t="s">
        <v>28</v>
      </c>
      <c r="E25" s="59" t="s">
        <v>68</v>
      </c>
      <c r="F25" s="59" t="s">
        <v>69</v>
      </c>
      <c r="G25" s="133">
        <v>4450</v>
      </c>
      <c r="H25" s="133"/>
      <c r="J25" s="127" t="str">
        <f>INDEX(ItemizedBudget1424[],MATCH(K25,ItemizedBudget1424[Spending Category],0),2)</f>
        <v>Monthly</v>
      </c>
      <c r="K25" s="59" t="str" cm="1">
        <f t="array" ref="K25">INDEX(ItemizedBudget1424[Spending Category], MATCH(0, COUNTIF($K$19:K24,ItemizedBudget1424[Spending Category]), 0))</f>
        <v>Health</v>
      </c>
      <c r="L25" s="119">
        <f>SUMIFS(ItemizedBudget1424[Expenditures],ItemizedBudget1424[Spending Category],K25)</f>
        <v>1537.5</v>
      </c>
      <c r="M25" s="119">
        <f>SUMIFS(ItemizedBudget1424[Income],ItemizedBudget1424[Spending Category],K25)</f>
        <v>0</v>
      </c>
      <c r="N25" s="110">
        <f t="shared" si="4"/>
        <v>18450</v>
      </c>
      <c r="O25" s="121">
        <f t="shared" si="3"/>
        <v>0</v>
      </c>
      <c r="P25" s="66"/>
      <c r="Q25" s="66"/>
    </row>
    <row r="26" spans="2:18" x14ac:dyDescent="0.25">
      <c r="B26" s="122" t="s">
        <v>26</v>
      </c>
      <c r="C26" s="59" t="s">
        <v>27</v>
      </c>
      <c r="D26" s="59" t="s">
        <v>28</v>
      </c>
      <c r="E26" s="59" t="s">
        <v>54</v>
      </c>
      <c r="F26" s="25" t="s">
        <v>46</v>
      </c>
      <c r="G26" s="121">
        <v>25</v>
      </c>
      <c r="H26" s="121"/>
      <c r="J26" s="127" t="str">
        <f>INDEX(ItemizedBudget1424[],MATCH(K26,ItemizedBudget1424[Spending Category],0),2)</f>
        <v>Monthly</v>
      </c>
      <c r="K26" s="59" t="str" cm="1">
        <f t="array" ref="K26">INDEX(ItemizedBudget1424[Spending Category], MATCH(0, COUNTIF($K$19:K25,ItemizedBudget1424[Spending Category]), 0))</f>
        <v>Utilities</v>
      </c>
      <c r="L26" s="119">
        <f>SUMIFS(ItemizedBudget1424[Expenditures],ItemizedBudget1424[Spending Category],K26)</f>
        <v>135</v>
      </c>
      <c r="M26" s="119">
        <f>SUMIFS(ItemizedBudget1424[Income],ItemizedBudget1424[Spending Category],K26)</f>
        <v>0</v>
      </c>
      <c r="N26" s="110">
        <f t="shared" si="4"/>
        <v>1620</v>
      </c>
      <c r="O26" s="121">
        <f t="shared" si="3"/>
        <v>0</v>
      </c>
      <c r="P26" s="66"/>
      <c r="Q26" s="66"/>
    </row>
    <row r="27" spans="2:18" x14ac:dyDescent="0.25">
      <c r="B27" s="122" t="s">
        <v>26</v>
      </c>
      <c r="C27" s="114" t="s">
        <v>27</v>
      </c>
      <c r="D27" s="114" t="s">
        <v>28</v>
      </c>
      <c r="E27" s="114" t="s">
        <v>70</v>
      </c>
      <c r="F27" s="126" t="s">
        <v>71</v>
      </c>
      <c r="G27" s="134">
        <v>60</v>
      </c>
      <c r="H27" s="121"/>
      <c r="J27" s="127" t="str">
        <f>INDEX(ItemizedBudget1424[],MATCH(K27,ItemizedBudget1424[Spending Category],0),2)</f>
        <v>Monthly</v>
      </c>
      <c r="K27" s="59" t="str" cm="1">
        <f t="array" ref="K27">INDEX(ItemizedBudget1424[Spending Category], MATCH(0, COUNTIF($K$19:K26,ItemizedBudget1424[Spending Category]), 0))</f>
        <v>Job Income</v>
      </c>
      <c r="L27" s="119">
        <f>SUMIFS(ItemizedBudget1424[Expenditures],ItemizedBudget1424[Spending Category],K27)</f>
        <v>0</v>
      </c>
      <c r="M27" s="119">
        <f>SUMIFS(ItemizedBudget1424[Income],ItemizedBudget1424[Spending Category],K27)</f>
        <v>68130.833333333328</v>
      </c>
      <c r="N27" s="110">
        <f>IF(J27="Monthly",12*L27,L27)</f>
        <v>0</v>
      </c>
      <c r="O27" s="121">
        <f t="shared" si="3"/>
        <v>817570</v>
      </c>
      <c r="P27" s="66"/>
      <c r="Q27" s="66"/>
    </row>
    <row r="28" spans="2:18" x14ac:dyDescent="0.25">
      <c r="B28" s="122" t="s">
        <v>90</v>
      </c>
      <c r="C28" s="59" t="s">
        <v>27</v>
      </c>
      <c r="D28" s="59" t="s">
        <v>28</v>
      </c>
      <c r="E28" s="59" t="s">
        <v>99</v>
      </c>
      <c r="F28" s="59" t="s">
        <v>99</v>
      </c>
      <c r="G28" s="121">
        <v>0</v>
      </c>
      <c r="H28" s="121">
        <v>4400</v>
      </c>
      <c r="J28" s="127" t="str">
        <f>INDEX(ItemizedBudget1424[],MATCH(K28,ItemizedBudget1424[Spending Category],0),2)</f>
        <v>Monthly</v>
      </c>
      <c r="K28" s="59" t="str" cm="1">
        <f t="array" ref="K28">INDEX(ItemizedBudget1424[Spending Category], MATCH(0, COUNTIF($K$19:K27,ItemizedBudget1424[Spending Category]), 0))</f>
        <v>Pest</v>
      </c>
      <c r="L28" s="119">
        <f>SUMIFS(ItemizedBudget1424[Expenditures],ItemizedBudget1424[Spending Category],K28)</f>
        <v>39</v>
      </c>
      <c r="M28" s="119">
        <f>SUMIFS(ItemizedBudget1424[Income],ItemizedBudget1424[Spending Category],K28)</f>
        <v>0</v>
      </c>
      <c r="N28" s="110">
        <f t="shared" ref="N28" si="5">IF(J28="Monthly",12*L28,L28)</f>
        <v>468</v>
      </c>
      <c r="O28" s="121">
        <f t="shared" si="3"/>
        <v>0</v>
      </c>
      <c r="P28" s="66"/>
      <c r="Q28" s="66"/>
    </row>
    <row r="29" spans="2:18" x14ac:dyDescent="0.25">
      <c r="B29" s="122" t="s">
        <v>90</v>
      </c>
      <c r="C29" s="59" t="s">
        <v>27</v>
      </c>
      <c r="D29" s="59" t="s">
        <v>28</v>
      </c>
      <c r="E29" s="59" t="s">
        <v>429</v>
      </c>
      <c r="F29" s="59" t="s">
        <v>69</v>
      </c>
      <c r="G29" s="121">
        <v>3100</v>
      </c>
      <c r="H29" s="121"/>
      <c r="J29" s="127" t="str">
        <f>INDEX(ItemizedBudget1424[],MATCH(K29,ItemizedBudget1424[Spending Category],0),2)</f>
        <v>Monthly</v>
      </c>
      <c r="K29" s="59" t="str" cm="1">
        <f t="array" ref="K29">INDEX(ItemizedBudget1424[Spending Category], MATCH(0, COUNTIF($K$19:K28,ItemizedBudget1424[Spending Category]), 0))</f>
        <v>Gas</v>
      </c>
      <c r="L29" s="119">
        <f>SUMIFS(ItemizedBudget1424[Expenditures],ItemizedBudget1424[Spending Category],K29)</f>
        <v>175</v>
      </c>
      <c r="M29" s="119">
        <f>SUMIFS(ItemizedBudget1424[Income],ItemizedBudget1424[Spending Category],K29)</f>
        <v>0</v>
      </c>
      <c r="N29" s="110">
        <f>IF(J29="Monthly",12*L29,L29)</f>
        <v>2100</v>
      </c>
      <c r="O29" s="121">
        <f t="shared" si="3"/>
        <v>0</v>
      </c>
      <c r="P29" s="66"/>
      <c r="Q29" s="66"/>
    </row>
    <row r="30" spans="2:18" x14ac:dyDescent="0.25">
      <c r="B30" s="122" t="s">
        <v>26</v>
      </c>
      <c r="C30" s="59" t="s">
        <v>27</v>
      </c>
      <c r="D30" s="59" t="s">
        <v>28</v>
      </c>
      <c r="E30" s="59" t="s">
        <v>72</v>
      </c>
      <c r="F30" s="25" t="s">
        <v>72</v>
      </c>
      <c r="G30" s="121">
        <v>400</v>
      </c>
      <c r="H30" s="121"/>
      <c r="J30" s="127" t="str">
        <f>INDEX(ItemizedBudget1424[],MATCH(K30,ItemizedBudget1424[Spending Category],0),2)</f>
        <v>Monthly</v>
      </c>
      <c r="K30" s="59" t="str" cm="1">
        <f t="array" ref="K30">INDEX(ItemizedBudget1424[Spending Category], MATCH(0, COUNTIF($K$19:K29,ItemizedBudget1424[Spending Category]), 0))</f>
        <v>Groceries</v>
      </c>
      <c r="L30" s="119">
        <f>SUMIFS(ItemizedBudget1424[Expenditures],ItemizedBudget1424[Spending Category],K30)</f>
        <v>600</v>
      </c>
      <c r="M30" s="119">
        <f>SUMIFS(ItemizedBudget1424[Income],ItemizedBudget1424[Spending Category],K30)</f>
        <v>0</v>
      </c>
      <c r="N30" s="110">
        <f t="shared" ref="N30:N36" si="6">IF(J30="Monthly",12*L30,L30)</f>
        <v>7200</v>
      </c>
      <c r="O30" s="121">
        <f t="shared" si="3"/>
        <v>0</v>
      </c>
      <c r="P30" s="66"/>
      <c r="Q30" s="66"/>
    </row>
    <row r="31" spans="2:18" x14ac:dyDescent="0.25">
      <c r="B31" s="122" t="s">
        <v>26</v>
      </c>
      <c r="C31" s="59" t="s">
        <v>27</v>
      </c>
      <c r="D31" s="59" t="s">
        <v>28</v>
      </c>
      <c r="E31" s="59" t="s">
        <v>32</v>
      </c>
      <c r="F31" s="25" t="s">
        <v>30</v>
      </c>
      <c r="G31" s="121">
        <v>10</v>
      </c>
      <c r="H31" s="121"/>
      <c r="J31" s="127" t="str">
        <f>INDEX(ItemizedBudget1424[],MATCH(K31,ItemizedBudget1424[Spending Category],0),2)</f>
        <v>Monthly</v>
      </c>
      <c r="K31" s="59" t="str" cm="1">
        <f t="array" ref="K31">INDEX(ItemizedBudget1424[Spending Category], MATCH(0, COUNTIF($K$19:K30,ItemizedBudget1424[Spending Category]), 0))</f>
        <v>Miscellaneous</v>
      </c>
      <c r="L31" s="119">
        <f>SUMIFS(ItemizedBudget1424[Expenditures],ItemizedBudget1424[Spending Category],K31)</f>
        <v>683</v>
      </c>
      <c r="M31" s="119">
        <f>SUMIFS(ItemizedBudget1424[Income],ItemizedBudget1424[Spending Category],K31)</f>
        <v>0</v>
      </c>
      <c r="N31" s="110">
        <f t="shared" si="6"/>
        <v>8196</v>
      </c>
      <c r="O31" s="121">
        <f t="shared" si="3"/>
        <v>0</v>
      </c>
      <c r="P31" s="66"/>
      <c r="Q31" s="66"/>
    </row>
    <row r="32" spans="2:18" x14ac:dyDescent="0.25">
      <c r="B32" s="154"/>
      <c r="C32" s="34" t="s">
        <v>27</v>
      </c>
      <c r="D32" s="34" t="s">
        <v>28</v>
      </c>
      <c r="E32" s="34" t="s">
        <v>199</v>
      </c>
      <c r="F32" s="59" t="s">
        <v>422</v>
      </c>
      <c r="G32" s="121">
        <v>150</v>
      </c>
      <c r="H32" s="121"/>
      <c r="J32" s="127" t="str">
        <f>INDEX(ItemizedBudget1424[],MATCH(K32,ItemizedBudget1424[Spending Category],0),2)</f>
        <v>Monthly</v>
      </c>
      <c r="K32" s="59" t="str" cm="1">
        <f t="array" ref="K32">INDEX(ItemizedBudget1424[Spending Category], MATCH(0, COUNTIF($K$19:K31,ItemizedBudget1424[Spending Category]), 0))</f>
        <v>Mortgage</v>
      </c>
      <c r="L32" s="119">
        <f>SUMIFS(ItemizedBudget1424[Expenditures],ItemizedBudget1424[Spending Category],K32)</f>
        <v>7550</v>
      </c>
      <c r="M32" s="119">
        <f>SUMIFS(ItemizedBudget1424[Income],ItemizedBudget1424[Spending Category],K32)</f>
        <v>0</v>
      </c>
      <c r="N32" s="110">
        <f t="shared" si="6"/>
        <v>90600</v>
      </c>
      <c r="O32" s="121">
        <f t="shared" si="3"/>
        <v>0</v>
      </c>
      <c r="P32" s="66"/>
      <c r="Q32" s="66"/>
    </row>
    <row r="33" spans="2:22" x14ac:dyDescent="0.25">
      <c r="B33" s="122"/>
      <c r="C33" s="59" t="s">
        <v>27</v>
      </c>
      <c r="D33" s="59" t="s">
        <v>28</v>
      </c>
      <c r="E33" s="59" t="s">
        <v>78</v>
      </c>
      <c r="F33" s="59" t="s">
        <v>78</v>
      </c>
      <c r="G33" s="121">
        <v>35</v>
      </c>
      <c r="H33" s="121"/>
      <c r="J33" s="127" t="str">
        <f>INDEX(ItemizedBudget1424[],MATCH(K33,ItemizedBudget1424[Spending Category],0),2)</f>
        <v>Monthly</v>
      </c>
      <c r="K33" s="59" t="str" cm="1">
        <f t="array" ref="K33">INDEX(ItemizedBudget1424[Spending Category], MATCH(0, COUNTIF($K$19:K32,ItemizedBudget1424[Spending Category]), 0))</f>
        <v>Phone</v>
      </c>
      <c r="L33" s="119">
        <f>SUMIFS(ItemizedBudget1424[Expenditures],ItemizedBudget1424[Spending Category],K33)</f>
        <v>60</v>
      </c>
      <c r="M33" s="119">
        <f>SUMIFS(ItemizedBudget1424[Income],ItemizedBudget1424[Spending Category],K33)</f>
        <v>0</v>
      </c>
      <c r="N33" s="110">
        <f t="shared" si="6"/>
        <v>720</v>
      </c>
      <c r="O33" s="121">
        <f t="shared" si="3"/>
        <v>0</v>
      </c>
      <c r="P33" s="66"/>
      <c r="Q33" s="66"/>
    </row>
    <row r="34" spans="2:22" x14ac:dyDescent="0.25">
      <c r="B34" s="122" t="s">
        <v>26</v>
      </c>
      <c r="C34" s="59" t="s">
        <v>27</v>
      </c>
      <c r="D34" s="59" t="s">
        <v>28</v>
      </c>
      <c r="E34" s="59" t="s">
        <v>50</v>
      </c>
      <c r="F34" s="25" t="s">
        <v>46</v>
      </c>
      <c r="G34" s="121">
        <v>30</v>
      </c>
      <c r="H34" s="121"/>
      <c r="J34" s="127" t="str">
        <f>INDEX(ItemizedBudget1424[],MATCH(K34,ItemizedBudget1424[Spending Category],0),2)</f>
        <v>Monthly</v>
      </c>
      <c r="K34" s="59" t="str" cm="1">
        <f t="array" ref="K34">INDEX(ItemizedBudget1424[Spending Category], MATCH(0, COUNTIF($K$19:K33,ItemizedBudget1424[Spending Category]), 0))</f>
        <v>Rent - Incoming</v>
      </c>
      <c r="L34" s="119">
        <f>SUMIFS(ItemizedBudget1424[Expenditures],ItemizedBudget1424[Spending Category],K34)</f>
        <v>0</v>
      </c>
      <c r="M34" s="119">
        <f>SUMIFS(ItemizedBudget1424[Income],ItemizedBudget1424[Spending Category],K34)</f>
        <v>4400</v>
      </c>
      <c r="N34" s="110">
        <f t="shared" si="6"/>
        <v>0</v>
      </c>
      <c r="O34" s="121">
        <f t="shared" si="3"/>
        <v>52800</v>
      </c>
      <c r="P34" s="66"/>
      <c r="Q34" s="66"/>
    </row>
    <row r="35" spans="2:22" x14ac:dyDescent="0.25">
      <c r="B35" s="122" t="s">
        <v>26</v>
      </c>
      <c r="C35" s="59" t="s">
        <v>27</v>
      </c>
      <c r="D35" s="59" t="s">
        <v>28</v>
      </c>
      <c r="E35" s="59" t="s">
        <v>48</v>
      </c>
      <c r="F35" s="25" t="s">
        <v>46</v>
      </c>
      <c r="G35" s="121">
        <f>275/6</f>
        <v>45.833333333333336</v>
      </c>
      <c r="H35" s="121"/>
      <c r="J35" s="127" t="str">
        <f>INDEX(ItemizedBudget1424[],MATCH(K35,ItemizedBudget1424[Spending Category],0),2)</f>
        <v>Monthly</v>
      </c>
      <c r="K35" s="59" t="str" cm="1">
        <f t="array" ref="K35">INDEX(ItemizedBudget1424[Spending Category], MATCH(0, COUNTIF($K$19:K34,ItemizedBudget1424[Spending Category]), 0))</f>
        <v>Restaurant</v>
      </c>
      <c r="L35" s="119">
        <f>SUMIFS(ItemizedBudget1424[Expenditures],ItemizedBudget1424[Spending Category],K35)</f>
        <v>400</v>
      </c>
      <c r="M35" s="119">
        <f>SUMIFS(ItemizedBudget1424[Income],ItemizedBudget1424[Spending Category],K35)</f>
        <v>0</v>
      </c>
      <c r="N35" s="110">
        <f t="shared" si="6"/>
        <v>4800</v>
      </c>
      <c r="O35" s="121">
        <f t="shared" si="3"/>
        <v>0</v>
      </c>
      <c r="P35" s="66"/>
      <c r="Q35" s="66"/>
    </row>
    <row r="36" spans="2:22" x14ac:dyDescent="0.25">
      <c r="B36" s="122" t="s">
        <v>26</v>
      </c>
      <c r="C36" s="59" t="s">
        <v>79</v>
      </c>
      <c r="D36" s="59" t="s">
        <v>53</v>
      </c>
      <c r="E36" s="59" t="s">
        <v>80</v>
      </c>
      <c r="F36" s="59" t="s">
        <v>30</v>
      </c>
      <c r="G36" s="121">
        <v>250</v>
      </c>
      <c r="H36" s="121"/>
      <c r="J36" s="127" t="str">
        <f>INDEX(ItemizedBudget1424[],MATCH(K36,ItemizedBudget1424[Spending Category],0),2)</f>
        <v>Monthly</v>
      </c>
      <c r="K36" s="59" t="str" cm="1">
        <f t="array" ref="K36">INDEX(ItemizedBudget1424[Spending Category], MATCH(0, COUNTIF($K$19:K35,ItemizedBudget1424[Spending Category]), 0))</f>
        <v>Trash</v>
      </c>
      <c r="L36" s="119">
        <f>SUMIFS(ItemizedBudget1424[Expenditures],ItemizedBudget1424[Spending Category],K36)</f>
        <v>35</v>
      </c>
      <c r="M36" s="119">
        <f>SUMIFS(ItemizedBudget1424[Income],ItemizedBudget1424[Spending Category],K36)</f>
        <v>0</v>
      </c>
      <c r="N36" s="110">
        <f t="shared" si="6"/>
        <v>420</v>
      </c>
      <c r="O36" s="121">
        <f t="shared" si="3"/>
        <v>0</v>
      </c>
      <c r="P36" s="66"/>
      <c r="Q36" s="66"/>
      <c r="V36" s="148" t="s">
        <v>87</v>
      </c>
    </row>
    <row r="37" spans="2:22" x14ac:dyDescent="0.25">
      <c r="B37" s="122" t="s">
        <v>26</v>
      </c>
      <c r="C37" s="59" t="s">
        <v>79</v>
      </c>
      <c r="D37" s="59" t="s">
        <v>55</v>
      </c>
      <c r="E37" s="59" t="s">
        <v>84</v>
      </c>
      <c r="F37" s="59" t="s">
        <v>85</v>
      </c>
      <c r="G37" s="121">
        <v>550</v>
      </c>
      <c r="H37" s="121"/>
      <c r="J37" s="127" t="str">
        <f>INDEX(ItemizedBudget1424[],MATCH(K37,ItemizedBudget1424[Spending Category],0),2)</f>
        <v>One-Time</v>
      </c>
      <c r="K37" s="59" t="str" cm="1">
        <f t="array" ref="K37">INDEX(ItemizedBudget1424[Spending Category], MATCH(0, COUNTIF($K$19:K36,ItemizedBudget1424[Spending Category]), 0))</f>
        <v>Gifts</v>
      </c>
      <c r="L37" s="119">
        <f>SUMIFS(ItemizedBudget1424[Expenditures],ItemizedBudget1424[Spending Category],K37)</f>
        <v>550</v>
      </c>
      <c r="M37" s="119">
        <f>SUMIFS(ItemizedBudget1424[Income],ItemizedBudget1424[Spending Category],K37)</f>
        <v>0</v>
      </c>
      <c r="N37" s="110">
        <f>IF(J37="Monthly",12*L37,L37)</f>
        <v>550</v>
      </c>
      <c r="O37" s="121">
        <f t="shared" si="3"/>
        <v>0</v>
      </c>
      <c r="P37" s="66"/>
      <c r="Q37" s="66"/>
    </row>
    <row r="38" spans="2:22" x14ac:dyDescent="0.25">
      <c r="B38" s="122" t="s">
        <v>26</v>
      </c>
      <c r="C38" s="59" t="s">
        <v>79</v>
      </c>
      <c r="D38" s="59" t="s">
        <v>36</v>
      </c>
      <c r="E38" s="59" t="s">
        <v>86</v>
      </c>
      <c r="F38" s="59" t="s">
        <v>46</v>
      </c>
      <c r="G38" s="121">
        <v>1200</v>
      </c>
      <c r="H38" s="121"/>
      <c r="J38" s="127" t="str">
        <f>INDEX(ItemizedBudget1424[],MATCH(K38,ItemizedBudget1424[Spending Category],0),2)</f>
        <v>One-Time</v>
      </c>
      <c r="K38" s="59" t="str" cm="1">
        <f t="array" ref="K38">INDEX(ItemizedBudget1424[Spending Category], MATCH(0, COUNTIF($K$19:K37,ItemizedBudget1424[Spending Category]), 0))</f>
        <v>Home Maintenance</v>
      </c>
      <c r="L38" s="119">
        <f>SUMIFS(ItemizedBudget1424[Expenditures],ItemizedBudget1424[Spending Category],K38)</f>
        <v>7050</v>
      </c>
      <c r="M38" s="119">
        <f>SUMIFS(ItemizedBudget1424[Income],ItemizedBudget1424[Spending Category],K38)</f>
        <v>0</v>
      </c>
      <c r="N38" s="110">
        <f t="shared" ref="N38:N39" si="7">IF(J38="Monthly",12*L38,L38)</f>
        <v>7050</v>
      </c>
      <c r="O38" s="121">
        <f t="shared" si="3"/>
        <v>0</v>
      </c>
      <c r="P38" s="66"/>
      <c r="Q38" s="66"/>
    </row>
    <row r="39" spans="2:22" x14ac:dyDescent="0.25">
      <c r="B39" s="122"/>
      <c r="C39" s="59" t="s">
        <v>79</v>
      </c>
      <c r="D39" s="59" t="s">
        <v>53</v>
      </c>
      <c r="E39" s="59" t="s">
        <v>114</v>
      </c>
      <c r="F39" s="59" t="s">
        <v>93</v>
      </c>
      <c r="G39" s="110">
        <v>500</v>
      </c>
      <c r="H39" s="121"/>
      <c r="J39" s="129" t="str">
        <f>INDEX(ItemizedBudget1424[],MATCH(K39,ItemizedBudget1424[Spending Category],0),2)</f>
        <v>One-Time</v>
      </c>
      <c r="K39" s="59" t="str" cm="1">
        <f t="array" ref="K39">INDEX(ItemizedBudget1424[Spending Category], MATCH(0, COUNTIF($K$19:K38,ItemizedBudget1424[Spending Category]), 0))</f>
        <v>Vacation</v>
      </c>
      <c r="L39" s="125">
        <f>SUMIFS(ItemizedBudget1424[Expenditures],ItemizedBudget1424[Spending Category],K39)</f>
        <v>1500</v>
      </c>
      <c r="M39" s="125">
        <f>SUMIFS(ItemizedBudget1424[Income],ItemizedBudget1424[Spending Category],K39)</f>
        <v>0</v>
      </c>
      <c r="N39" s="135">
        <f t="shared" si="7"/>
        <v>1500</v>
      </c>
      <c r="O39" s="124">
        <f t="shared" si="3"/>
        <v>0</v>
      </c>
    </row>
    <row r="40" spans="2:22" x14ac:dyDescent="0.25">
      <c r="B40" s="136" t="s">
        <v>26</v>
      </c>
      <c r="C40" s="114" t="s">
        <v>79</v>
      </c>
      <c r="D40" s="114" t="s">
        <v>38</v>
      </c>
      <c r="E40" s="114" t="s">
        <v>92</v>
      </c>
      <c r="F40" s="114" t="s">
        <v>93</v>
      </c>
      <c r="G40" s="137">
        <v>300</v>
      </c>
      <c r="H40" s="137"/>
      <c r="J40" s="129" t="str">
        <f>INDEX(ItemizedBudget1424[],MATCH(K40,ItemizedBudget1424[Spending Category],0),2)</f>
        <v>One-Time</v>
      </c>
      <c r="K40" s="59" t="str" cm="1">
        <f t="array" ref="K40">INDEX(ItemizedBudget1424[Spending Category], MATCH(0, COUNTIF($K$19:K39,ItemizedBudget1424[Spending Category]), 0))</f>
        <v>Job Income - Maternity Leave</v>
      </c>
      <c r="L40" s="119">
        <f>SUMIFS(ItemizedBudget1424[Expenditures],ItemizedBudget1424[Spending Category],K40)</f>
        <v>0</v>
      </c>
      <c r="M40" s="119">
        <f>SUMIFS(ItemizedBudget1424[Income],ItemizedBudget1424[Spending Category],K40)</f>
        <v>23224.5</v>
      </c>
      <c r="N40" s="119">
        <f t="shared" ref="N40:N44" si="8">IF(J40="Monthly",12*L40,L40)</f>
        <v>0</v>
      </c>
      <c r="O40" s="123">
        <f t="shared" ref="O40:O44" si="9">IF(J40="Monthly",12*M40,M40)</f>
        <v>23224.5</v>
      </c>
    </row>
    <row r="41" spans="2:22" x14ac:dyDescent="0.25">
      <c r="B41" s="136" t="s">
        <v>26</v>
      </c>
      <c r="C41" s="114" t="s">
        <v>79</v>
      </c>
      <c r="D41" s="114" t="s">
        <v>31</v>
      </c>
      <c r="E41" s="126" t="s">
        <v>67</v>
      </c>
      <c r="F41" s="126" t="s">
        <v>66</v>
      </c>
      <c r="G41" s="137">
        <v>0</v>
      </c>
      <c r="H41" s="137">
        <f t="shared" ref="H41:H48" si="10">(3573*26)/12</f>
        <v>7741.5</v>
      </c>
      <c r="J41" s="129" t="str">
        <f>INDEX(ItemizedBudget1424[],MATCH(K41,ItemizedBudget1424[Spending Category],0),2)</f>
        <v>One-Time</v>
      </c>
      <c r="K41" s="59" t="str" cm="1">
        <f t="array" ref="K41">INDEX(ItemizedBudget1424[Spending Category], MATCH(0, COUNTIF($K$19:K40,ItemizedBudget1424[Spending Category]), 0))</f>
        <v>Job Income - 50%</v>
      </c>
      <c r="L41" s="119">
        <f>SUMIFS(ItemizedBudget1424[Expenditures],ItemizedBudget1424[Spending Category],K41)</f>
        <v>0</v>
      </c>
      <c r="M41" s="119">
        <f>SUMIFS(ItemizedBudget1424[Income],ItemizedBudget1424[Spending Category],K41)</f>
        <v>3870.75</v>
      </c>
      <c r="N41" s="119">
        <f t="shared" si="8"/>
        <v>0</v>
      </c>
      <c r="O41" s="123">
        <f t="shared" si="9"/>
        <v>3870.75</v>
      </c>
    </row>
    <row r="42" spans="2:22" x14ac:dyDescent="0.25">
      <c r="B42" s="155"/>
      <c r="C42" s="113" t="s">
        <v>79</v>
      </c>
      <c r="D42" s="113" t="s">
        <v>33</v>
      </c>
      <c r="E42" s="113" t="s">
        <v>67</v>
      </c>
      <c r="F42" s="114" t="s">
        <v>66</v>
      </c>
      <c r="G42" s="137">
        <v>0</v>
      </c>
      <c r="H42" s="137">
        <f t="shared" si="10"/>
        <v>7741.5</v>
      </c>
      <c r="I42" s="67"/>
      <c r="J42" s="129" t="e">
        <f>INDEX(ItemizedBudget1424[],MATCH(K42,ItemizedBudget1424[Spending Category],0),2)</f>
        <v>#N/A</v>
      </c>
      <c r="K42" s="59" t="e" cm="1">
        <f t="array" ref="K42">INDEX(ItemizedBudget1424[Spending Category], MATCH(0, COUNTIF($K$19:K41,ItemizedBudget1424[Spending Category]), 0))</f>
        <v>#N/A</v>
      </c>
      <c r="L42" s="119">
        <f>SUMIFS(ItemizedBudget1424[Expenditures],ItemizedBudget1424[Spending Category],K42)</f>
        <v>0</v>
      </c>
      <c r="M42" s="119">
        <f>SUMIFS(ItemizedBudget1424[Income],ItemizedBudget1424[Spending Category],K42)</f>
        <v>0</v>
      </c>
      <c r="N42" s="119" t="e">
        <f t="shared" si="8"/>
        <v>#N/A</v>
      </c>
      <c r="O42" s="123" t="e">
        <f t="shared" si="9"/>
        <v>#N/A</v>
      </c>
    </row>
    <row r="43" spans="2:22" x14ac:dyDescent="0.25">
      <c r="B43" s="155"/>
      <c r="C43" s="113" t="s">
        <v>79</v>
      </c>
      <c r="D43" s="113" t="s">
        <v>36</v>
      </c>
      <c r="E43" s="113" t="s">
        <v>67</v>
      </c>
      <c r="F43" s="114" t="s">
        <v>66</v>
      </c>
      <c r="G43" s="137">
        <v>0</v>
      </c>
      <c r="H43" s="137">
        <f t="shared" si="10"/>
        <v>7741.5</v>
      </c>
      <c r="J43" s="129" t="e">
        <f>INDEX(ItemizedBudget1424[],MATCH(K43,ItemizedBudget1424[Spending Category],0),2)</f>
        <v>#N/A</v>
      </c>
      <c r="K43" s="59" t="e" cm="1">
        <f t="array" ref="K43">INDEX(ItemizedBudget1424[Spending Category], MATCH(0, COUNTIF($K$19:K42,ItemizedBudget1424[Spending Category]), 0))</f>
        <v>#N/A</v>
      </c>
      <c r="L43" s="119">
        <f>SUMIFS(ItemizedBudget1424[Expenditures],ItemizedBudget1424[Spending Category],K43)</f>
        <v>0</v>
      </c>
      <c r="M43" s="119">
        <f>SUMIFS(ItemizedBudget1424[Income],ItemizedBudget1424[Spending Category],K43)</f>
        <v>0</v>
      </c>
      <c r="N43" s="119" t="e">
        <f t="shared" si="8"/>
        <v>#N/A</v>
      </c>
      <c r="O43" s="123" t="e">
        <f t="shared" si="9"/>
        <v>#N/A</v>
      </c>
    </row>
    <row r="44" spans="2:22" x14ac:dyDescent="0.25">
      <c r="B44" s="155"/>
      <c r="C44" s="113" t="s">
        <v>79</v>
      </c>
      <c r="D44" s="113" t="s">
        <v>38</v>
      </c>
      <c r="E44" s="113" t="s">
        <v>67</v>
      </c>
      <c r="F44" s="114" t="s">
        <v>66</v>
      </c>
      <c r="G44" s="137">
        <v>0</v>
      </c>
      <c r="H44" s="137">
        <f t="shared" si="10"/>
        <v>7741.5</v>
      </c>
      <c r="J44" s="129" t="e">
        <f>INDEX(ItemizedBudget1424[],MATCH(K44,ItemizedBudget1424[Spending Category],0),2)</f>
        <v>#N/A</v>
      </c>
      <c r="K44" s="59" t="e" cm="1">
        <f t="array" ref="K44">INDEX(ItemizedBudget1424[Spending Category], MATCH(0, COUNTIF($K$19:K43,ItemizedBudget1424[Spending Category]), 0))</f>
        <v>#N/A</v>
      </c>
      <c r="L44" s="119">
        <f>SUMIFS(ItemizedBudget1424[Expenditures],ItemizedBudget1424[Spending Category],K44)</f>
        <v>0</v>
      </c>
      <c r="M44" s="119">
        <f>SUMIFS(ItemizedBudget1424[Income],ItemizedBudget1424[Spending Category],K44)</f>
        <v>0</v>
      </c>
      <c r="N44" s="119" t="e">
        <f t="shared" si="8"/>
        <v>#N/A</v>
      </c>
      <c r="O44" s="123" t="e">
        <f t="shared" si="9"/>
        <v>#N/A</v>
      </c>
    </row>
    <row r="45" spans="2:22" x14ac:dyDescent="0.25">
      <c r="B45" s="155"/>
      <c r="C45" s="113" t="s">
        <v>79</v>
      </c>
      <c r="D45" s="113" t="s">
        <v>40</v>
      </c>
      <c r="E45" s="113" t="s">
        <v>67</v>
      </c>
      <c r="F45" s="114" t="s">
        <v>66</v>
      </c>
      <c r="G45" s="137">
        <v>0</v>
      </c>
      <c r="H45" s="137">
        <f t="shared" si="10"/>
        <v>7741.5</v>
      </c>
    </row>
    <row r="46" spans="2:22" x14ac:dyDescent="0.25">
      <c r="B46" s="155"/>
      <c r="C46" s="113" t="s">
        <v>79</v>
      </c>
      <c r="D46" s="113" t="s">
        <v>42</v>
      </c>
      <c r="E46" s="113" t="s">
        <v>67</v>
      </c>
      <c r="F46" s="114" t="s">
        <v>66</v>
      </c>
      <c r="G46" s="137">
        <v>0</v>
      </c>
      <c r="H46" s="137">
        <f t="shared" si="10"/>
        <v>7741.5</v>
      </c>
    </row>
    <row r="47" spans="2:22" x14ac:dyDescent="0.25">
      <c r="B47" s="155"/>
      <c r="C47" s="113" t="s">
        <v>79</v>
      </c>
      <c r="D47" s="113" t="s">
        <v>44</v>
      </c>
      <c r="E47" s="113" t="s">
        <v>67</v>
      </c>
      <c r="F47" s="114" t="s">
        <v>66</v>
      </c>
      <c r="G47" s="137">
        <v>0</v>
      </c>
      <c r="H47" s="137">
        <f t="shared" si="10"/>
        <v>7741.5</v>
      </c>
    </row>
    <row r="48" spans="2:22" x14ac:dyDescent="0.25">
      <c r="B48" s="155"/>
      <c r="C48" s="113" t="s">
        <v>79</v>
      </c>
      <c r="D48" s="113" t="s">
        <v>47</v>
      </c>
      <c r="E48" s="113" t="s">
        <v>67</v>
      </c>
      <c r="F48" s="114" t="s">
        <v>66</v>
      </c>
      <c r="G48" s="137">
        <v>0</v>
      </c>
      <c r="H48" s="137">
        <f t="shared" si="10"/>
        <v>7741.5</v>
      </c>
    </row>
    <row r="49" spans="2:8" x14ac:dyDescent="0.25">
      <c r="B49" s="136"/>
      <c r="C49" s="114" t="s">
        <v>79</v>
      </c>
      <c r="D49" s="114" t="s">
        <v>47</v>
      </c>
      <c r="E49" s="114" t="s">
        <v>113</v>
      </c>
      <c r="F49" s="114" t="s">
        <v>93</v>
      </c>
      <c r="G49" s="134">
        <v>1750</v>
      </c>
      <c r="H49" s="134"/>
    </row>
    <row r="50" spans="2:8" x14ac:dyDescent="0.25">
      <c r="B50" s="136" t="s">
        <v>90</v>
      </c>
      <c r="C50" s="114" t="s">
        <v>79</v>
      </c>
      <c r="D50" s="114" t="s">
        <v>42</v>
      </c>
      <c r="E50" s="114" t="s">
        <v>102</v>
      </c>
      <c r="F50" s="114" t="s">
        <v>102</v>
      </c>
      <c r="G50" s="134">
        <v>1500</v>
      </c>
      <c r="H50" s="134"/>
    </row>
    <row r="51" spans="2:8" x14ac:dyDescent="0.25">
      <c r="B51" s="136" t="s">
        <v>26</v>
      </c>
      <c r="C51" s="114" t="s">
        <v>79</v>
      </c>
      <c r="D51" s="114" t="s">
        <v>36</v>
      </c>
      <c r="E51" s="114" t="s">
        <v>83</v>
      </c>
      <c r="F51" s="114" t="s">
        <v>35</v>
      </c>
      <c r="G51" s="134">
        <f>(58*3)*2</f>
        <v>348</v>
      </c>
      <c r="H51" s="134"/>
    </row>
    <row r="52" spans="2:8" x14ac:dyDescent="0.25">
      <c r="B52" s="136" t="s">
        <v>26</v>
      </c>
      <c r="C52" s="114" t="s">
        <v>79</v>
      </c>
      <c r="D52" s="114" t="s">
        <v>38</v>
      </c>
      <c r="E52" s="114" t="s">
        <v>81</v>
      </c>
      <c r="F52" s="114" t="s">
        <v>35</v>
      </c>
      <c r="G52" s="134">
        <v>300</v>
      </c>
      <c r="H52" s="134"/>
    </row>
    <row r="53" spans="2:8" x14ac:dyDescent="0.25">
      <c r="B53" s="136" t="s">
        <v>26</v>
      </c>
      <c r="C53" s="114" t="s">
        <v>79</v>
      </c>
      <c r="D53" s="114" t="s">
        <v>38</v>
      </c>
      <c r="E53" s="114" t="s">
        <v>82</v>
      </c>
      <c r="F53" s="114" t="s">
        <v>35</v>
      </c>
      <c r="G53" s="137">
        <v>300</v>
      </c>
      <c r="H53" s="137"/>
    </row>
    <row r="54" spans="2:8" x14ac:dyDescent="0.25">
      <c r="B54" s="155"/>
      <c r="C54" s="113" t="s">
        <v>79</v>
      </c>
      <c r="D54" s="113" t="s">
        <v>49</v>
      </c>
      <c r="E54" s="113" t="s">
        <v>424</v>
      </c>
      <c r="F54" s="114" t="s">
        <v>425</v>
      </c>
      <c r="G54" s="137"/>
      <c r="H54" s="137">
        <f>(3573*26)/12</f>
        <v>7741.5</v>
      </c>
    </row>
    <row r="55" spans="2:8" x14ac:dyDescent="0.25">
      <c r="B55" s="155"/>
      <c r="C55" s="113" t="s">
        <v>79</v>
      </c>
      <c r="D55" s="113" t="s">
        <v>51</v>
      </c>
      <c r="E55" s="113" t="s">
        <v>424</v>
      </c>
      <c r="F55" s="114" t="s">
        <v>425</v>
      </c>
      <c r="G55" s="137"/>
      <c r="H55" s="137">
        <f>(3573*26)/12</f>
        <v>7741.5</v>
      </c>
    </row>
    <row r="56" spans="2:8" x14ac:dyDescent="0.25">
      <c r="B56" s="155"/>
      <c r="C56" s="113" t="s">
        <v>79</v>
      </c>
      <c r="D56" s="113" t="s">
        <v>53</v>
      </c>
      <c r="E56" s="113" t="s">
        <v>424</v>
      </c>
      <c r="F56" s="114" t="s">
        <v>425</v>
      </c>
      <c r="G56" s="137"/>
      <c r="H56" s="137">
        <f>(3573*26)/12</f>
        <v>7741.5</v>
      </c>
    </row>
    <row r="57" spans="2:8" x14ac:dyDescent="0.25">
      <c r="B57" s="155"/>
      <c r="C57" s="113" t="s">
        <v>79</v>
      </c>
      <c r="D57" s="113" t="s">
        <v>55</v>
      </c>
      <c r="E57" s="113" t="s">
        <v>67</v>
      </c>
      <c r="F57" s="114" t="s">
        <v>426</v>
      </c>
      <c r="G57" s="137"/>
      <c r="H57" s="137">
        <f>H56*0.5</f>
        <v>3870.75</v>
      </c>
    </row>
    <row r="58" spans="2:8" x14ac:dyDescent="0.25">
      <c r="B58" s="155"/>
      <c r="C58" s="113" t="s">
        <v>79</v>
      </c>
      <c r="D58" s="113" t="s">
        <v>47</v>
      </c>
      <c r="E58" s="113" t="s">
        <v>427</v>
      </c>
      <c r="F58" s="114" t="s">
        <v>422</v>
      </c>
      <c r="G58" s="137">
        <v>5000</v>
      </c>
      <c r="H58" s="137"/>
    </row>
    <row r="59" spans="2:8" x14ac:dyDescent="0.25">
      <c r="B59" s="154"/>
      <c r="C59" s="113" t="s">
        <v>79</v>
      </c>
      <c r="D59" s="34" t="s">
        <v>42</v>
      </c>
      <c r="E59" s="34" t="s">
        <v>195</v>
      </c>
      <c r="F59" s="59" t="s">
        <v>422</v>
      </c>
      <c r="G59" s="120">
        <v>3000</v>
      </c>
      <c r="H59" s="120"/>
    </row>
    <row r="60" spans="2:8" x14ac:dyDescent="0.25">
      <c r="B60" s="155"/>
      <c r="C60" s="113" t="s">
        <v>79</v>
      </c>
      <c r="D60" s="113" t="s">
        <v>38</v>
      </c>
      <c r="E60" s="113" t="s">
        <v>197</v>
      </c>
      <c r="F60" s="114" t="s">
        <v>93</v>
      </c>
      <c r="G60" s="137">
        <v>3000</v>
      </c>
      <c r="H60" s="137"/>
    </row>
    <row r="61" spans="2:8" x14ac:dyDescent="0.25">
      <c r="B61" s="155"/>
      <c r="C61" s="113" t="s">
        <v>79</v>
      </c>
      <c r="D61" s="113" t="s">
        <v>31</v>
      </c>
      <c r="E61" s="113" t="s">
        <v>196</v>
      </c>
      <c r="F61" s="114" t="s">
        <v>93</v>
      </c>
      <c r="G61" s="137">
        <v>1500</v>
      </c>
      <c r="H61" s="137"/>
    </row>
  </sheetData>
  <pageMargins left="0.7" right="0.7" top="0.75" bottom="0.75" header="0.3" footer="0.3"/>
  <tableParts count="3">
    <tablePart r:id="rId1"/>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C439B-077F-4C02-8FA9-8DB34E6B612A}">
  <dimension ref="A1:C5"/>
  <sheetViews>
    <sheetView workbookViewId="0">
      <selection sqref="A1:C5"/>
    </sheetView>
  </sheetViews>
  <sheetFormatPr defaultRowHeight="13.2" x14ac:dyDescent="0.25"/>
  <cols>
    <col min="2" max="2" width="10.88671875" bestFit="1" customWidth="1"/>
  </cols>
  <sheetData>
    <row r="1" spans="1:3" ht="13.8" x14ac:dyDescent="0.25">
      <c r="A1" s="304" t="s">
        <v>127</v>
      </c>
      <c r="B1" s="304"/>
      <c r="C1" s="304"/>
    </row>
    <row r="2" spans="1:3" x14ac:dyDescent="0.25">
      <c r="A2" s="38" t="s">
        <v>128</v>
      </c>
      <c r="B2" s="24">
        <v>17000</v>
      </c>
      <c r="C2" s="5" t="s">
        <v>129</v>
      </c>
    </row>
    <row r="3" spans="1:3" x14ac:dyDescent="0.25">
      <c r="A3" s="38" t="s">
        <v>130</v>
      </c>
      <c r="B3" s="24">
        <v>16000</v>
      </c>
      <c r="C3" s="5" t="s">
        <v>129</v>
      </c>
    </row>
    <row r="4" spans="1:3" x14ac:dyDescent="0.25">
      <c r="A4" s="38"/>
      <c r="B4" s="37"/>
      <c r="C4" s="38"/>
    </row>
    <row r="5" spans="1:3" x14ac:dyDescent="0.25">
      <c r="A5" s="38"/>
      <c r="B5" s="24"/>
      <c r="C5" s="5"/>
    </row>
  </sheetData>
  <mergeCells count="1">
    <mergeCell ref="A1:C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09F5E6-C945-47DB-AFF6-0FFAD917AFBD}">
  <dimension ref="B1:AH63"/>
  <sheetViews>
    <sheetView topLeftCell="D1" zoomScaleNormal="100" workbookViewId="0">
      <selection activeCell="I9" sqref="I9"/>
    </sheetView>
  </sheetViews>
  <sheetFormatPr defaultRowHeight="13.2" x14ac:dyDescent="0.25"/>
  <cols>
    <col min="1" max="1" width="3.44140625" customWidth="1"/>
    <col min="2" max="2" width="30.6640625" bestFit="1" customWidth="1"/>
    <col min="3" max="3" width="17.77734375" bestFit="1" customWidth="1"/>
    <col min="4" max="4" width="10.44140625" bestFit="1" customWidth="1"/>
    <col min="5" max="5" width="12.21875" bestFit="1" customWidth="1"/>
    <col min="6" max="6" width="35.6640625" bestFit="1" customWidth="1"/>
    <col min="7" max="7" width="11.21875" bestFit="1" customWidth="1"/>
    <col min="8" max="8" width="21.6640625" bestFit="1" customWidth="1"/>
    <col min="9" max="9" width="11.44140625" bestFit="1" customWidth="1"/>
    <col min="10" max="10" width="4.21875" customWidth="1"/>
    <col min="11" max="11" width="10.21875" bestFit="1" customWidth="1"/>
    <col min="12" max="12" width="28.44140625" bestFit="1" customWidth="1"/>
    <col min="13" max="13" width="10.5546875" bestFit="1" customWidth="1"/>
    <col min="14" max="14" width="11.44140625" style="2" bestFit="1" customWidth="1"/>
    <col min="15" max="15" width="3.6640625" customWidth="1"/>
    <col min="16" max="16" width="10.5546875" bestFit="1" customWidth="1"/>
    <col min="17" max="17" width="5.21875" bestFit="1" customWidth="1"/>
    <col min="18" max="19" width="12.44140625" bestFit="1" customWidth="1"/>
    <col min="20" max="20" width="11.44140625" bestFit="1" customWidth="1"/>
    <col min="21" max="21" width="17.6640625" bestFit="1" customWidth="1"/>
    <col min="22" max="22" width="11.44140625" bestFit="1" customWidth="1"/>
  </cols>
  <sheetData>
    <row r="1" spans="2:22" x14ac:dyDescent="0.25">
      <c r="K1" s="305" t="s">
        <v>131</v>
      </c>
      <c r="L1" s="306"/>
      <c r="M1" s="306"/>
      <c r="N1" s="306"/>
      <c r="P1" s="306" t="s">
        <v>132</v>
      </c>
      <c r="Q1" s="306"/>
      <c r="R1" s="306"/>
      <c r="S1" s="306"/>
      <c r="T1" s="306"/>
      <c r="U1" s="306"/>
      <c r="V1" s="306"/>
    </row>
    <row r="2" spans="2:22" x14ac:dyDescent="0.25">
      <c r="C2" s="39" t="s">
        <v>20</v>
      </c>
      <c r="E2" s="39" t="s">
        <v>133</v>
      </c>
      <c r="F2" s="39" t="s">
        <v>134</v>
      </c>
      <c r="G2" s="39" t="s">
        <v>135</v>
      </c>
      <c r="H2" s="39" t="s">
        <v>136</v>
      </c>
      <c r="I2" s="31"/>
      <c r="K2" s="39" t="s">
        <v>17</v>
      </c>
      <c r="L2" s="39" t="s">
        <v>13</v>
      </c>
      <c r="M2" s="39" t="s">
        <v>11</v>
      </c>
      <c r="N2" s="149" t="s">
        <v>137</v>
      </c>
      <c r="P2" s="39" t="s">
        <v>17</v>
      </c>
      <c r="Q2" s="39" t="s">
        <v>3</v>
      </c>
      <c r="R2" s="39" t="s">
        <v>138</v>
      </c>
      <c r="S2" s="39" t="s">
        <v>25</v>
      </c>
      <c r="T2" s="39" t="s">
        <v>85</v>
      </c>
      <c r="U2" s="39" t="s">
        <v>139</v>
      </c>
      <c r="V2" s="39" t="s">
        <v>101</v>
      </c>
    </row>
    <row r="3" spans="2:22" x14ac:dyDescent="0.25">
      <c r="B3" s="33" t="s">
        <v>69</v>
      </c>
      <c r="C3" s="7">
        <v>4350</v>
      </c>
      <c r="E3" s="5" t="b">
        <f t="shared" ref="E3:E36" si="0">IF(F3="","",ISNUMBER(MATCH(F3,$L$3:$L$106,0)))</f>
        <v>1</v>
      </c>
      <c r="F3" s="33" t="s">
        <v>140</v>
      </c>
      <c r="G3" s="33" t="s">
        <v>141</v>
      </c>
      <c r="H3" s="33" t="s">
        <v>47</v>
      </c>
      <c r="I3" s="7">
        <v>600</v>
      </c>
      <c r="K3" s="150" t="s">
        <v>55</v>
      </c>
      <c r="L3" s="44" t="s">
        <v>142</v>
      </c>
      <c r="M3" s="19" t="str">
        <f t="shared" ref="M3:M37" si="1">_xlfn.IFNA(IF(L3="Monthly Expense","Monthly",INDEX($F$3:$I$88,MATCH(L3,$F$3:$F$88,0),2))," ")</f>
        <v>Monthly</v>
      </c>
      <c r="N3" s="19">
        <f t="shared" ref="N3:N37" si="2">_xlfn.IFNA(IF(L3="Monthly Expense",$C$27,INDEX($F$3:$I$88,MATCH(L3,$F$3:$F$88,0),4))," ")</f>
        <v>7539.09</v>
      </c>
      <c r="P3" s="34" t="s">
        <v>55</v>
      </c>
      <c r="Q3" s="5">
        <v>2023</v>
      </c>
      <c r="R3" s="8">
        <f>SUM(N3:N6)</f>
        <v>11425.09</v>
      </c>
      <c r="S3" s="8" t="e">
        <f>$C$31-R3</f>
        <v>#REF!</v>
      </c>
      <c r="T3" s="97">
        <f>C34+C35</f>
        <v>14000</v>
      </c>
      <c r="U3" s="10"/>
      <c r="V3" s="5"/>
    </row>
    <row r="4" spans="2:22" x14ac:dyDescent="0.25">
      <c r="B4" s="33" t="s">
        <v>43</v>
      </c>
      <c r="C4" s="7">
        <f>130*4</f>
        <v>520</v>
      </c>
      <c r="D4" s="1"/>
      <c r="E4" s="5" t="b">
        <f t="shared" si="0"/>
        <v>1</v>
      </c>
      <c r="F4" s="33" t="s">
        <v>143</v>
      </c>
      <c r="G4" s="33" t="s">
        <v>141</v>
      </c>
      <c r="H4" s="33"/>
      <c r="I4" s="29">
        <f>(C17*(12-3))</f>
        <v>3069</v>
      </c>
      <c r="K4" s="34" t="s">
        <v>55</v>
      </c>
      <c r="L4" s="45" t="s">
        <v>144</v>
      </c>
      <c r="M4" s="19" t="str">
        <f t="shared" si="1"/>
        <v>One-time</v>
      </c>
      <c r="N4" s="19">
        <f t="shared" si="2"/>
        <v>1086</v>
      </c>
      <c r="P4" s="34" t="s">
        <v>31</v>
      </c>
      <c r="Q4" s="5">
        <v>2024</v>
      </c>
      <c r="R4" s="8">
        <f>SUM(N7:N10)</f>
        <v>7539.09</v>
      </c>
      <c r="S4" s="8" t="e">
        <f t="shared" ref="S4:S15" si="3">$C$31-R4</f>
        <v>#REF!</v>
      </c>
      <c r="T4" s="5"/>
      <c r="U4" s="5"/>
      <c r="V4" s="5"/>
    </row>
    <row r="5" spans="2:22" x14ac:dyDescent="0.25">
      <c r="B5" s="33" t="s">
        <v>70</v>
      </c>
      <c r="C5" s="7">
        <f>25+35</f>
        <v>60</v>
      </c>
      <c r="E5" s="5" t="b">
        <f t="shared" si="0"/>
        <v>1</v>
      </c>
      <c r="F5" s="33" t="s">
        <v>80</v>
      </c>
      <c r="G5" s="33" t="s">
        <v>7</v>
      </c>
      <c r="H5" s="33" t="s">
        <v>53</v>
      </c>
      <c r="I5" s="7">
        <v>250</v>
      </c>
      <c r="K5" s="34" t="s">
        <v>55</v>
      </c>
      <c r="L5" s="45" t="s">
        <v>145</v>
      </c>
      <c r="M5" s="19" t="str">
        <f t="shared" si="1"/>
        <v>One-time</v>
      </c>
      <c r="N5" s="19">
        <f t="shared" si="2"/>
        <v>2300</v>
      </c>
      <c r="P5" s="34" t="s">
        <v>33</v>
      </c>
      <c r="Q5" s="5">
        <v>2024</v>
      </c>
      <c r="R5" s="8">
        <f>SUM(N11:N14)</f>
        <v>7539.09</v>
      </c>
      <c r="S5" s="8" t="e">
        <f>$C$31-R5</f>
        <v>#REF!</v>
      </c>
      <c r="T5" s="5"/>
      <c r="U5" s="19">
        <f>C36</f>
        <v>4620</v>
      </c>
      <c r="V5" s="5"/>
    </row>
    <row r="6" spans="2:22" x14ac:dyDescent="0.25">
      <c r="B6" s="33" t="s">
        <v>72</v>
      </c>
      <c r="C6" s="7">
        <v>300</v>
      </c>
      <c r="D6" s="1"/>
      <c r="E6" s="5" t="b">
        <f t="shared" si="0"/>
        <v>1</v>
      </c>
      <c r="F6" s="33" t="s">
        <v>84</v>
      </c>
      <c r="G6" s="33" t="s">
        <v>141</v>
      </c>
      <c r="H6" s="33" t="s">
        <v>55</v>
      </c>
      <c r="I6" s="7">
        <v>500</v>
      </c>
      <c r="K6" s="34" t="s">
        <v>55</v>
      </c>
      <c r="L6" s="45" t="s">
        <v>84</v>
      </c>
      <c r="M6" s="19" t="str">
        <f t="shared" si="1"/>
        <v>One-time</v>
      </c>
      <c r="N6" s="19">
        <f t="shared" si="2"/>
        <v>500</v>
      </c>
      <c r="P6" s="5" t="s">
        <v>36</v>
      </c>
      <c r="Q6" s="5">
        <v>2024</v>
      </c>
      <c r="R6" s="8">
        <f>SUM(N15:N18)</f>
        <v>13539.09</v>
      </c>
      <c r="S6" s="8" t="e">
        <f>$C$31-R6</f>
        <v>#REF!</v>
      </c>
      <c r="T6" s="5"/>
      <c r="V6" s="20">
        <f>C37+C38+C39</f>
        <v>9816</v>
      </c>
    </row>
    <row r="7" spans="2:22" x14ac:dyDescent="0.25">
      <c r="B7" s="33" t="s">
        <v>41</v>
      </c>
      <c r="C7" s="7">
        <v>175</v>
      </c>
      <c r="E7" s="5" t="b">
        <f t="shared" si="0"/>
        <v>1</v>
      </c>
      <c r="F7" s="33" t="s">
        <v>86</v>
      </c>
      <c r="G7" s="33" t="s">
        <v>141</v>
      </c>
      <c r="H7" s="33" t="s">
        <v>38</v>
      </c>
      <c r="I7" s="29">
        <v>1200</v>
      </c>
      <c r="K7" s="34" t="s">
        <v>31</v>
      </c>
      <c r="L7" s="44" t="s">
        <v>142</v>
      </c>
      <c r="M7" s="19" t="str">
        <f t="shared" si="1"/>
        <v>Monthly</v>
      </c>
      <c r="N7" s="19">
        <f t="shared" si="2"/>
        <v>7539.09</v>
      </c>
      <c r="P7" s="5" t="s">
        <v>38</v>
      </c>
      <c r="Q7" s="5">
        <v>2024</v>
      </c>
      <c r="R7" s="8">
        <f>SUM(N19:N24)</f>
        <v>8529.09</v>
      </c>
      <c r="S7" s="8" t="e">
        <f t="shared" si="3"/>
        <v>#REF!</v>
      </c>
      <c r="T7" s="5"/>
      <c r="U7" s="7"/>
      <c r="V7" s="5"/>
    </row>
    <row r="8" spans="2:22" x14ac:dyDescent="0.25">
      <c r="B8" s="33" t="s">
        <v>29</v>
      </c>
      <c r="C8" s="7">
        <v>125</v>
      </c>
      <c r="E8" s="5" t="b">
        <f t="shared" si="0"/>
        <v>0</v>
      </c>
      <c r="F8" s="33" t="s">
        <v>94</v>
      </c>
      <c r="G8" s="33" t="s">
        <v>141</v>
      </c>
      <c r="H8" s="33" t="s">
        <v>38</v>
      </c>
      <c r="I8" s="29">
        <v>7500</v>
      </c>
      <c r="K8" s="34" t="s">
        <v>31</v>
      </c>
      <c r="L8" s="45"/>
      <c r="M8" s="19" t="str">
        <f t="shared" si="1"/>
        <v xml:space="preserve"> </v>
      </c>
      <c r="N8" s="19" t="str">
        <f t="shared" si="2"/>
        <v xml:space="preserve"> </v>
      </c>
      <c r="P8" s="5" t="s">
        <v>40</v>
      </c>
      <c r="Q8" s="5">
        <v>2024</v>
      </c>
      <c r="R8" s="8">
        <f>SUM(N27:N30)</f>
        <v>7789.09</v>
      </c>
      <c r="S8" s="8" t="e">
        <f t="shared" si="3"/>
        <v>#REF!</v>
      </c>
      <c r="T8" s="5"/>
      <c r="U8" s="5"/>
      <c r="V8" s="5"/>
    </row>
    <row r="9" spans="2:22" x14ac:dyDescent="0.25">
      <c r="B9" s="33" t="s">
        <v>34</v>
      </c>
      <c r="C9" s="7">
        <v>100</v>
      </c>
      <c r="E9" s="5" t="b">
        <f t="shared" si="0"/>
        <v>1</v>
      </c>
      <c r="F9" s="32" t="s">
        <v>144</v>
      </c>
      <c r="G9" s="33" t="s">
        <v>141</v>
      </c>
      <c r="H9" s="32" t="s">
        <v>55</v>
      </c>
      <c r="I9" s="52">
        <v>1086</v>
      </c>
      <c r="K9" s="34" t="s">
        <v>31</v>
      </c>
      <c r="L9" s="46"/>
      <c r="M9" s="19" t="str">
        <f t="shared" si="1"/>
        <v xml:space="preserve"> </v>
      </c>
      <c r="N9" s="19" t="str">
        <f t="shared" si="2"/>
        <v xml:space="preserve"> </v>
      </c>
      <c r="P9" s="5" t="s">
        <v>42</v>
      </c>
      <c r="Q9" s="5">
        <v>2024</v>
      </c>
      <c r="R9" s="8">
        <f>SUM(N31:N34)</f>
        <v>12989.09</v>
      </c>
      <c r="S9" s="8" t="e">
        <f t="shared" si="3"/>
        <v>#REF!</v>
      </c>
      <c r="T9" s="5"/>
      <c r="U9" s="5"/>
      <c r="V9" s="5"/>
    </row>
    <row r="10" spans="2:22" x14ac:dyDescent="0.25">
      <c r="B10" s="33" t="s">
        <v>39</v>
      </c>
      <c r="C10" s="7">
        <v>158.04</v>
      </c>
      <c r="E10" s="5" t="b">
        <f t="shared" si="0"/>
        <v>0</v>
      </c>
      <c r="F10" s="33" t="s">
        <v>146</v>
      </c>
      <c r="G10" s="33" t="s">
        <v>7</v>
      </c>
      <c r="H10" s="33"/>
      <c r="I10" s="29">
        <v>200</v>
      </c>
      <c r="K10" s="34" t="s">
        <v>31</v>
      </c>
      <c r="L10" s="46"/>
      <c r="M10" s="19" t="str">
        <f t="shared" si="1"/>
        <v xml:space="preserve"> </v>
      </c>
      <c r="N10" s="19" t="str">
        <f t="shared" si="2"/>
        <v xml:space="preserve"> </v>
      </c>
      <c r="P10" s="5" t="s">
        <v>44</v>
      </c>
      <c r="Q10" s="5">
        <v>2024</v>
      </c>
      <c r="R10" s="8">
        <f>SUM(N35:N38)</f>
        <v>9739.09</v>
      </c>
      <c r="S10" s="8" t="e">
        <f t="shared" si="3"/>
        <v>#REF!</v>
      </c>
      <c r="T10" s="5"/>
      <c r="U10" s="5"/>
      <c r="V10" s="5"/>
    </row>
    <row r="11" spans="2:22" x14ac:dyDescent="0.25">
      <c r="B11" s="33" t="s">
        <v>73</v>
      </c>
      <c r="C11" s="7">
        <v>200</v>
      </c>
      <c r="E11" s="5" t="b">
        <f t="shared" si="0"/>
        <v>1</v>
      </c>
      <c r="F11" s="33" t="s">
        <v>88</v>
      </c>
      <c r="G11" s="33" t="s">
        <v>7</v>
      </c>
      <c r="H11" s="33" t="s">
        <v>53</v>
      </c>
      <c r="I11" s="42">
        <v>800</v>
      </c>
      <c r="K11" s="34" t="s">
        <v>33</v>
      </c>
      <c r="L11" s="44" t="s">
        <v>142</v>
      </c>
      <c r="M11" s="19" t="str">
        <f t="shared" si="1"/>
        <v>Monthly</v>
      </c>
      <c r="N11" s="19">
        <f t="shared" si="2"/>
        <v>7539.09</v>
      </c>
      <c r="P11" s="5" t="s">
        <v>47</v>
      </c>
      <c r="Q11" s="5">
        <v>2024</v>
      </c>
      <c r="R11" s="8">
        <f>SUM(N39:N46)</f>
        <v>15189.09</v>
      </c>
      <c r="S11" s="8" t="e">
        <f>$C$31-R11</f>
        <v>#REF!</v>
      </c>
      <c r="T11" s="5"/>
      <c r="U11" s="5"/>
      <c r="V11" s="5"/>
    </row>
    <row r="12" spans="2:22" x14ac:dyDescent="0.25">
      <c r="B12" s="33" t="s">
        <v>59</v>
      </c>
      <c r="C12" s="23">
        <v>39</v>
      </c>
      <c r="E12" s="5" t="b">
        <f t="shared" si="0"/>
        <v>1</v>
      </c>
      <c r="F12" s="33" t="s">
        <v>147</v>
      </c>
      <c r="G12" s="33" t="s">
        <v>141</v>
      </c>
      <c r="H12" s="33" t="s">
        <v>51</v>
      </c>
      <c r="I12" s="29">
        <v>5000</v>
      </c>
      <c r="K12" s="34" t="s">
        <v>33</v>
      </c>
      <c r="L12" s="46"/>
      <c r="M12" s="19" t="str">
        <f t="shared" si="1"/>
        <v xml:space="preserve"> </v>
      </c>
      <c r="N12" s="19" t="str">
        <f t="shared" si="2"/>
        <v xml:space="preserve"> </v>
      </c>
      <c r="P12" s="5" t="s">
        <v>49</v>
      </c>
      <c r="Q12" s="5">
        <v>2024</v>
      </c>
      <c r="R12" s="8">
        <f>SUM(N47:N50)</f>
        <v>12344.09</v>
      </c>
      <c r="S12" s="8" t="e">
        <f t="shared" si="3"/>
        <v>#REF!</v>
      </c>
      <c r="T12" s="5"/>
      <c r="U12" s="5"/>
      <c r="V12" s="5"/>
    </row>
    <row r="13" spans="2:22" x14ac:dyDescent="0.25">
      <c r="B13" s="33" t="s">
        <v>75</v>
      </c>
      <c r="C13" s="7">
        <v>9</v>
      </c>
      <c r="E13" s="5" t="b">
        <f t="shared" si="0"/>
        <v>0</v>
      </c>
      <c r="F13" s="33" t="s">
        <v>92</v>
      </c>
      <c r="G13" s="33" t="s">
        <v>7</v>
      </c>
      <c r="H13" s="33" t="s">
        <v>38</v>
      </c>
      <c r="I13" s="29">
        <v>300</v>
      </c>
      <c r="K13" s="34" t="s">
        <v>33</v>
      </c>
      <c r="L13" s="46"/>
      <c r="M13" s="19" t="str">
        <f t="shared" si="1"/>
        <v xml:space="preserve"> </v>
      </c>
      <c r="N13" s="19" t="str">
        <f t="shared" si="2"/>
        <v xml:space="preserve"> </v>
      </c>
      <c r="P13" s="5" t="s">
        <v>51</v>
      </c>
      <c r="Q13" s="5">
        <v>2024</v>
      </c>
      <c r="R13" s="8">
        <f>SUM(N51:N54)</f>
        <v>8789.09</v>
      </c>
      <c r="S13" s="8" t="e">
        <f t="shared" si="3"/>
        <v>#REF!</v>
      </c>
      <c r="T13" s="5"/>
      <c r="U13" s="5"/>
      <c r="V13" s="7">
        <v>1000</v>
      </c>
    </row>
    <row r="14" spans="2:22" x14ac:dyDescent="0.25">
      <c r="B14" s="33" t="s">
        <v>32</v>
      </c>
      <c r="C14" s="7">
        <v>10</v>
      </c>
      <c r="E14" s="5" t="b">
        <f t="shared" si="0"/>
        <v>1</v>
      </c>
      <c r="F14" s="33" t="s">
        <v>148</v>
      </c>
      <c r="G14" s="33" t="s">
        <v>141</v>
      </c>
      <c r="H14" s="33" t="s">
        <v>47</v>
      </c>
      <c r="I14" s="7">
        <v>250</v>
      </c>
      <c r="K14" s="34" t="s">
        <v>33</v>
      </c>
      <c r="L14" s="46"/>
      <c r="M14" s="19" t="str">
        <f t="shared" si="1"/>
        <v xml:space="preserve"> </v>
      </c>
      <c r="N14" s="19" t="str">
        <f t="shared" si="2"/>
        <v xml:space="preserve"> </v>
      </c>
      <c r="P14" s="5" t="s">
        <v>53</v>
      </c>
      <c r="Q14" s="5">
        <v>2024</v>
      </c>
      <c r="R14" s="8">
        <f>SUM(N56:N59)</f>
        <v>8589.09</v>
      </c>
      <c r="S14" s="8" t="e">
        <f t="shared" si="3"/>
        <v>#REF!</v>
      </c>
      <c r="T14" s="5"/>
      <c r="U14" s="5"/>
      <c r="V14" s="5"/>
    </row>
    <row r="15" spans="2:22" x14ac:dyDescent="0.25">
      <c r="B15" s="33" t="s">
        <v>45</v>
      </c>
      <c r="C15" s="7">
        <v>30</v>
      </c>
      <c r="E15" s="5" t="b">
        <f t="shared" si="0"/>
        <v>0</v>
      </c>
      <c r="F15" s="99" t="s">
        <v>149</v>
      </c>
      <c r="G15" s="33" t="s">
        <v>141</v>
      </c>
      <c r="H15" s="33" t="s">
        <v>47</v>
      </c>
      <c r="I15" s="8">
        <f>I10</f>
        <v>200</v>
      </c>
      <c r="K15" s="34" t="s">
        <v>36</v>
      </c>
      <c r="L15" s="44" t="s">
        <v>142</v>
      </c>
      <c r="M15" s="19" t="str">
        <f t="shared" si="1"/>
        <v>Monthly</v>
      </c>
      <c r="N15" s="19">
        <f t="shared" si="2"/>
        <v>7539.09</v>
      </c>
      <c r="P15" s="5" t="s">
        <v>55</v>
      </c>
      <c r="Q15" s="5">
        <v>2024</v>
      </c>
      <c r="R15" s="8">
        <f>SUM(N60:N63)</f>
        <v>10608.09</v>
      </c>
      <c r="S15" s="8" t="e">
        <f t="shared" si="3"/>
        <v>#REF!</v>
      </c>
      <c r="T15" s="5"/>
      <c r="U15" s="5"/>
      <c r="V15" s="8">
        <f>I4</f>
        <v>3069</v>
      </c>
    </row>
    <row r="16" spans="2:22" x14ac:dyDescent="0.25">
      <c r="B16" s="33" t="s">
        <v>48</v>
      </c>
      <c r="C16" s="7">
        <f>275/6</f>
        <v>45.833333333333336</v>
      </c>
      <c r="E16" s="5" t="b">
        <f t="shared" si="0"/>
        <v>1</v>
      </c>
      <c r="F16" s="33" t="s">
        <v>145</v>
      </c>
      <c r="G16" s="33" t="s">
        <v>141</v>
      </c>
      <c r="H16" s="33" t="s">
        <v>55</v>
      </c>
      <c r="I16" s="7">
        <v>2300</v>
      </c>
      <c r="K16" s="34" t="s">
        <v>36</v>
      </c>
      <c r="L16" s="45"/>
      <c r="M16" s="19"/>
      <c r="N16" s="19"/>
      <c r="P16" s="15" t="s">
        <v>4</v>
      </c>
      <c r="Q16" s="15"/>
      <c r="R16" s="151">
        <f>SUM(R3:R15)</f>
        <v>134608.16999999998</v>
      </c>
      <c r="S16" s="151" t="e">
        <f>SUM(S3:S15)</f>
        <v>#REF!</v>
      </c>
      <c r="T16" s="151">
        <f t="shared" ref="T16" si="4">SUM(T3:T15)</f>
        <v>14000</v>
      </c>
      <c r="U16" s="151">
        <f>SUM(U3:U15)</f>
        <v>4620</v>
      </c>
      <c r="V16" s="151">
        <f>SUM(V3:V15)</f>
        <v>13885</v>
      </c>
    </row>
    <row r="17" spans="2:19" x14ac:dyDescent="0.25">
      <c r="B17" s="33" t="s">
        <v>150</v>
      </c>
      <c r="C17" s="7">
        <v>341</v>
      </c>
      <c r="E17" s="5" t="b">
        <f t="shared" si="0"/>
        <v>1</v>
      </c>
      <c r="F17" s="33" t="s">
        <v>151</v>
      </c>
      <c r="G17" s="33" t="s">
        <v>141</v>
      </c>
      <c r="H17" s="33" t="s">
        <v>47</v>
      </c>
      <c r="I17" s="7">
        <f>1100-275</f>
        <v>825</v>
      </c>
      <c r="K17" s="34" t="s">
        <v>36</v>
      </c>
      <c r="L17" s="45" t="s">
        <v>152</v>
      </c>
      <c r="M17" s="19" t="str">
        <f t="shared" si="1"/>
        <v>One-time</v>
      </c>
      <c r="N17" s="19">
        <f t="shared" si="2"/>
        <v>6000</v>
      </c>
      <c r="P17" s="34" t="s">
        <v>153</v>
      </c>
      <c r="Q17" s="5"/>
      <c r="R17" s="5"/>
      <c r="S17" s="49" t="e">
        <f>SUM(S16:V16)</f>
        <v>#REF!</v>
      </c>
    </row>
    <row r="18" spans="2:19" x14ac:dyDescent="0.25">
      <c r="B18" s="33" t="s">
        <v>50</v>
      </c>
      <c r="C18" s="7">
        <v>30</v>
      </c>
      <c r="E18" s="5" t="b">
        <f t="shared" si="0"/>
        <v>1</v>
      </c>
      <c r="F18" s="33" t="s">
        <v>154</v>
      </c>
      <c r="G18" s="33" t="s">
        <v>141</v>
      </c>
      <c r="H18" s="33" t="s">
        <v>47</v>
      </c>
      <c r="I18" s="7">
        <f>1300-150</f>
        <v>1150</v>
      </c>
      <c r="K18" s="34" t="s">
        <v>36</v>
      </c>
      <c r="L18" s="45"/>
      <c r="M18" s="19" t="str">
        <f t="shared" si="1"/>
        <v xml:space="preserve"> </v>
      </c>
      <c r="N18" s="19" t="str">
        <f t="shared" si="2"/>
        <v xml:space="preserve"> </v>
      </c>
    </row>
    <row r="19" spans="2:19" x14ac:dyDescent="0.25">
      <c r="B19" s="33" t="s">
        <v>52</v>
      </c>
      <c r="C19" s="7">
        <v>30</v>
      </c>
      <c r="E19" s="5" t="b">
        <f t="shared" si="0"/>
        <v>1</v>
      </c>
      <c r="F19" s="33" t="s">
        <v>155</v>
      </c>
      <c r="G19" s="33" t="s">
        <v>141</v>
      </c>
      <c r="H19" s="33" t="s">
        <v>47</v>
      </c>
      <c r="I19" s="7">
        <v>275</v>
      </c>
      <c r="K19" s="34" t="s">
        <v>38</v>
      </c>
      <c r="L19" s="44" t="s">
        <v>142</v>
      </c>
      <c r="M19" s="19" t="str">
        <f t="shared" si="1"/>
        <v>Monthly</v>
      </c>
      <c r="N19" s="19">
        <f t="shared" si="2"/>
        <v>7539.09</v>
      </c>
    </row>
    <row r="20" spans="2:19" x14ac:dyDescent="0.25">
      <c r="B20" s="33" t="s">
        <v>54</v>
      </c>
      <c r="C20" s="7">
        <v>25</v>
      </c>
      <c r="E20" s="5" t="b">
        <f t="shared" si="0"/>
        <v>1</v>
      </c>
      <c r="F20" s="33" t="s">
        <v>156</v>
      </c>
      <c r="G20" s="33" t="s">
        <v>141</v>
      </c>
      <c r="H20" s="33" t="s">
        <v>47</v>
      </c>
      <c r="I20" s="7">
        <f>2500-250</f>
        <v>2250</v>
      </c>
      <c r="K20" s="34" t="s">
        <v>38</v>
      </c>
      <c r="L20" s="45"/>
      <c r="M20" s="19" t="str">
        <f t="shared" si="1"/>
        <v xml:space="preserve"> </v>
      </c>
      <c r="N20" s="19" t="str">
        <f t="shared" si="2"/>
        <v xml:space="preserve"> </v>
      </c>
    </row>
    <row r="21" spans="2:19" x14ac:dyDescent="0.25">
      <c r="B21" s="33" t="s">
        <v>64</v>
      </c>
      <c r="C21" s="7">
        <v>300</v>
      </c>
      <c r="E21" s="5" t="b">
        <f t="shared" si="0"/>
        <v>0</v>
      </c>
      <c r="F21" s="33" t="s">
        <v>157</v>
      </c>
      <c r="G21" s="33" t="s">
        <v>158</v>
      </c>
      <c r="H21" s="33"/>
      <c r="I21" s="7">
        <v>600</v>
      </c>
      <c r="K21" s="34" t="s">
        <v>38</v>
      </c>
      <c r="L21" s="46" t="s">
        <v>81</v>
      </c>
      <c r="M21" s="19" t="str">
        <f t="shared" si="1"/>
        <v>Annual</v>
      </c>
      <c r="N21" s="19">
        <f t="shared" si="2"/>
        <v>350</v>
      </c>
    </row>
    <row r="22" spans="2:19" x14ac:dyDescent="0.25">
      <c r="B22" s="33" t="s">
        <v>56</v>
      </c>
      <c r="C22" s="7">
        <v>150</v>
      </c>
      <c r="E22" s="5" t="b">
        <f t="shared" si="0"/>
        <v>1</v>
      </c>
      <c r="F22" s="33" t="s">
        <v>152</v>
      </c>
      <c r="G22" s="33" t="s">
        <v>141</v>
      </c>
      <c r="H22" s="33" t="s">
        <v>36</v>
      </c>
      <c r="I22" s="29">
        <v>6000</v>
      </c>
      <c r="K22" s="34" t="s">
        <v>38</v>
      </c>
      <c r="L22" s="46" t="s">
        <v>82</v>
      </c>
      <c r="M22" s="19" t="str">
        <f t="shared" si="1"/>
        <v>Annual</v>
      </c>
      <c r="N22" s="19">
        <f t="shared" si="2"/>
        <v>350</v>
      </c>
    </row>
    <row r="23" spans="2:19" x14ac:dyDescent="0.25">
      <c r="B23" s="15" t="s">
        <v>63</v>
      </c>
      <c r="C23" s="7">
        <v>333</v>
      </c>
      <c r="E23" s="5" t="b">
        <f t="shared" si="0"/>
        <v>1</v>
      </c>
      <c r="F23" s="33" t="s">
        <v>159</v>
      </c>
      <c r="G23" s="33" t="s">
        <v>141</v>
      </c>
      <c r="H23" s="33" t="s">
        <v>49</v>
      </c>
      <c r="I23" s="29">
        <v>4805</v>
      </c>
      <c r="K23" s="34" t="s">
        <v>38</v>
      </c>
      <c r="L23" s="46"/>
      <c r="M23" s="19" t="str">
        <f t="shared" si="1"/>
        <v xml:space="preserve"> </v>
      </c>
      <c r="N23" s="19" t="str">
        <f t="shared" si="2"/>
        <v xml:space="preserve"> </v>
      </c>
    </row>
    <row r="24" spans="2:19" x14ac:dyDescent="0.25">
      <c r="B24" s="33" t="s">
        <v>76</v>
      </c>
      <c r="C24" s="7">
        <v>135</v>
      </c>
      <c r="E24" s="5" t="b">
        <f t="shared" si="0"/>
        <v>1</v>
      </c>
      <c r="F24" s="33" t="s">
        <v>81</v>
      </c>
      <c r="G24" s="33" t="s">
        <v>7</v>
      </c>
      <c r="H24" s="33"/>
      <c r="I24" s="7">
        <v>350</v>
      </c>
      <c r="K24" s="34" t="s">
        <v>38</v>
      </c>
      <c r="L24" s="46" t="s">
        <v>160</v>
      </c>
      <c r="M24" s="19" t="str">
        <f t="shared" si="1"/>
        <v>One-time</v>
      </c>
      <c r="N24" s="19">
        <f t="shared" si="2"/>
        <v>290</v>
      </c>
    </row>
    <row r="25" spans="2:19" x14ac:dyDescent="0.25">
      <c r="B25" s="15" t="s">
        <v>58</v>
      </c>
      <c r="C25" s="7">
        <f>40/1.5</f>
        <v>26.666666666666668</v>
      </c>
      <c r="E25" s="5" t="b">
        <f t="shared" si="0"/>
        <v>1</v>
      </c>
      <c r="F25" s="33" t="s">
        <v>82</v>
      </c>
      <c r="G25" s="33" t="s">
        <v>7</v>
      </c>
      <c r="H25" s="33"/>
      <c r="I25" s="7">
        <v>350</v>
      </c>
      <c r="K25" s="34" t="s">
        <v>38</v>
      </c>
      <c r="L25" s="46" t="s">
        <v>86</v>
      </c>
      <c r="M25" s="19" t="str">
        <f t="shared" si="1"/>
        <v>One-time</v>
      </c>
      <c r="N25" s="19">
        <f t="shared" si="2"/>
        <v>1200</v>
      </c>
    </row>
    <row r="26" spans="2:19" x14ac:dyDescent="0.25">
      <c r="B26" s="56" t="s">
        <v>161</v>
      </c>
      <c r="C26" s="57">
        <v>46.55</v>
      </c>
      <c r="E26" s="5" t="b">
        <f t="shared" si="0"/>
        <v>0</v>
      </c>
      <c r="F26" s="33" t="s">
        <v>95</v>
      </c>
      <c r="G26" s="33" t="s">
        <v>141</v>
      </c>
      <c r="H26" s="58" t="s">
        <v>36</v>
      </c>
      <c r="I26" s="29">
        <v>2250</v>
      </c>
      <c r="K26" s="34" t="s">
        <v>40</v>
      </c>
      <c r="L26" s="46" t="s">
        <v>162</v>
      </c>
      <c r="M26" s="19" t="str">
        <f t="shared" si="1"/>
        <v>One-time</v>
      </c>
      <c r="N26" s="19">
        <f t="shared" si="2"/>
        <v>500</v>
      </c>
    </row>
    <row r="27" spans="2:19" x14ac:dyDescent="0.25">
      <c r="B27" s="38" t="s">
        <v>4</v>
      </c>
      <c r="C27" s="49">
        <f>SUM(C3:C26)</f>
        <v>7539.09</v>
      </c>
      <c r="E27" s="5" t="b">
        <f t="shared" si="0"/>
        <v>1</v>
      </c>
      <c r="F27" s="33" t="s">
        <v>163</v>
      </c>
      <c r="G27" s="33" t="s">
        <v>141</v>
      </c>
      <c r="H27" s="33" t="s">
        <v>44</v>
      </c>
      <c r="I27" s="7">
        <v>2200</v>
      </c>
      <c r="K27" s="34" t="s">
        <v>40</v>
      </c>
      <c r="L27" s="44" t="s">
        <v>142</v>
      </c>
      <c r="M27" s="19" t="str">
        <f t="shared" si="1"/>
        <v>Monthly</v>
      </c>
      <c r="N27" s="19">
        <f t="shared" si="2"/>
        <v>7539.09</v>
      </c>
    </row>
    <row r="28" spans="2:19" x14ac:dyDescent="0.25">
      <c r="E28" s="5" t="b">
        <f t="shared" si="0"/>
        <v>1</v>
      </c>
      <c r="F28" s="33" t="s">
        <v>164</v>
      </c>
      <c r="G28" s="33" t="s">
        <v>7</v>
      </c>
      <c r="H28" s="33" t="s">
        <v>40</v>
      </c>
      <c r="I28" s="29">
        <v>250</v>
      </c>
      <c r="K28" s="34" t="s">
        <v>40</v>
      </c>
      <c r="L28" s="46"/>
      <c r="M28" s="19" t="str">
        <f t="shared" si="1"/>
        <v xml:space="preserve"> </v>
      </c>
      <c r="N28" s="19" t="str">
        <f t="shared" si="2"/>
        <v xml:space="preserve"> </v>
      </c>
    </row>
    <row r="29" spans="2:19" x14ac:dyDescent="0.25">
      <c r="B29" s="33" t="s">
        <v>165</v>
      </c>
      <c r="C29" s="8" t="e">
        <f>#REF!</f>
        <v>#REF!</v>
      </c>
      <c r="D29" s="1"/>
      <c r="E29" s="5" t="b">
        <f t="shared" si="0"/>
        <v>1</v>
      </c>
      <c r="F29" s="33" t="s">
        <v>126</v>
      </c>
      <c r="G29" s="33" t="s">
        <v>141</v>
      </c>
      <c r="H29" s="33" t="s">
        <v>42</v>
      </c>
      <c r="I29" s="29">
        <v>450</v>
      </c>
      <c r="K29" s="34" t="s">
        <v>40</v>
      </c>
      <c r="L29" s="46" t="s">
        <v>164</v>
      </c>
      <c r="M29" s="19" t="str">
        <f t="shared" si="1"/>
        <v>Annual</v>
      </c>
      <c r="N29" s="19">
        <f t="shared" si="2"/>
        <v>250</v>
      </c>
    </row>
    <row r="30" spans="2:19" x14ac:dyDescent="0.25">
      <c r="B30" s="33" t="s">
        <v>166</v>
      </c>
      <c r="C30" s="8" t="e">
        <f>#REF!</f>
        <v>#REF!</v>
      </c>
      <c r="D30" s="1"/>
      <c r="E30" s="5" t="b">
        <f t="shared" si="0"/>
        <v>1</v>
      </c>
      <c r="F30" s="33" t="s">
        <v>167</v>
      </c>
      <c r="G30" s="33" t="s">
        <v>141</v>
      </c>
      <c r="H30" s="33" t="s">
        <v>51</v>
      </c>
      <c r="I30" s="29">
        <v>750</v>
      </c>
      <c r="K30" s="34" t="s">
        <v>40</v>
      </c>
      <c r="L30" s="46"/>
      <c r="M30" s="19" t="str">
        <f t="shared" si="1"/>
        <v xml:space="preserve"> </v>
      </c>
      <c r="N30" s="19" t="str">
        <f t="shared" si="2"/>
        <v xml:space="preserve"> </v>
      </c>
    </row>
    <row r="31" spans="2:19" x14ac:dyDescent="0.25">
      <c r="B31" s="36" t="s">
        <v>168</v>
      </c>
      <c r="C31" s="49" t="e">
        <f>SUM(C29:C30)*2</f>
        <v>#REF!</v>
      </c>
      <c r="E31" s="5" t="b">
        <f t="shared" si="0"/>
        <v>1</v>
      </c>
      <c r="F31" s="33" t="s">
        <v>169</v>
      </c>
      <c r="G31" s="33" t="s">
        <v>141</v>
      </c>
      <c r="H31" s="33" t="s">
        <v>51</v>
      </c>
      <c r="I31" s="29">
        <v>250</v>
      </c>
      <c r="K31" s="34" t="s">
        <v>42</v>
      </c>
      <c r="L31" s="44" t="s">
        <v>142</v>
      </c>
      <c r="M31" s="19" t="str">
        <f t="shared" si="1"/>
        <v>Monthly</v>
      </c>
      <c r="N31" s="19">
        <f t="shared" si="2"/>
        <v>7539.09</v>
      </c>
    </row>
    <row r="32" spans="2:19" x14ac:dyDescent="0.25">
      <c r="E32" s="5" t="b">
        <f t="shared" si="0"/>
        <v>1</v>
      </c>
      <c r="F32" s="33" t="s">
        <v>170</v>
      </c>
      <c r="G32" s="33" t="s">
        <v>141</v>
      </c>
      <c r="H32" s="33" t="s">
        <v>51</v>
      </c>
      <c r="I32" s="29">
        <v>250</v>
      </c>
      <c r="K32" s="34" t="s">
        <v>42</v>
      </c>
      <c r="L32" s="45" t="s">
        <v>147</v>
      </c>
      <c r="M32" s="19" t="str">
        <f t="shared" si="1"/>
        <v>One-time</v>
      </c>
      <c r="N32" s="19">
        <f t="shared" si="2"/>
        <v>5000</v>
      </c>
    </row>
    <row r="33" spans="2:34" x14ac:dyDescent="0.25">
      <c r="B33" s="39" t="s">
        <v>171</v>
      </c>
      <c r="E33" s="5" t="b">
        <f t="shared" si="0"/>
        <v>1</v>
      </c>
      <c r="F33" s="33" t="s">
        <v>172</v>
      </c>
      <c r="G33" s="33" t="s">
        <v>141</v>
      </c>
      <c r="H33" s="33" t="s">
        <v>51</v>
      </c>
      <c r="I33" s="29">
        <v>2000</v>
      </c>
      <c r="K33" s="34" t="s">
        <v>42</v>
      </c>
      <c r="L33" s="46" t="s">
        <v>126</v>
      </c>
      <c r="M33" s="19" t="str">
        <f t="shared" si="1"/>
        <v>One-time</v>
      </c>
      <c r="N33" s="19">
        <f t="shared" si="2"/>
        <v>450</v>
      </c>
    </row>
    <row r="34" spans="2:34" x14ac:dyDescent="0.25">
      <c r="B34" s="33" t="s">
        <v>173</v>
      </c>
      <c r="C34" s="9">
        <v>7000</v>
      </c>
      <c r="E34" s="5" t="b">
        <f t="shared" si="0"/>
        <v>1</v>
      </c>
      <c r="F34" s="33" t="s">
        <v>160</v>
      </c>
      <c r="G34" s="33" t="s">
        <v>141</v>
      </c>
      <c r="H34" s="33" t="s">
        <v>38</v>
      </c>
      <c r="I34" s="29">
        <f>145*2</f>
        <v>290</v>
      </c>
      <c r="K34" s="34" t="s">
        <v>42</v>
      </c>
      <c r="L34" s="46"/>
      <c r="M34" s="19" t="str">
        <f t="shared" si="1"/>
        <v xml:space="preserve"> </v>
      </c>
      <c r="N34" s="19" t="str">
        <f t="shared" si="2"/>
        <v xml:space="preserve"> </v>
      </c>
      <c r="AH34" s="152" t="s">
        <v>87</v>
      </c>
    </row>
    <row r="35" spans="2:34" x14ac:dyDescent="0.25">
      <c r="B35" s="33" t="s">
        <v>174</v>
      </c>
      <c r="C35" s="9">
        <v>7000</v>
      </c>
      <c r="E35" s="5" t="b">
        <f t="shared" si="0"/>
        <v>1</v>
      </c>
      <c r="F35" s="33" t="s">
        <v>162</v>
      </c>
      <c r="G35" s="33" t="s">
        <v>141</v>
      </c>
      <c r="H35" s="33" t="s">
        <v>40</v>
      </c>
      <c r="I35" s="29">
        <v>500</v>
      </c>
      <c r="K35" s="34" t="s">
        <v>44</v>
      </c>
      <c r="L35" s="44" t="s">
        <v>142</v>
      </c>
      <c r="M35" s="19" t="str">
        <f t="shared" si="1"/>
        <v>Monthly</v>
      </c>
      <c r="N35" s="19">
        <f t="shared" si="2"/>
        <v>7539.09</v>
      </c>
    </row>
    <row r="36" spans="2:34" x14ac:dyDescent="0.25">
      <c r="B36" s="34" t="s">
        <v>175</v>
      </c>
      <c r="C36" s="7">
        <f>6600*0.7</f>
        <v>4620</v>
      </c>
      <c r="E36" s="5" t="str">
        <f t="shared" si="0"/>
        <v/>
      </c>
      <c r="F36" s="33"/>
      <c r="G36" s="33"/>
      <c r="H36" s="33"/>
      <c r="I36" s="29"/>
      <c r="K36" s="34" t="s">
        <v>44</v>
      </c>
      <c r="L36" s="47" t="s">
        <v>163</v>
      </c>
      <c r="M36" s="19" t="str">
        <f t="shared" si="1"/>
        <v>One-time</v>
      </c>
      <c r="N36" s="19">
        <f t="shared" si="2"/>
        <v>2200</v>
      </c>
    </row>
    <row r="37" spans="2:34" x14ac:dyDescent="0.25">
      <c r="B37" s="33" t="s">
        <v>176</v>
      </c>
      <c r="C37" s="7">
        <v>3673</v>
      </c>
      <c r="K37" s="34" t="s">
        <v>44</v>
      </c>
      <c r="L37" s="46"/>
      <c r="M37" s="19" t="str">
        <f t="shared" si="1"/>
        <v xml:space="preserve"> </v>
      </c>
      <c r="N37" s="19" t="str">
        <f t="shared" si="2"/>
        <v xml:space="preserve"> </v>
      </c>
    </row>
    <row r="38" spans="2:34" x14ac:dyDescent="0.25">
      <c r="B38" s="33" t="s">
        <v>177</v>
      </c>
      <c r="C38" s="7">
        <v>-51</v>
      </c>
      <c r="K38" s="34" t="s">
        <v>44</v>
      </c>
      <c r="L38" s="46"/>
      <c r="M38" s="19" t="str">
        <f t="shared" ref="M38:M63" si="5">_xlfn.IFNA(IF(L38="Monthly Expense","Monthly",INDEX($F$3:$I$88,MATCH(L38,$F$3:$F$88,0),2))," ")</f>
        <v xml:space="preserve"> </v>
      </c>
      <c r="N38" s="19" t="str">
        <f t="shared" ref="N38:N63" si="6">_xlfn.IFNA(IF(L38="Monthly Expense",$C$27,INDEX($F$3:$I$88,MATCH(L38,$F$3:$F$88,0),4))," ")</f>
        <v xml:space="preserve"> </v>
      </c>
    </row>
    <row r="39" spans="2:34" x14ac:dyDescent="0.25">
      <c r="B39" s="33" t="s">
        <v>178</v>
      </c>
      <c r="C39" s="7">
        <v>6194</v>
      </c>
      <c r="K39" s="34" t="s">
        <v>47</v>
      </c>
      <c r="L39" s="44" t="s">
        <v>142</v>
      </c>
      <c r="M39" s="19" t="str">
        <f t="shared" si="5"/>
        <v>Monthly</v>
      </c>
      <c r="N39" s="19">
        <f t="shared" si="6"/>
        <v>7539.09</v>
      </c>
    </row>
    <row r="40" spans="2:34" x14ac:dyDescent="0.25">
      <c r="D40" s="112"/>
      <c r="F40" s="31" t="s">
        <v>179</v>
      </c>
      <c r="K40" s="34" t="s">
        <v>47</v>
      </c>
      <c r="L40" s="46" t="s">
        <v>148</v>
      </c>
      <c r="M40" s="19" t="str">
        <f t="shared" si="5"/>
        <v>One-time</v>
      </c>
      <c r="N40" s="19">
        <f t="shared" si="6"/>
        <v>250</v>
      </c>
    </row>
    <row r="41" spans="2:34" x14ac:dyDescent="0.25">
      <c r="B41" s="60" t="s">
        <v>180</v>
      </c>
      <c r="C41" s="104" t="e">
        <f>#REF!+#REF!</f>
        <v>#REF!</v>
      </c>
      <c r="F41" s="96">
        <f>1084.64/C17</f>
        <v>3.1807624633431089</v>
      </c>
      <c r="K41" s="34" t="s">
        <v>47</v>
      </c>
      <c r="L41" s="46" t="s">
        <v>140</v>
      </c>
      <c r="M41" s="19" t="str">
        <f t="shared" si="5"/>
        <v>One-time</v>
      </c>
      <c r="N41" s="19">
        <f t="shared" si="6"/>
        <v>600</v>
      </c>
    </row>
    <row r="42" spans="2:34" x14ac:dyDescent="0.25">
      <c r="B42" s="60" t="s">
        <v>181</v>
      </c>
      <c r="C42" s="60"/>
      <c r="K42" s="34" t="s">
        <v>47</v>
      </c>
      <c r="L42" s="46" t="s">
        <v>145</v>
      </c>
      <c r="M42" s="19" t="str">
        <f t="shared" si="5"/>
        <v>One-time</v>
      </c>
      <c r="N42" s="19">
        <f t="shared" si="6"/>
        <v>2300</v>
      </c>
    </row>
    <row r="43" spans="2:34" x14ac:dyDescent="0.25">
      <c r="K43" s="34" t="s">
        <v>47</v>
      </c>
      <c r="L43" s="46" t="s">
        <v>151</v>
      </c>
      <c r="M43" s="19" t="str">
        <f t="shared" si="5"/>
        <v>One-time</v>
      </c>
      <c r="N43" s="19">
        <f t="shared" si="6"/>
        <v>825</v>
      </c>
    </row>
    <row r="44" spans="2:34" x14ac:dyDescent="0.25">
      <c r="K44" s="34" t="s">
        <v>47</v>
      </c>
      <c r="L44" s="46" t="s">
        <v>155</v>
      </c>
      <c r="M44" s="19" t="str">
        <f t="shared" si="5"/>
        <v>One-time</v>
      </c>
      <c r="N44" s="19">
        <f t="shared" si="6"/>
        <v>275</v>
      </c>
    </row>
    <row r="45" spans="2:34" x14ac:dyDescent="0.25">
      <c r="K45" s="34" t="s">
        <v>47</v>
      </c>
      <c r="L45" s="48" t="s">
        <v>156</v>
      </c>
      <c r="M45" s="19" t="str">
        <f t="shared" si="5"/>
        <v>One-time</v>
      </c>
      <c r="N45" s="19">
        <f t="shared" si="6"/>
        <v>2250</v>
      </c>
    </row>
    <row r="46" spans="2:34" x14ac:dyDescent="0.25">
      <c r="F46" s="108" t="s">
        <v>182</v>
      </c>
      <c r="G46" s="2">
        <v>100</v>
      </c>
      <c r="K46" s="34" t="s">
        <v>47</v>
      </c>
      <c r="L46" s="45" t="s">
        <v>154</v>
      </c>
      <c r="M46" s="19" t="str">
        <f t="shared" si="5"/>
        <v>One-time</v>
      </c>
      <c r="N46" s="19">
        <f t="shared" si="6"/>
        <v>1150</v>
      </c>
    </row>
    <row r="47" spans="2:34" x14ac:dyDescent="0.25">
      <c r="F47" t="s">
        <v>183</v>
      </c>
      <c r="G47" s="2">
        <v>100</v>
      </c>
      <c r="K47" s="34" t="s">
        <v>49</v>
      </c>
      <c r="L47" s="44" t="s">
        <v>142</v>
      </c>
      <c r="M47" s="19" t="str">
        <f t="shared" si="5"/>
        <v>Monthly</v>
      </c>
      <c r="N47" s="19">
        <f t="shared" si="6"/>
        <v>7539.09</v>
      </c>
    </row>
    <row r="48" spans="2:34" x14ac:dyDescent="0.25">
      <c r="F48" t="s">
        <v>184</v>
      </c>
      <c r="G48" s="2">
        <v>100</v>
      </c>
      <c r="K48" s="34" t="s">
        <v>49</v>
      </c>
      <c r="L48" s="45" t="s">
        <v>159</v>
      </c>
      <c r="M48" s="19" t="str">
        <f t="shared" si="5"/>
        <v>One-time</v>
      </c>
      <c r="N48" s="19">
        <f t="shared" si="6"/>
        <v>4805</v>
      </c>
    </row>
    <row r="49" spans="6:14" x14ac:dyDescent="0.25">
      <c r="F49" t="s">
        <v>185</v>
      </c>
      <c r="G49" s="2">
        <v>100</v>
      </c>
      <c r="K49" s="34" t="s">
        <v>49</v>
      </c>
      <c r="L49" s="46"/>
      <c r="M49" s="19" t="str">
        <f t="shared" si="5"/>
        <v xml:space="preserve"> </v>
      </c>
      <c r="N49" s="19" t="str">
        <f t="shared" si="6"/>
        <v xml:space="preserve"> </v>
      </c>
    </row>
    <row r="50" spans="6:14" x14ac:dyDescent="0.25">
      <c r="F50" t="s">
        <v>186</v>
      </c>
      <c r="G50" s="2">
        <v>150</v>
      </c>
      <c r="K50" s="34" t="s">
        <v>49</v>
      </c>
      <c r="L50" s="46"/>
      <c r="M50" s="19" t="str">
        <f t="shared" si="5"/>
        <v xml:space="preserve"> </v>
      </c>
      <c r="N50" s="19" t="str">
        <f t="shared" si="6"/>
        <v xml:space="preserve"> </v>
      </c>
    </row>
    <row r="51" spans="6:14" x14ac:dyDescent="0.25">
      <c r="G51" s="1">
        <f>SUM(G46:G50)</f>
        <v>550</v>
      </c>
      <c r="K51" s="34" t="s">
        <v>51</v>
      </c>
      <c r="L51" s="44" t="s">
        <v>142</v>
      </c>
      <c r="M51" s="19" t="str">
        <f t="shared" si="5"/>
        <v>Monthly</v>
      </c>
      <c r="N51" s="19">
        <f t="shared" si="6"/>
        <v>7539.09</v>
      </c>
    </row>
    <row r="52" spans="6:14" x14ac:dyDescent="0.25">
      <c r="K52" s="34" t="s">
        <v>51</v>
      </c>
      <c r="L52" s="46" t="s">
        <v>167</v>
      </c>
      <c r="M52" s="19" t="str">
        <f t="shared" si="5"/>
        <v>One-time</v>
      </c>
      <c r="N52" s="19">
        <f t="shared" si="6"/>
        <v>750</v>
      </c>
    </row>
    <row r="53" spans="6:14" x14ac:dyDescent="0.25">
      <c r="K53" s="34" t="s">
        <v>51</v>
      </c>
      <c r="L53" s="46" t="s">
        <v>169</v>
      </c>
      <c r="M53" s="19" t="str">
        <f t="shared" si="5"/>
        <v>One-time</v>
      </c>
      <c r="N53" s="19">
        <f t="shared" si="6"/>
        <v>250</v>
      </c>
    </row>
    <row r="54" spans="6:14" x14ac:dyDescent="0.25">
      <c r="K54" s="34" t="s">
        <v>51</v>
      </c>
      <c r="L54" s="46" t="s">
        <v>170</v>
      </c>
      <c r="M54" s="19" t="str">
        <f t="shared" si="5"/>
        <v>One-time</v>
      </c>
      <c r="N54" s="19">
        <f t="shared" si="6"/>
        <v>250</v>
      </c>
    </row>
    <row r="55" spans="6:14" x14ac:dyDescent="0.25">
      <c r="K55" s="34" t="s">
        <v>51</v>
      </c>
      <c r="L55" s="46" t="s">
        <v>172</v>
      </c>
      <c r="M55" s="19" t="str">
        <f t="shared" si="5"/>
        <v>One-time</v>
      </c>
      <c r="N55" s="19">
        <f t="shared" si="6"/>
        <v>2000</v>
      </c>
    </row>
    <row r="56" spans="6:14" x14ac:dyDescent="0.25">
      <c r="K56" s="34" t="s">
        <v>53</v>
      </c>
      <c r="L56" s="44" t="s">
        <v>142</v>
      </c>
      <c r="M56" s="19" t="str">
        <f t="shared" si="5"/>
        <v>Monthly</v>
      </c>
      <c r="N56" s="19">
        <f t="shared" si="6"/>
        <v>7539.09</v>
      </c>
    </row>
    <row r="57" spans="6:14" x14ac:dyDescent="0.25">
      <c r="K57" s="34" t="s">
        <v>53</v>
      </c>
      <c r="L57" s="45" t="s">
        <v>80</v>
      </c>
      <c r="M57" s="19" t="str">
        <f t="shared" si="5"/>
        <v>Annual</v>
      </c>
      <c r="N57" s="19">
        <f t="shared" si="6"/>
        <v>250</v>
      </c>
    </row>
    <row r="58" spans="6:14" x14ac:dyDescent="0.25">
      <c r="K58" s="34" t="s">
        <v>53</v>
      </c>
      <c r="L58" s="45" t="s">
        <v>88</v>
      </c>
      <c r="M58" s="19" t="str">
        <f t="shared" si="5"/>
        <v>Annual</v>
      </c>
      <c r="N58" s="19">
        <f t="shared" si="6"/>
        <v>800</v>
      </c>
    </row>
    <row r="59" spans="6:14" x14ac:dyDescent="0.25">
      <c r="K59" s="34" t="s">
        <v>53</v>
      </c>
      <c r="L59" s="46"/>
      <c r="M59" s="19" t="str">
        <f t="shared" si="5"/>
        <v xml:space="preserve"> </v>
      </c>
      <c r="N59" s="19" t="str">
        <f t="shared" si="6"/>
        <v xml:space="preserve"> </v>
      </c>
    </row>
    <row r="60" spans="6:14" x14ac:dyDescent="0.25">
      <c r="K60" s="34" t="s">
        <v>55</v>
      </c>
      <c r="L60" s="44" t="s">
        <v>142</v>
      </c>
      <c r="M60" s="19" t="str">
        <f t="shared" si="5"/>
        <v>Monthly</v>
      </c>
      <c r="N60" s="19">
        <f t="shared" si="6"/>
        <v>7539.09</v>
      </c>
    </row>
    <row r="61" spans="6:14" x14ac:dyDescent="0.25">
      <c r="K61" s="34" t="s">
        <v>55</v>
      </c>
      <c r="L61" s="46" t="s">
        <v>143</v>
      </c>
      <c r="M61" s="19" t="str">
        <f t="shared" si="5"/>
        <v>One-time</v>
      </c>
      <c r="N61" s="19">
        <f t="shared" si="6"/>
        <v>3069</v>
      </c>
    </row>
    <row r="62" spans="6:14" x14ac:dyDescent="0.25">
      <c r="K62" s="34" t="s">
        <v>55</v>
      </c>
      <c r="L62" s="46"/>
      <c r="M62" s="19" t="str">
        <f t="shared" si="5"/>
        <v xml:space="preserve"> </v>
      </c>
      <c r="N62" s="19" t="str">
        <f t="shared" si="6"/>
        <v xml:space="preserve"> </v>
      </c>
    </row>
    <row r="63" spans="6:14" x14ac:dyDescent="0.25">
      <c r="K63" s="34" t="s">
        <v>55</v>
      </c>
      <c r="L63" s="46"/>
      <c r="M63" s="19" t="str">
        <f t="shared" si="5"/>
        <v xml:space="preserve"> </v>
      </c>
      <c r="N63" s="19" t="str">
        <f t="shared" si="6"/>
        <v xml:space="preserve"> </v>
      </c>
    </row>
  </sheetData>
  <autoFilter ref="E2:I36" xr:uid="{7C09F5E6-C945-47DB-AFF6-0FFAD917AFBD}">
    <sortState xmlns:xlrd2="http://schemas.microsoft.com/office/spreadsheetml/2017/richdata2" ref="E3:I36">
      <sortCondition ref="F2:F36"/>
    </sortState>
  </autoFilter>
  <mergeCells count="2">
    <mergeCell ref="K1:N1"/>
    <mergeCell ref="P1:V1"/>
  </mergeCells>
  <phoneticPr fontId="6" type="noConversion"/>
  <conditionalFormatting sqref="E3:E100">
    <cfRule type="containsText" dxfId="3" priority="1" operator="containsText" text="FALSE">
      <formula>NOT(ISERROR(SEARCH("FALSE",E3)))</formula>
    </cfRule>
  </conditionalFormatting>
  <dataValidations count="1">
    <dataValidation type="list" allowBlank="1" showInputMessage="1" showErrorMessage="1" sqref="L3:M1048576" xr:uid="{46CD4B9A-6AAA-46DE-A509-29BE3C6EEB88}">
      <formula1>$F$3:$F$160</formula1>
    </dataValidation>
  </dataValidation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413FB-5B8E-481C-9861-4DCC193B064D}">
  <dimension ref="B1:AG59"/>
  <sheetViews>
    <sheetView zoomScale="111" zoomScaleNormal="85" workbookViewId="0">
      <selection activeCell="I41" sqref="I41"/>
    </sheetView>
  </sheetViews>
  <sheetFormatPr defaultRowHeight="13.2" x14ac:dyDescent="0.25"/>
  <cols>
    <col min="1" max="1" width="3.44140625" customWidth="1"/>
    <col min="2" max="2" width="30.6640625" bestFit="1" customWidth="1"/>
    <col min="3" max="3" width="17.77734375" bestFit="1" customWidth="1"/>
    <col min="4" max="4" width="4.77734375" customWidth="1"/>
    <col min="5" max="5" width="12.21875" bestFit="1" customWidth="1"/>
    <col min="6" max="6" width="33" bestFit="1" customWidth="1"/>
    <col min="7" max="7" width="11.21875" bestFit="1" customWidth="1"/>
    <col min="8" max="8" width="21.6640625" bestFit="1" customWidth="1"/>
    <col min="9" max="9" width="11.44140625" bestFit="1" customWidth="1"/>
    <col min="10" max="10" width="4.21875" customWidth="1"/>
    <col min="11" max="11" width="10.21875" bestFit="1" customWidth="1"/>
    <col min="12" max="12" width="28.44140625" bestFit="1" customWidth="1"/>
    <col min="13" max="13" width="10.5546875" bestFit="1" customWidth="1"/>
    <col min="14" max="14" width="10.44140625" style="2" bestFit="1" customWidth="1"/>
    <col min="15" max="15" width="3.6640625" customWidth="1"/>
    <col min="16" max="16" width="10.5546875" bestFit="1" customWidth="1"/>
    <col min="17" max="17" width="5.21875" bestFit="1" customWidth="1"/>
    <col min="18" max="20" width="11.44140625" bestFit="1" customWidth="1"/>
    <col min="21" max="21" width="10.44140625" bestFit="1" customWidth="1"/>
  </cols>
  <sheetData>
    <row r="1" spans="2:21" x14ac:dyDescent="0.25">
      <c r="K1" s="305" t="s">
        <v>187</v>
      </c>
      <c r="L1" s="306"/>
      <c r="M1" s="306"/>
      <c r="N1" s="306"/>
      <c r="P1" s="306" t="s">
        <v>188</v>
      </c>
      <c r="Q1" s="306"/>
      <c r="R1" s="306"/>
      <c r="S1" s="306"/>
      <c r="T1" s="306"/>
      <c r="U1" s="306"/>
    </row>
    <row r="2" spans="2:21" x14ac:dyDescent="0.25">
      <c r="C2" s="39" t="s">
        <v>20</v>
      </c>
      <c r="E2" s="39" t="s">
        <v>133</v>
      </c>
      <c r="F2" s="39" t="s">
        <v>134</v>
      </c>
      <c r="G2" s="39" t="s">
        <v>135</v>
      </c>
      <c r="H2" s="39" t="s">
        <v>136</v>
      </c>
      <c r="I2" s="31"/>
      <c r="K2" s="39" t="s">
        <v>17</v>
      </c>
      <c r="L2" s="39" t="s">
        <v>13</v>
      </c>
      <c r="M2" s="39" t="s">
        <v>11</v>
      </c>
      <c r="N2" s="149" t="s">
        <v>137</v>
      </c>
      <c r="P2" s="39" t="s">
        <v>17</v>
      </c>
      <c r="Q2" s="39" t="s">
        <v>3</v>
      </c>
      <c r="R2" s="39" t="s">
        <v>138</v>
      </c>
      <c r="S2" s="39" t="s">
        <v>25</v>
      </c>
      <c r="T2" s="39" t="s">
        <v>85</v>
      </c>
      <c r="U2" s="39" t="s">
        <v>189</v>
      </c>
    </row>
    <row r="3" spans="2:21" x14ac:dyDescent="0.25">
      <c r="B3" s="33" t="s">
        <v>69</v>
      </c>
      <c r="C3" s="52"/>
      <c r="E3" s="5" t="b">
        <f t="shared" ref="E3:E12" si="0">IF(F3="","",ISNUMBER(MATCH(F3,$L$3:$L$102,0)))</f>
        <v>0</v>
      </c>
      <c r="F3" s="33" t="s">
        <v>80</v>
      </c>
      <c r="G3" s="33" t="s">
        <v>7</v>
      </c>
      <c r="H3" s="33"/>
      <c r="I3" s="7">
        <v>250</v>
      </c>
      <c r="K3" s="150" t="s">
        <v>55</v>
      </c>
      <c r="L3" s="44" t="s">
        <v>142</v>
      </c>
      <c r="M3" s="19" t="str">
        <f t="shared" ref="M3:M59" si="1">_xlfn.IFNA(IF(L3="Monthly Expense","Monthly",INDEX($F$3:$I$88,MATCH(L3,$F$3:$F$88,0),2))," ")</f>
        <v>Monthly</v>
      </c>
      <c r="N3" s="19">
        <f t="shared" ref="N3:N59" si="2">_xlfn.IFNA(IF(L3="Monthly Expense",$C$25,INDEX($F$3:$I$88,MATCH(L3,$F$3:$F$88,0),4))," ")</f>
        <v>2155.2899999999995</v>
      </c>
      <c r="P3" s="34" t="s">
        <v>31</v>
      </c>
      <c r="Q3" s="5">
        <v>2024</v>
      </c>
      <c r="R3" s="8">
        <f>SUM(N7:N10)</f>
        <v>2155.2899999999995</v>
      </c>
      <c r="S3" s="8" t="e">
        <f t="shared" ref="S3:S14" si="3">$C$31-R3</f>
        <v>#REF!</v>
      </c>
      <c r="T3" s="5"/>
      <c r="U3" s="5"/>
    </row>
    <row r="4" spans="2:21" x14ac:dyDescent="0.25">
      <c r="B4" s="33" t="s">
        <v>43</v>
      </c>
      <c r="C4" s="7">
        <f>130*4</f>
        <v>520</v>
      </c>
      <c r="D4" s="1"/>
      <c r="E4" s="5" t="b">
        <f t="shared" si="0"/>
        <v>1</v>
      </c>
      <c r="F4" s="33" t="s">
        <v>84</v>
      </c>
      <c r="G4" s="33" t="s">
        <v>141</v>
      </c>
      <c r="H4" s="33" t="s">
        <v>55</v>
      </c>
      <c r="I4" s="7">
        <v>550</v>
      </c>
      <c r="K4" s="34" t="s">
        <v>55</v>
      </c>
      <c r="L4" s="45"/>
      <c r="M4" s="19" t="str">
        <f t="shared" si="1"/>
        <v xml:space="preserve"> </v>
      </c>
      <c r="N4" s="19" t="str">
        <f t="shared" si="2"/>
        <v xml:space="preserve"> </v>
      </c>
      <c r="P4" s="34" t="s">
        <v>33</v>
      </c>
      <c r="Q4" s="5">
        <v>2024</v>
      </c>
      <c r="R4" s="8">
        <f>SUM(N11:N14)</f>
        <v>2155.2899999999995</v>
      </c>
      <c r="S4" s="8" t="e">
        <f>$C$31-R4</f>
        <v>#REF!</v>
      </c>
      <c r="T4" s="5"/>
      <c r="U4" s="5"/>
    </row>
    <row r="5" spans="2:21" x14ac:dyDescent="0.25">
      <c r="B5" s="33" t="s">
        <v>70</v>
      </c>
      <c r="C5" s="7">
        <v>50</v>
      </c>
      <c r="E5" s="5" t="b">
        <f t="shared" si="0"/>
        <v>1</v>
      </c>
      <c r="F5" s="33" t="s">
        <v>86</v>
      </c>
      <c r="G5" s="33" t="s">
        <v>141</v>
      </c>
      <c r="H5" s="33" t="s">
        <v>36</v>
      </c>
      <c r="I5" s="29">
        <v>1200</v>
      </c>
      <c r="K5" s="34" t="s">
        <v>55</v>
      </c>
      <c r="L5" s="45"/>
      <c r="M5" s="19" t="str">
        <f t="shared" si="1"/>
        <v xml:space="preserve"> </v>
      </c>
      <c r="N5" s="19" t="str">
        <f t="shared" si="2"/>
        <v xml:space="preserve"> </v>
      </c>
      <c r="P5" s="5" t="s">
        <v>36</v>
      </c>
      <c r="Q5" s="5">
        <v>2024</v>
      </c>
      <c r="R5" s="8">
        <f>SUM(N15:N18)</f>
        <v>3703.2899999999995</v>
      </c>
      <c r="S5" s="8" t="e">
        <f>$C$31-R5</f>
        <v>#REF!</v>
      </c>
      <c r="T5" s="5"/>
      <c r="U5" s="8">
        <v>3100</v>
      </c>
    </row>
    <row r="6" spans="2:21" x14ac:dyDescent="0.25">
      <c r="B6" s="33" t="s">
        <v>72</v>
      </c>
      <c r="C6" s="7">
        <v>300</v>
      </c>
      <c r="D6" s="1"/>
      <c r="E6" s="5" t="b">
        <f t="shared" si="0"/>
        <v>1</v>
      </c>
      <c r="F6" s="33" t="s">
        <v>88</v>
      </c>
      <c r="G6" s="33" t="s">
        <v>7</v>
      </c>
      <c r="H6" s="33" t="s">
        <v>53</v>
      </c>
      <c r="I6" s="42">
        <v>750</v>
      </c>
      <c r="K6" s="34" t="s">
        <v>55</v>
      </c>
      <c r="L6" s="45" t="s">
        <v>84</v>
      </c>
      <c r="M6" s="19" t="str">
        <f t="shared" si="1"/>
        <v>One-time</v>
      </c>
      <c r="N6" s="19">
        <f t="shared" si="2"/>
        <v>550</v>
      </c>
      <c r="P6" s="5" t="s">
        <v>38</v>
      </c>
      <c r="Q6" s="5">
        <v>2024</v>
      </c>
      <c r="R6" s="8">
        <f>SUM(N19:N22)</f>
        <v>2755.2899999999995</v>
      </c>
      <c r="S6" s="8" t="e">
        <f t="shared" si="3"/>
        <v>#REF!</v>
      </c>
      <c r="T6" s="5"/>
      <c r="U6" s="5"/>
    </row>
    <row r="7" spans="2:21" x14ac:dyDescent="0.25">
      <c r="B7" s="33" t="s">
        <v>41</v>
      </c>
      <c r="C7" s="7">
        <v>175</v>
      </c>
      <c r="E7" s="5" t="b">
        <f t="shared" si="0"/>
        <v>1</v>
      </c>
      <c r="F7" s="33" t="s">
        <v>92</v>
      </c>
      <c r="G7" s="33" t="s">
        <v>7</v>
      </c>
      <c r="H7" s="33" t="s">
        <v>38</v>
      </c>
      <c r="I7" s="29">
        <v>300</v>
      </c>
      <c r="K7" s="34" t="s">
        <v>31</v>
      </c>
      <c r="L7" s="44" t="s">
        <v>142</v>
      </c>
      <c r="M7" s="19" t="str">
        <f t="shared" si="1"/>
        <v>Monthly</v>
      </c>
      <c r="N7" s="19">
        <f t="shared" si="2"/>
        <v>2155.2899999999995</v>
      </c>
      <c r="P7" s="5" t="s">
        <v>40</v>
      </c>
      <c r="Q7" s="5">
        <v>2024</v>
      </c>
      <c r="R7" s="8">
        <f>SUM(N24:N27)</f>
        <v>2155.2899999999995</v>
      </c>
      <c r="S7" s="8" t="e">
        <f t="shared" si="3"/>
        <v>#REF!</v>
      </c>
      <c r="T7" s="5"/>
      <c r="U7" s="5"/>
    </row>
    <row r="8" spans="2:21" x14ac:dyDescent="0.25">
      <c r="B8" s="33" t="s">
        <v>29</v>
      </c>
      <c r="C8" s="7">
        <v>125</v>
      </c>
      <c r="E8" s="5" t="b">
        <f t="shared" si="0"/>
        <v>0</v>
      </c>
      <c r="F8" s="33" t="s">
        <v>157</v>
      </c>
      <c r="G8" s="33" t="s">
        <v>158</v>
      </c>
      <c r="H8" s="33"/>
      <c r="I8" s="7">
        <v>600</v>
      </c>
      <c r="K8" s="34" t="s">
        <v>31</v>
      </c>
      <c r="L8" s="45"/>
      <c r="M8" s="19" t="str">
        <f t="shared" si="1"/>
        <v xml:space="preserve"> </v>
      </c>
      <c r="N8" s="19" t="str">
        <f t="shared" si="2"/>
        <v xml:space="preserve"> </v>
      </c>
      <c r="P8" s="5" t="s">
        <v>42</v>
      </c>
      <c r="Q8" s="5">
        <v>2024</v>
      </c>
      <c r="R8" s="8">
        <f>SUM(N28:N31)</f>
        <v>2155.2899999999995</v>
      </c>
      <c r="S8" s="8" t="e">
        <f t="shared" si="3"/>
        <v>#REF!</v>
      </c>
      <c r="T8" s="5"/>
      <c r="U8" s="5"/>
    </row>
    <row r="9" spans="2:21" x14ac:dyDescent="0.25">
      <c r="B9" s="33" t="s">
        <v>34</v>
      </c>
      <c r="C9" s="7">
        <v>75</v>
      </c>
      <c r="E9" s="5" t="b">
        <f t="shared" si="0"/>
        <v>1</v>
      </c>
      <c r="F9" s="32" t="s">
        <v>102</v>
      </c>
      <c r="G9" s="33" t="s">
        <v>141</v>
      </c>
      <c r="H9" s="32" t="s">
        <v>42</v>
      </c>
      <c r="I9" s="7">
        <v>0</v>
      </c>
      <c r="K9" s="34" t="s">
        <v>31</v>
      </c>
      <c r="L9" s="46"/>
      <c r="M9" s="19" t="str">
        <f t="shared" si="1"/>
        <v xml:space="preserve"> </v>
      </c>
      <c r="N9" s="19" t="str">
        <f t="shared" si="2"/>
        <v xml:space="preserve"> </v>
      </c>
      <c r="P9" s="5" t="s">
        <v>44</v>
      </c>
      <c r="Q9" s="5">
        <v>2024</v>
      </c>
      <c r="R9" s="8">
        <f>SUM(N32:N35)</f>
        <v>2155.2899999999995</v>
      </c>
      <c r="S9" s="8" t="e">
        <f t="shared" si="3"/>
        <v>#REF!</v>
      </c>
      <c r="T9" s="5"/>
      <c r="U9" s="5"/>
    </row>
    <row r="10" spans="2:21" x14ac:dyDescent="0.25">
      <c r="B10" s="33" t="s">
        <v>39</v>
      </c>
      <c r="C10" s="7">
        <v>158.04</v>
      </c>
      <c r="E10" s="5" t="b">
        <f t="shared" si="0"/>
        <v>1</v>
      </c>
      <c r="F10" s="33" t="s">
        <v>81</v>
      </c>
      <c r="G10" s="33" t="s">
        <v>7</v>
      </c>
      <c r="H10" s="33" t="s">
        <v>38</v>
      </c>
      <c r="I10" s="7">
        <v>300</v>
      </c>
      <c r="K10" s="34" t="s">
        <v>31</v>
      </c>
      <c r="L10" s="46"/>
      <c r="M10" s="19" t="str">
        <f t="shared" si="1"/>
        <v xml:space="preserve"> </v>
      </c>
      <c r="N10" s="19" t="str">
        <f t="shared" si="2"/>
        <v xml:space="preserve"> </v>
      </c>
      <c r="P10" s="5" t="s">
        <v>47</v>
      </c>
      <c r="Q10" s="5">
        <v>2024</v>
      </c>
      <c r="R10" s="8">
        <f>SUM(N36:N43)</f>
        <v>2155.2899999999995</v>
      </c>
      <c r="S10" s="8" t="e">
        <f>$C$31-R10</f>
        <v>#REF!</v>
      </c>
      <c r="T10" s="5"/>
      <c r="U10" s="5"/>
    </row>
    <row r="11" spans="2:21" x14ac:dyDescent="0.25">
      <c r="B11" s="33" t="s">
        <v>73</v>
      </c>
      <c r="C11" s="7">
        <v>200</v>
      </c>
      <c r="E11" s="5" t="b">
        <f t="shared" si="0"/>
        <v>1</v>
      </c>
      <c r="F11" s="33" t="s">
        <v>82</v>
      </c>
      <c r="G11" s="33" t="s">
        <v>7</v>
      </c>
      <c r="H11" s="33" t="s">
        <v>38</v>
      </c>
      <c r="I11" s="7">
        <v>300</v>
      </c>
      <c r="K11" s="34" t="s">
        <v>33</v>
      </c>
      <c r="L11" s="44" t="s">
        <v>142</v>
      </c>
      <c r="M11" s="19" t="str">
        <f t="shared" si="1"/>
        <v>Monthly</v>
      </c>
      <c r="N11" s="19">
        <f t="shared" si="2"/>
        <v>2155.2899999999995</v>
      </c>
      <c r="P11" s="5" t="s">
        <v>49</v>
      </c>
      <c r="Q11" s="5">
        <v>2024</v>
      </c>
      <c r="R11" s="8">
        <f>SUM(N44:N47)</f>
        <v>2155.2899999999995</v>
      </c>
      <c r="S11" s="8" t="e">
        <f t="shared" si="3"/>
        <v>#REF!</v>
      </c>
      <c r="T11" s="5"/>
      <c r="U11" s="5"/>
    </row>
    <row r="12" spans="2:21" x14ac:dyDescent="0.25">
      <c r="B12" s="33" t="s">
        <v>59</v>
      </c>
      <c r="C12" s="7">
        <v>39</v>
      </c>
      <c r="E12" s="5" t="b">
        <f t="shared" si="0"/>
        <v>1</v>
      </c>
      <c r="F12" s="33" t="s">
        <v>190</v>
      </c>
      <c r="G12" s="33" t="s">
        <v>141</v>
      </c>
      <c r="H12" s="33" t="s">
        <v>36</v>
      </c>
      <c r="I12" s="29">
        <f>(58*3)*2</f>
        <v>348</v>
      </c>
      <c r="K12" s="34" t="s">
        <v>33</v>
      </c>
      <c r="L12" s="46"/>
      <c r="M12" s="19" t="str">
        <f t="shared" si="1"/>
        <v xml:space="preserve"> </v>
      </c>
      <c r="N12" s="19" t="str">
        <f t="shared" si="2"/>
        <v xml:space="preserve"> </v>
      </c>
      <c r="P12" s="5" t="s">
        <v>51</v>
      </c>
      <c r="Q12" s="5">
        <v>2024</v>
      </c>
      <c r="R12" s="8">
        <f>SUM(N48:N51)</f>
        <v>2155.2899999999995</v>
      </c>
      <c r="S12" s="8" t="e">
        <f t="shared" si="3"/>
        <v>#REF!</v>
      </c>
      <c r="T12" s="5"/>
      <c r="U12" s="7"/>
    </row>
    <row r="13" spans="2:21" x14ac:dyDescent="0.25">
      <c r="B13" s="33" t="s">
        <v>75</v>
      </c>
      <c r="C13" s="7">
        <f>139/12</f>
        <v>11.583333333333334</v>
      </c>
      <c r="E13" s="5"/>
      <c r="F13" s="33"/>
      <c r="G13" s="33"/>
      <c r="H13" s="33"/>
      <c r="I13" s="29"/>
      <c r="K13" s="34" t="s">
        <v>33</v>
      </c>
      <c r="L13" s="46"/>
      <c r="M13" s="19" t="str">
        <f t="shared" si="1"/>
        <v xml:space="preserve"> </v>
      </c>
      <c r="N13" s="19" t="str">
        <f t="shared" si="2"/>
        <v xml:space="preserve"> </v>
      </c>
      <c r="P13" s="5" t="s">
        <v>53</v>
      </c>
      <c r="Q13" s="5">
        <v>2024</v>
      </c>
      <c r="R13" s="8">
        <f>SUM(N52:N55)</f>
        <v>2905.2899999999995</v>
      </c>
      <c r="S13" s="8" t="e">
        <f t="shared" si="3"/>
        <v>#REF!</v>
      </c>
      <c r="T13" s="5"/>
      <c r="U13" s="5"/>
    </row>
    <row r="14" spans="2:21" x14ac:dyDescent="0.25">
      <c r="B14" s="33" t="s">
        <v>32</v>
      </c>
      <c r="C14" s="7">
        <v>10</v>
      </c>
      <c r="E14" s="5"/>
      <c r="F14" s="33"/>
      <c r="G14" s="33"/>
      <c r="H14" s="33"/>
      <c r="I14" s="7"/>
      <c r="K14" s="34" t="s">
        <v>33</v>
      </c>
      <c r="L14" s="46"/>
      <c r="M14" s="19" t="str">
        <f t="shared" si="1"/>
        <v xml:space="preserve"> </v>
      </c>
      <c r="N14" s="19" t="str">
        <f t="shared" si="2"/>
        <v xml:space="preserve"> </v>
      </c>
      <c r="P14" s="5" t="s">
        <v>55</v>
      </c>
      <c r="Q14" s="5">
        <v>2024</v>
      </c>
      <c r="R14" s="8">
        <f>SUM(N56:N59)</f>
        <v>2155.2899999999995</v>
      </c>
      <c r="S14" s="8" t="e">
        <f t="shared" si="3"/>
        <v>#REF!</v>
      </c>
      <c r="T14" s="5"/>
      <c r="U14" s="8"/>
    </row>
    <row r="15" spans="2:21" x14ac:dyDescent="0.25">
      <c r="B15" s="33" t="s">
        <v>45</v>
      </c>
      <c r="C15" s="7">
        <v>30</v>
      </c>
      <c r="E15" s="5"/>
      <c r="F15" s="99"/>
      <c r="G15" s="33"/>
      <c r="H15" s="33"/>
      <c r="I15" s="7"/>
      <c r="K15" s="34" t="s">
        <v>36</v>
      </c>
      <c r="L15" s="44" t="s">
        <v>142</v>
      </c>
      <c r="M15" s="19" t="str">
        <f t="shared" si="1"/>
        <v>Monthly</v>
      </c>
      <c r="N15" s="19">
        <f t="shared" si="2"/>
        <v>2155.2899999999995</v>
      </c>
      <c r="P15" s="15" t="s">
        <v>4</v>
      </c>
      <c r="Q15" s="15"/>
      <c r="R15" s="151">
        <f>SUM(R3:R14)</f>
        <v>28761.48</v>
      </c>
      <c r="S15" s="151" t="e">
        <f>SUM(S3:S14)</f>
        <v>#REF!</v>
      </c>
      <c r="T15" s="151">
        <f>SUM(T3:T14)</f>
        <v>0</v>
      </c>
      <c r="U15" s="151">
        <f>SUM(U3:U14)</f>
        <v>3100</v>
      </c>
    </row>
    <row r="16" spans="2:21" x14ac:dyDescent="0.25">
      <c r="B16" s="33" t="s">
        <v>48</v>
      </c>
      <c r="C16" s="7"/>
      <c r="E16" s="5"/>
      <c r="F16" s="33"/>
      <c r="G16" s="33"/>
      <c r="H16" s="33"/>
      <c r="I16" s="8"/>
      <c r="K16" s="34" t="s">
        <v>36</v>
      </c>
      <c r="L16" s="45" t="s">
        <v>86</v>
      </c>
      <c r="M16" s="19" t="str">
        <f t="shared" si="1"/>
        <v>One-time</v>
      </c>
      <c r="N16" s="19">
        <f t="shared" si="2"/>
        <v>1200</v>
      </c>
      <c r="P16" s="34" t="s">
        <v>191</v>
      </c>
      <c r="Q16" s="5"/>
      <c r="R16" s="5"/>
      <c r="S16" s="49" t="e">
        <f>SUM(S15:U15)</f>
        <v>#REF!</v>
      </c>
    </row>
    <row r="17" spans="2:14" x14ac:dyDescent="0.25">
      <c r="B17" s="33" t="s">
        <v>50</v>
      </c>
      <c r="C17" s="7">
        <v>30</v>
      </c>
      <c r="E17" s="5"/>
      <c r="F17" s="33"/>
      <c r="G17" s="33"/>
      <c r="H17" s="33"/>
      <c r="I17" s="7"/>
      <c r="K17" s="34" t="s">
        <v>36</v>
      </c>
      <c r="L17" s="45" t="s">
        <v>190</v>
      </c>
      <c r="M17" s="19" t="str">
        <f t="shared" si="1"/>
        <v>One-time</v>
      </c>
      <c r="N17" s="19">
        <f t="shared" si="2"/>
        <v>348</v>
      </c>
    </row>
    <row r="18" spans="2:14" x14ac:dyDescent="0.25">
      <c r="B18" s="33" t="s">
        <v>52</v>
      </c>
      <c r="C18" s="7">
        <v>30</v>
      </c>
      <c r="E18" s="5"/>
      <c r="F18" s="33"/>
      <c r="G18" s="33"/>
      <c r="H18" s="33"/>
      <c r="I18" s="7"/>
      <c r="K18" s="34" t="s">
        <v>36</v>
      </c>
      <c r="L18" s="45"/>
      <c r="M18" s="19" t="str">
        <f t="shared" si="1"/>
        <v xml:space="preserve"> </v>
      </c>
      <c r="N18" s="19" t="str">
        <f t="shared" si="2"/>
        <v xml:space="preserve"> </v>
      </c>
    </row>
    <row r="19" spans="2:14" x14ac:dyDescent="0.25">
      <c r="B19" s="33" t="s">
        <v>54</v>
      </c>
      <c r="C19" s="7">
        <v>25</v>
      </c>
      <c r="E19" s="5"/>
      <c r="F19" s="33"/>
      <c r="G19" s="33"/>
      <c r="H19" s="33"/>
      <c r="I19" s="7"/>
      <c r="K19" s="34" t="s">
        <v>38</v>
      </c>
      <c r="L19" s="44" t="s">
        <v>142</v>
      </c>
      <c r="M19" s="19" t="str">
        <f t="shared" si="1"/>
        <v>Monthly</v>
      </c>
      <c r="N19" s="19">
        <f t="shared" si="2"/>
        <v>2155.2899999999995</v>
      </c>
    </row>
    <row r="20" spans="2:14" x14ac:dyDescent="0.25">
      <c r="B20" s="33" t="s">
        <v>64</v>
      </c>
      <c r="C20" s="7">
        <v>200</v>
      </c>
      <c r="E20" s="5"/>
      <c r="F20" s="33"/>
      <c r="G20" s="33"/>
      <c r="H20" s="33"/>
      <c r="I20" s="52"/>
      <c r="K20" s="34" t="s">
        <v>38</v>
      </c>
      <c r="L20" s="45"/>
      <c r="M20" s="19" t="str">
        <f t="shared" si="1"/>
        <v xml:space="preserve"> </v>
      </c>
      <c r="N20" s="19" t="str">
        <f t="shared" si="2"/>
        <v xml:space="preserve"> </v>
      </c>
    </row>
    <row r="21" spans="2:14" x14ac:dyDescent="0.25">
      <c r="B21" s="33" t="s">
        <v>56</v>
      </c>
      <c r="C21" s="7">
        <v>150</v>
      </c>
      <c r="E21" s="5"/>
      <c r="F21" s="33"/>
      <c r="G21" s="33"/>
      <c r="H21" s="33"/>
      <c r="I21" s="7"/>
      <c r="K21" s="34" t="s">
        <v>38</v>
      </c>
      <c r="L21" s="46" t="s">
        <v>81</v>
      </c>
      <c r="M21" s="19" t="str">
        <f t="shared" si="1"/>
        <v>Annual</v>
      </c>
      <c r="N21" s="19">
        <f t="shared" si="2"/>
        <v>300</v>
      </c>
    </row>
    <row r="22" spans="2:14" x14ac:dyDescent="0.25">
      <c r="B22" s="15" t="s">
        <v>63</v>
      </c>
      <c r="C22" s="7"/>
      <c r="E22" s="5"/>
      <c r="F22" s="33"/>
      <c r="G22" s="33"/>
      <c r="H22" s="33"/>
      <c r="I22" s="7"/>
      <c r="K22" s="34" t="s">
        <v>38</v>
      </c>
      <c r="L22" s="46" t="s">
        <v>82</v>
      </c>
      <c r="M22" s="19" t="str">
        <f t="shared" si="1"/>
        <v>Annual</v>
      </c>
      <c r="N22" s="19">
        <f t="shared" si="2"/>
        <v>300</v>
      </c>
    </row>
    <row r="23" spans="2:14" x14ac:dyDescent="0.25">
      <c r="B23" s="33" t="s">
        <v>76</v>
      </c>
      <c r="C23" s="7"/>
      <c r="E23" s="5"/>
      <c r="F23" s="33"/>
      <c r="G23" s="33"/>
      <c r="H23" s="33"/>
      <c r="I23" s="29"/>
      <c r="K23" s="34" t="s">
        <v>38</v>
      </c>
      <c r="L23" s="46" t="s">
        <v>92</v>
      </c>
      <c r="M23" s="19" t="str">
        <f t="shared" si="1"/>
        <v>Annual</v>
      </c>
      <c r="N23" s="19">
        <f t="shared" si="2"/>
        <v>300</v>
      </c>
    </row>
    <row r="24" spans="2:14" x14ac:dyDescent="0.25">
      <c r="B24" s="15" t="s">
        <v>58</v>
      </c>
      <c r="C24" s="7">
        <f>40/1.5</f>
        <v>26.666666666666668</v>
      </c>
      <c r="E24" s="5"/>
      <c r="F24" s="33"/>
      <c r="G24" s="33"/>
      <c r="H24" s="33"/>
      <c r="I24" s="29"/>
      <c r="K24" s="34" t="s">
        <v>40</v>
      </c>
      <c r="L24" s="44" t="s">
        <v>142</v>
      </c>
      <c r="M24" s="19" t="str">
        <f t="shared" si="1"/>
        <v>Monthly</v>
      </c>
      <c r="N24" s="19">
        <f t="shared" si="2"/>
        <v>2155.2899999999995</v>
      </c>
    </row>
    <row r="25" spans="2:14" x14ac:dyDescent="0.25">
      <c r="B25" s="38" t="s">
        <v>4</v>
      </c>
      <c r="C25" s="49">
        <f>SUM(C3:C24)</f>
        <v>2155.2899999999995</v>
      </c>
      <c r="E25" s="5"/>
      <c r="F25" s="33"/>
      <c r="G25" s="33"/>
      <c r="H25" s="33"/>
      <c r="I25" s="29"/>
      <c r="K25" s="34" t="s">
        <v>40</v>
      </c>
      <c r="L25" s="46"/>
      <c r="M25" s="19" t="str">
        <f t="shared" si="1"/>
        <v xml:space="preserve"> </v>
      </c>
      <c r="N25" s="19" t="str">
        <f t="shared" si="2"/>
        <v xml:space="preserve"> </v>
      </c>
    </row>
    <row r="26" spans="2:14" x14ac:dyDescent="0.25">
      <c r="E26" s="5"/>
      <c r="F26" s="33"/>
      <c r="G26" s="33"/>
      <c r="H26" s="58"/>
      <c r="I26" s="29"/>
      <c r="K26" s="34" t="s">
        <v>40</v>
      </c>
      <c r="L26" s="46"/>
      <c r="M26" s="19" t="str">
        <f t="shared" si="1"/>
        <v xml:space="preserve"> </v>
      </c>
      <c r="N26" s="19" t="str">
        <f t="shared" si="2"/>
        <v xml:space="preserve"> </v>
      </c>
    </row>
    <row r="27" spans="2:14" x14ac:dyDescent="0.25">
      <c r="E27" s="5"/>
      <c r="F27" s="33"/>
      <c r="G27" s="33"/>
      <c r="H27" s="33"/>
      <c r="I27" s="29"/>
      <c r="K27" s="34" t="s">
        <v>40</v>
      </c>
      <c r="L27" s="46"/>
      <c r="M27" s="19" t="str">
        <f t="shared" si="1"/>
        <v xml:space="preserve"> </v>
      </c>
      <c r="N27" s="19" t="str">
        <f t="shared" si="2"/>
        <v xml:space="preserve"> </v>
      </c>
    </row>
    <row r="28" spans="2:14" x14ac:dyDescent="0.25">
      <c r="E28" s="5"/>
      <c r="F28" s="33"/>
      <c r="G28" s="33"/>
      <c r="H28" s="33"/>
      <c r="I28" s="29"/>
      <c r="K28" s="34" t="s">
        <v>42</v>
      </c>
      <c r="L28" s="44" t="s">
        <v>142</v>
      </c>
      <c r="M28" s="19" t="str">
        <f t="shared" si="1"/>
        <v>Monthly</v>
      </c>
      <c r="N28" s="19">
        <f t="shared" si="2"/>
        <v>2155.2899999999995</v>
      </c>
    </row>
    <row r="29" spans="2:14" x14ac:dyDescent="0.25">
      <c r="B29" s="33" t="s">
        <v>165</v>
      </c>
      <c r="C29" s="8" t="e">
        <f>'2024 Budget'!C29*(1+Expected_Raise)</f>
        <v>#REF!</v>
      </c>
      <c r="E29" s="5"/>
      <c r="F29" s="33"/>
      <c r="G29" s="33"/>
      <c r="H29" s="33"/>
      <c r="I29" s="29"/>
      <c r="K29" s="34" t="s">
        <v>42</v>
      </c>
      <c r="L29" s="45" t="s">
        <v>102</v>
      </c>
      <c r="M29" s="19" t="str">
        <f t="shared" si="1"/>
        <v>One-time</v>
      </c>
      <c r="N29" s="19">
        <f t="shared" si="2"/>
        <v>0</v>
      </c>
    </row>
    <row r="30" spans="2:14" x14ac:dyDescent="0.25">
      <c r="B30" s="33" t="s">
        <v>166</v>
      </c>
      <c r="C30" s="8" t="e">
        <f>'2024 Budget'!C30*(1+Expected_Raise)</f>
        <v>#REF!</v>
      </c>
      <c r="E30" s="5" t="str">
        <f t="shared" ref="E30:E36" si="4">IF(F30="","",ISNUMBER(MATCH(F30,$L$3:$L$102,0)))</f>
        <v/>
      </c>
      <c r="F30" s="33"/>
      <c r="G30" s="33"/>
      <c r="H30" s="33"/>
      <c r="I30" s="29"/>
      <c r="K30" s="34" t="s">
        <v>42</v>
      </c>
      <c r="L30" s="46"/>
      <c r="M30" s="19" t="str">
        <f t="shared" si="1"/>
        <v xml:space="preserve"> </v>
      </c>
      <c r="N30" s="19" t="str">
        <f t="shared" si="2"/>
        <v xml:space="preserve"> </v>
      </c>
    </row>
    <row r="31" spans="2:14" x14ac:dyDescent="0.25">
      <c r="B31" s="36" t="s">
        <v>168</v>
      </c>
      <c r="C31" s="49" t="e">
        <f>SUM(C29:C30)*2</f>
        <v>#REF!</v>
      </c>
      <c r="E31" s="5" t="str">
        <f t="shared" si="4"/>
        <v/>
      </c>
      <c r="F31" s="33"/>
      <c r="G31" s="33"/>
      <c r="H31" s="33"/>
      <c r="I31" s="29"/>
      <c r="K31" s="34" t="s">
        <v>42</v>
      </c>
      <c r="L31" s="46"/>
      <c r="M31" s="19" t="str">
        <f t="shared" si="1"/>
        <v xml:space="preserve"> </v>
      </c>
      <c r="N31" s="19" t="str">
        <f t="shared" si="2"/>
        <v xml:space="preserve"> </v>
      </c>
    </row>
    <row r="32" spans="2:14" x14ac:dyDescent="0.25">
      <c r="E32" s="5" t="str">
        <f t="shared" si="4"/>
        <v/>
      </c>
      <c r="F32" s="33"/>
      <c r="G32" s="33"/>
      <c r="H32" s="33"/>
      <c r="I32" s="29"/>
      <c r="K32" s="34" t="s">
        <v>44</v>
      </c>
      <c r="L32" s="44" t="s">
        <v>142</v>
      </c>
      <c r="M32" s="19" t="str">
        <f t="shared" si="1"/>
        <v>Monthly</v>
      </c>
      <c r="N32" s="19">
        <f t="shared" si="2"/>
        <v>2155.2899999999995</v>
      </c>
    </row>
    <row r="33" spans="2:33" x14ac:dyDescent="0.25">
      <c r="B33" s="39" t="s">
        <v>171</v>
      </c>
      <c r="E33" s="5" t="str">
        <f t="shared" si="4"/>
        <v/>
      </c>
      <c r="F33" s="33"/>
      <c r="G33" s="33"/>
      <c r="H33" s="33"/>
      <c r="I33" s="29"/>
      <c r="K33" s="34" t="s">
        <v>44</v>
      </c>
      <c r="L33" s="47"/>
      <c r="M33" s="19" t="str">
        <f t="shared" si="1"/>
        <v xml:space="preserve"> </v>
      </c>
      <c r="N33" s="19" t="str">
        <f t="shared" si="2"/>
        <v xml:space="preserve"> </v>
      </c>
    </row>
    <row r="34" spans="2:33" x14ac:dyDescent="0.25">
      <c r="B34" s="33" t="s">
        <v>184</v>
      </c>
      <c r="C34" s="9">
        <v>7000</v>
      </c>
      <c r="E34" s="5" t="str">
        <f t="shared" si="4"/>
        <v/>
      </c>
      <c r="F34" s="33"/>
      <c r="G34" s="33"/>
      <c r="H34" s="33"/>
      <c r="I34" s="29"/>
      <c r="K34" s="34" t="s">
        <v>44</v>
      </c>
      <c r="L34" s="46"/>
      <c r="M34" s="19" t="str">
        <f t="shared" si="1"/>
        <v xml:space="preserve"> </v>
      </c>
      <c r="N34" s="19" t="str">
        <f t="shared" si="2"/>
        <v xml:space="preserve"> </v>
      </c>
      <c r="AG34" s="152" t="s">
        <v>87</v>
      </c>
    </row>
    <row r="35" spans="2:33" x14ac:dyDescent="0.25">
      <c r="B35" s="33" t="s">
        <v>192</v>
      </c>
      <c r="C35" s="9">
        <v>7000</v>
      </c>
      <c r="E35" s="5" t="str">
        <f t="shared" si="4"/>
        <v/>
      </c>
      <c r="F35" s="33"/>
      <c r="G35" s="33"/>
      <c r="H35" s="33"/>
      <c r="I35" s="29"/>
      <c r="K35" s="34" t="s">
        <v>44</v>
      </c>
      <c r="L35" s="46"/>
      <c r="M35" s="19" t="str">
        <f t="shared" si="1"/>
        <v xml:space="preserve"> </v>
      </c>
      <c r="N35" s="19" t="str">
        <f t="shared" si="2"/>
        <v xml:space="preserve"> </v>
      </c>
    </row>
    <row r="36" spans="2:33" x14ac:dyDescent="0.25">
      <c r="B36" s="33" t="s">
        <v>193</v>
      </c>
      <c r="C36" s="7">
        <v>3100</v>
      </c>
      <c r="E36" s="5" t="str">
        <f t="shared" si="4"/>
        <v/>
      </c>
      <c r="F36" s="33"/>
      <c r="G36" s="33"/>
      <c r="H36" s="33"/>
      <c r="I36" s="29"/>
      <c r="K36" s="34" t="s">
        <v>47</v>
      </c>
      <c r="L36" s="44" t="s">
        <v>142</v>
      </c>
      <c r="M36" s="19" t="str">
        <f t="shared" si="1"/>
        <v>Monthly</v>
      </c>
      <c r="N36" s="19">
        <f t="shared" si="2"/>
        <v>2155.2899999999995</v>
      </c>
    </row>
    <row r="37" spans="2:33" x14ac:dyDescent="0.25">
      <c r="B37" s="33" t="s">
        <v>194</v>
      </c>
      <c r="C37" s="7">
        <v>2000</v>
      </c>
      <c r="K37" s="34" t="s">
        <v>47</v>
      </c>
      <c r="L37" s="46"/>
      <c r="M37" s="19" t="str">
        <f t="shared" si="1"/>
        <v xml:space="preserve"> </v>
      </c>
      <c r="N37" s="19" t="str">
        <f t="shared" si="2"/>
        <v xml:space="preserve"> </v>
      </c>
    </row>
    <row r="38" spans="2:33" x14ac:dyDescent="0.25">
      <c r="K38" s="34" t="s">
        <v>47</v>
      </c>
      <c r="L38" s="46"/>
      <c r="M38" s="19" t="str">
        <f t="shared" si="1"/>
        <v xml:space="preserve"> </v>
      </c>
      <c r="N38" s="19" t="str">
        <f t="shared" si="2"/>
        <v xml:space="preserve"> </v>
      </c>
    </row>
    <row r="39" spans="2:33" x14ac:dyDescent="0.25">
      <c r="B39" s="60" t="s">
        <v>180</v>
      </c>
      <c r="C39" s="104" t="e">
        <f>#REF!+#REF!</f>
        <v>#REF!</v>
      </c>
      <c r="K39" s="34" t="s">
        <v>47</v>
      </c>
      <c r="L39" s="46"/>
      <c r="M39" s="19" t="str">
        <f t="shared" si="1"/>
        <v xml:space="preserve"> </v>
      </c>
      <c r="N39" s="19" t="str">
        <f t="shared" si="2"/>
        <v xml:space="preserve"> </v>
      </c>
    </row>
    <row r="40" spans="2:33" x14ac:dyDescent="0.25">
      <c r="B40" s="60" t="s">
        <v>181</v>
      </c>
      <c r="C40" s="60"/>
      <c r="D40" s="112"/>
      <c r="K40" s="34" t="s">
        <v>47</v>
      </c>
      <c r="L40" s="46"/>
      <c r="M40" s="19" t="str">
        <f t="shared" si="1"/>
        <v xml:space="preserve"> </v>
      </c>
      <c r="N40" s="19" t="str">
        <f t="shared" si="2"/>
        <v xml:space="preserve"> </v>
      </c>
    </row>
    <row r="41" spans="2:33" x14ac:dyDescent="0.25">
      <c r="K41" s="34" t="s">
        <v>47</v>
      </c>
      <c r="L41" s="46"/>
      <c r="M41" s="19" t="str">
        <f t="shared" si="1"/>
        <v xml:space="preserve"> </v>
      </c>
      <c r="N41" s="19" t="str">
        <f t="shared" si="2"/>
        <v xml:space="preserve"> </v>
      </c>
    </row>
    <row r="42" spans="2:33" x14ac:dyDescent="0.25">
      <c r="K42" s="34" t="s">
        <v>47</v>
      </c>
      <c r="L42" s="48"/>
      <c r="M42" s="19" t="str">
        <f t="shared" si="1"/>
        <v xml:space="preserve"> </v>
      </c>
      <c r="N42" s="19" t="str">
        <f t="shared" si="2"/>
        <v xml:space="preserve"> </v>
      </c>
    </row>
    <row r="43" spans="2:33" x14ac:dyDescent="0.25">
      <c r="K43" s="34" t="s">
        <v>47</v>
      </c>
      <c r="L43" s="45"/>
      <c r="M43" s="19" t="str">
        <f t="shared" si="1"/>
        <v xml:space="preserve"> </v>
      </c>
      <c r="N43" s="19" t="str">
        <f t="shared" si="2"/>
        <v xml:space="preserve"> </v>
      </c>
    </row>
    <row r="44" spans="2:33" x14ac:dyDescent="0.25">
      <c r="K44" s="34" t="s">
        <v>49</v>
      </c>
      <c r="L44" s="44" t="s">
        <v>142</v>
      </c>
      <c r="M44" s="19" t="str">
        <f t="shared" si="1"/>
        <v>Monthly</v>
      </c>
      <c r="N44" s="19">
        <f t="shared" si="2"/>
        <v>2155.2899999999995</v>
      </c>
    </row>
    <row r="45" spans="2:33" x14ac:dyDescent="0.25">
      <c r="K45" s="34" t="s">
        <v>49</v>
      </c>
      <c r="L45" s="45"/>
      <c r="M45" s="19" t="str">
        <f t="shared" si="1"/>
        <v xml:space="preserve"> </v>
      </c>
      <c r="N45" s="19" t="str">
        <f t="shared" si="2"/>
        <v xml:space="preserve"> </v>
      </c>
    </row>
    <row r="46" spans="2:33" x14ac:dyDescent="0.25">
      <c r="K46" s="34" t="s">
        <v>49</v>
      </c>
      <c r="L46" s="46"/>
      <c r="M46" s="19" t="str">
        <f t="shared" si="1"/>
        <v xml:space="preserve"> </v>
      </c>
      <c r="N46" s="19" t="str">
        <f t="shared" si="2"/>
        <v xml:space="preserve"> </v>
      </c>
    </row>
    <row r="47" spans="2:33" x14ac:dyDescent="0.25">
      <c r="K47" s="34" t="s">
        <v>49</v>
      </c>
      <c r="L47" s="46"/>
      <c r="M47" s="19" t="str">
        <f t="shared" si="1"/>
        <v xml:space="preserve"> </v>
      </c>
      <c r="N47" s="19" t="str">
        <f t="shared" si="2"/>
        <v xml:space="preserve"> </v>
      </c>
    </row>
    <row r="48" spans="2:33" x14ac:dyDescent="0.25">
      <c r="K48" s="34" t="s">
        <v>51</v>
      </c>
      <c r="L48" s="44" t="s">
        <v>142</v>
      </c>
      <c r="M48" s="19" t="str">
        <f t="shared" si="1"/>
        <v>Monthly</v>
      </c>
      <c r="N48" s="19">
        <f t="shared" si="2"/>
        <v>2155.2899999999995</v>
      </c>
    </row>
    <row r="49" spans="11:14" x14ac:dyDescent="0.25">
      <c r="K49" s="34" t="s">
        <v>51</v>
      </c>
      <c r="L49" s="46"/>
      <c r="M49" s="19" t="str">
        <f t="shared" si="1"/>
        <v xml:space="preserve"> </v>
      </c>
      <c r="N49" s="19" t="str">
        <f t="shared" si="2"/>
        <v xml:space="preserve"> </v>
      </c>
    </row>
    <row r="50" spans="11:14" x14ac:dyDescent="0.25">
      <c r="K50" s="34" t="s">
        <v>51</v>
      </c>
      <c r="L50" s="46"/>
      <c r="M50" s="19" t="str">
        <f t="shared" si="1"/>
        <v xml:space="preserve"> </v>
      </c>
      <c r="N50" s="19" t="str">
        <f t="shared" si="2"/>
        <v xml:space="preserve"> </v>
      </c>
    </row>
    <row r="51" spans="11:14" x14ac:dyDescent="0.25">
      <c r="K51" s="34" t="s">
        <v>51</v>
      </c>
      <c r="L51" s="46"/>
      <c r="M51" s="19" t="str">
        <f t="shared" si="1"/>
        <v xml:space="preserve"> </v>
      </c>
      <c r="N51" s="19" t="str">
        <f t="shared" si="2"/>
        <v xml:space="preserve"> </v>
      </c>
    </row>
    <row r="52" spans="11:14" x14ac:dyDescent="0.25">
      <c r="K52" s="34" t="s">
        <v>53</v>
      </c>
      <c r="L52" s="44" t="s">
        <v>142</v>
      </c>
      <c r="M52" s="19" t="str">
        <f t="shared" si="1"/>
        <v>Monthly</v>
      </c>
      <c r="N52" s="19">
        <f t="shared" si="2"/>
        <v>2155.2899999999995</v>
      </c>
    </row>
    <row r="53" spans="11:14" x14ac:dyDescent="0.25">
      <c r="K53" s="34" t="s">
        <v>53</v>
      </c>
      <c r="L53" s="45"/>
      <c r="M53" s="19" t="str">
        <f t="shared" si="1"/>
        <v xml:space="preserve"> </v>
      </c>
      <c r="N53" s="19" t="str">
        <f t="shared" si="2"/>
        <v xml:space="preserve"> </v>
      </c>
    </row>
    <row r="54" spans="11:14" x14ac:dyDescent="0.25">
      <c r="K54" s="34" t="s">
        <v>53</v>
      </c>
      <c r="L54" s="45" t="s">
        <v>88</v>
      </c>
      <c r="M54" s="19" t="str">
        <f t="shared" si="1"/>
        <v>Annual</v>
      </c>
      <c r="N54" s="19">
        <f t="shared" si="2"/>
        <v>750</v>
      </c>
    </row>
    <row r="55" spans="11:14" x14ac:dyDescent="0.25">
      <c r="K55" s="34" t="s">
        <v>53</v>
      </c>
      <c r="L55" s="46"/>
      <c r="M55" s="19" t="str">
        <f t="shared" si="1"/>
        <v xml:space="preserve"> </v>
      </c>
      <c r="N55" s="19" t="str">
        <f t="shared" si="2"/>
        <v xml:space="preserve"> </v>
      </c>
    </row>
    <row r="56" spans="11:14" x14ac:dyDescent="0.25">
      <c r="K56" s="34" t="s">
        <v>55</v>
      </c>
      <c r="L56" s="44" t="s">
        <v>142</v>
      </c>
      <c r="M56" s="19" t="str">
        <f t="shared" si="1"/>
        <v>Monthly</v>
      </c>
      <c r="N56" s="19">
        <f t="shared" si="2"/>
        <v>2155.2899999999995</v>
      </c>
    </row>
    <row r="57" spans="11:14" x14ac:dyDescent="0.25">
      <c r="K57" s="34" t="s">
        <v>55</v>
      </c>
      <c r="L57" s="46"/>
      <c r="M57" s="19" t="str">
        <f t="shared" si="1"/>
        <v xml:space="preserve"> </v>
      </c>
      <c r="N57" s="19" t="str">
        <f t="shared" si="2"/>
        <v xml:space="preserve"> </v>
      </c>
    </row>
    <row r="58" spans="11:14" x14ac:dyDescent="0.25">
      <c r="K58" s="34" t="s">
        <v>55</v>
      </c>
      <c r="L58" s="46"/>
      <c r="M58" s="19" t="str">
        <f t="shared" si="1"/>
        <v xml:space="preserve"> </v>
      </c>
      <c r="N58" s="19" t="str">
        <f t="shared" si="2"/>
        <v xml:space="preserve"> </v>
      </c>
    </row>
    <row r="59" spans="11:14" x14ac:dyDescent="0.25">
      <c r="K59" s="34" t="s">
        <v>55</v>
      </c>
      <c r="L59" s="46"/>
      <c r="M59" s="19" t="str">
        <f t="shared" si="1"/>
        <v xml:space="preserve"> </v>
      </c>
      <c r="N59" s="19" t="str">
        <f t="shared" si="2"/>
        <v xml:space="preserve"> </v>
      </c>
    </row>
  </sheetData>
  <autoFilter ref="E2:I36" xr:uid="{7C09F5E6-C945-47DB-AFF6-0FFAD917AFBD}">
    <sortState xmlns:xlrd2="http://schemas.microsoft.com/office/spreadsheetml/2017/richdata2" ref="E3:I36">
      <sortCondition ref="F2:F36"/>
    </sortState>
  </autoFilter>
  <mergeCells count="2">
    <mergeCell ref="K1:N1"/>
    <mergeCell ref="P1:U1"/>
  </mergeCells>
  <conditionalFormatting sqref="E3:E100">
    <cfRule type="containsText" dxfId="2" priority="1" operator="containsText" text="FALSE">
      <formula>NOT(ISERROR(SEARCH("FALSE",E3)))</formula>
    </cfRule>
  </conditionalFormatting>
  <dataValidations disablePrompts="1" count="1">
    <dataValidation type="list" allowBlank="1" showInputMessage="1" showErrorMessage="1" sqref="L3:M1048576" xr:uid="{71395F36-C8F7-47B7-888B-1E3F50F4DFA1}">
      <formula1>$F$3:$F$160</formula1>
    </dataValidation>
  </dataValidation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8F537-7A4D-4FC0-B903-D3CA1283B9A2}">
  <sheetPr>
    <tabColor theme="4" tint="0.79998168889431442"/>
  </sheetPr>
  <dimension ref="A1"/>
  <sheetViews>
    <sheetView workbookViewId="0"/>
  </sheetViews>
  <sheetFormatPr defaultRowHeight="13.2" x14ac:dyDescent="0.25"/>
  <cols>
    <col min="1" max="16384" width="8.88671875" style="22"/>
  </cols>
  <sheetData/>
  <sheetProtection algorithmName="SHA-512" hashValue="pUFNUr9EIY1vTbRnjjZKrivf4wF9RJA8QtvN4/NZnCjo5FGMyAZRX+s49/Wj4ZblwD5aWhBStpTqmsd6t+4hNw==" saltValue="+o7kJAsUYlqcopHcbVYLGA==" spinCount="100000" sheet="1" objects="1" scenarios="1"/>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2BE8D6-36B1-4C04-A6AA-241350E419EB}">
  <sheetPr>
    <tabColor theme="4" tint="0.79998168889431442"/>
  </sheetPr>
  <dimension ref="M3:S23"/>
  <sheetViews>
    <sheetView tabSelected="1" zoomScaleNormal="100" workbookViewId="0"/>
  </sheetViews>
  <sheetFormatPr defaultRowHeight="13.2" x14ac:dyDescent="0.25"/>
  <cols>
    <col min="1" max="1" width="6.33203125" style="11" customWidth="1"/>
    <col min="2" max="11" width="8.88671875" style="11"/>
    <col min="12" max="12" width="16" style="11" customWidth="1"/>
    <col min="13" max="16384" width="8.88671875" style="11"/>
  </cols>
  <sheetData>
    <row r="3" spans="13:19" ht="18" thickBot="1" x14ac:dyDescent="0.35">
      <c r="M3" s="244" t="s">
        <v>503</v>
      </c>
      <c r="N3" s="181"/>
      <c r="O3" s="181"/>
      <c r="P3" s="181"/>
      <c r="Q3" s="181"/>
      <c r="R3" s="181"/>
      <c r="S3" s="181"/>
    </row>
    <row r="5" spans="13:19" ht="13.8" customHeight="1" x14ac:dyDescent="0.25"/>
    <row r="6" spans="13:19" ht="13.8" customHeight="1" x14ac:dyDescent="0.25"/>
    <row r="7" spans="13:19" ht="13.8" customHeight="1" x14ac:dyDescent="0.25"/>
    <row r="10" spans="13:19" ht="18" thickBot="1" x14ac:dyDescent="0.35">
      <c r="M10" s="244" t="s">
        <v>619</v>
      </c>
      <c r="N10" s="181"/>
      <c r="O10" s="181"/>
      <c r="P10" s="181"/>
      <c r="Q10" s="181"/>
      <c r="R10" s="181"/>
      <c r="S10" s="181"/>
    </row>
    <row r="23" spans="13:19" ht="18" thickBot="1" x14ac:dyDescent="0.35">
      <c r="M23" s="244" t="s">
        <v>620</v>
      </c>
      <c r="N23" s="181"/>
      <c r="O23" s="181"/>
      <c r="P23" s="181"/>
      <c r="Q23" s="181"/>
      <c r="R23" s="181"/>
      <c r="S23" s="181"/>
    </row>
  </sheetData>
  <sheetProtection algorithmName="SHA-512" hashValue="fTwYFMbWr9JxtxUVlsPvApy6iUesKqC1oT37C0DYF1EYLLWfTnicpiV6YlvCxtz9KCjhZJSJgZWXhMD40wV40g==" saltValue="FgZai7lfXQOcLsLotx/uUQ==" spinCount="100000" sheet="1" objects="1" scenarios="1"/>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A3155-738D-4EA5-B455-0CB06813CCFF}">
  <sheetPr>
    <tabColor theme="4" tint="0.79998168889431442"/>
    <pageSetUpPr fitToPage="1"/>
  </sheetPr>
  <dimension ref="B5:U100"/>
  <sheetViews>
    <sheetView zoomScaleNormal="100" workbookViewId="0"/>
  </sheetViews>
  <sheetFormatPr defaultRowHeight="13.2" customHeight="1" x14ac:dyDescent="0.25"/>
  <cols>
    <col min="1" max="1" width="4.88671875" style="275" customWidth="1"/>
    <col min="2" max="2" width="39.88671875" style="275" customWidth="1"/>
    <col min="3" max="3" width="12.21875" style="275" bestFit="1" customWidth="1"/>
    <col min="4" max="4" width="5.33203125" style="275" customWidth="1"/>
    <col min="5" max="5" width="41.33203125" style="275" bestFit="1" customWidth="1"/>
    <col min="6" max="6" width="12.21875" style="275" bestFit="1" customWidth="1"/>
    <col min="7" max="7" width="5.33203125" style="275" customWidth="1"/>
    <col min="8" max="8" width="14.88671875" style="275" customWidth="1"/>
    <col min="9" max="9" width="23.6640625" style="275" customWidth="1"/>
    <col min="10" max="10" width="10.77734375" style="275" bestFit="1" customWidth="1"/>
    <col min="11" max="11" width="5.33203125" style="275" customWidth="1"/>
    <col min="12" max="12" width="11" style="247" customWidth="1"/>
    <col min="13" max="13" width="14.21875" style="247" customWidth="1"/>
    <col min="14" max="14" width="21.5546875" style="247" bestFit="1" customWidth="1"/>
    <col min="15" max="15" width="5.33203125" style="11" customWidth="1"/>
    <col min="16" max="16" width="25.21875" style="11" bestFit="1" customWidth="1"/>
    <col min="17" max="17" width="11.44140625" style="11" bestFit="1" customWidth="1"/>
    <col min="18" max="18" width="5.33203125" style="275" customWidth="1"/>
    <col min="19" max="19" width="10.44140625" style="275" customWidth="1"/>
    <col min="20" max="20" width="11.5546875" style="275" bestFit="1" customWidth="1"/>
    <col min="21" max="21" width="11.21875" style="275" bestFit="1" customWidth="1"/>
    <col min="22" max="22" width="5" style="275" customWidth="1"/>
    <col min="23" max="23" width="20.5546875" style="275" bestFit="1" customWidth="1"/>
    <col min="24" max="24" width="11" style="275" bestFit="1" customWidth="1"/>
    <col min="25" max="16384" width="8.88671875" style="275"/>
  </cols>
  <sheetData>
    <row r="5" spans="2:21" ht="19.2" customHeight="1" x14ac:dyDescent="0.25">
      <c r="B5" s="274" t="s">
        <v>514</v>
      </c>
    </row>
    <row r="6" spans="2:21" ht="33" customHeight="1" x14ac:dyDescent="0.25">
      <c r="B6" s="307" t="s">
        <v>597</v>
      </c>
      <c r="C6" s="307"/>
      <c r="D6" s="276"/>
      <c r="E6" s="307" t="s">
        <v>448</v>
      </c>
      <c r="F6" s="307"/>
      <c r="G6" s="276"/>
      <c r="H6" s="307" t="s">
        <v>489</v>
      </c>
      <c r="I6" s="307"/>
      <c r="J6" s="307"/>
      <c r="K6" s="276"/>
      <c r="L6" s="308" t="s">
        <v>613</v>
      </c>
      <c r="M6" s="308"/>
      <c r="N6" s="308"/>
      <c r="O6" s="277"/>
      <c r="P6" s="307" t="s">
        <v>615</v>
      </c>
      <c r="Q6" s="307"/>
      <c r="R6" s="276"/>
      <c r="S6" s="307" t="s">
        <v>614</v>
      </c>
      <c r="T6" s="307"/>
      <c r="U6" s="307"/>
    </row>
    <row r="7" spans="2:21" x14ac:dyDescent="0.25">
      <c r="B7" s="278" t="s">
        <v>464</v>
      </c>
      <c r="C7" s="279">
        <v>3.5000000000000003E-2</v>
      </c>
      <c r="E7" s="278" t="s">
        <v>431</v>
      </c>
      <c r="F7" s="280">
        <v>2022</v>
      </c>
      <c r="H7" s="262" t="s">
        <v>6</v>
      </c>
      <c r="I7" s="259" t="s">
        <v>434</v>
      </c>
      <c r="J7" s="263" t="s">
        <v>441</v>
      </c>
      <c r="L7" s="258" t="s">
        <v>17</v>
      </c>
      <c r="M7" s="258" t="s">
        <v>474</v>
      </c>
      <c r="N7" s="259" t="s">
        <v>515</v>
      </c>
      <c r="P7" s="262" t="s">
        <v>511</v>
      </c>
      <c r="Q7" s="264" t="s">
        <v>430</v>
      </c>
      <c r="S7" s="262" t="s">
        <v>17</v>
      </c>
      <c r="T7" s="262" t="s">
        <v>474</v>
      </c>
      <c r="U7" s="262" t="s">
        <v>473</v>
      </c>
    </row>
    <row r="8" spans="2:21" ht="13.2" customHeight="1" x14ac:dyDescent="0.25">
      <c r="B8" s="278" t="s">
        <v>442</v>
      </c>
      <c r="C8" s="281">
        <v>0.03</v>
      </c>
      <c r="E8" s="278" t="s">
        <v>446</v>
      </c>
      <c r="F8" s="282">
        <v>600000</v>
      </c>
      <c r="H8" s="265" t="s">
        <v>434</v>
      </c>
      <c r="I8" s="261" t="s">
        <v>201</v>
      </c>
      <c r="J8" s="249">
        <v>550</v>
      </c>
      <c r="L8" s="254">
        <v>10</v>
      </c>
      <c r="M8" s="283">
        <f>_xlfn.IFNA(INDEX(monthly_mortgage_schedule[[Month]:[Calendar Year]],MATCH(L8,monthly_mortgage_schedule[Month],0),2),"Must be &lt;="&amp;" "&amp;total_loan_payments)</f>
        <v>2022</v>
      </c>
      <c r="N8" s="255">
        <v>500</v>
      </c>
      <c r="P8" s="266" t="s">
        <v>69</v>
      </c>
      <c r="Q8" s="267">
        <f>'Data Entry'!F18*12</f>
        <v>37200.317945560899</v>
      </c>
      <c r="S8" s="248">
        <v>11</v>
      </c>
      <c r="T8" s="268">
        <f>_xlfn.IFNA(INDEX(monthly_mortgage_schedule[[Month]:[Calendar Year]],MATCH(S8,monthly_mortgage_schedule[Month],0),2),0)</f>
        <v>2022</v>
      </c>
      <c r="U8" s="257">
        <v>250</v>
      </c>
    </row>
    <row r="9" spans="2:21" ht="13.2" customHeight="1" x14ac:dyDescent="0.25">
      <c r="B9" s="278" t="s">
        <v>443</v>
      </c>
      <c r="C9" s="281">
        <v>0.03</v>
      </c>
      <c r="E9" s="278" t="s">
        <v>208</v>
      </c>
      <c r="F9" s="280">
        <v>30</v>
      </c>
      <c r="H9" s="265" t="s">
        <v>434</v>
      </c>
      <c r="I9" s="261" t="s">
        <v>202</v>
      </c>
      <c r="J9" s="249">
        <v>800</v>
      </c>
      <c r="L9" s="254">
        <v>20</v>
      </c>
      <c r="M9" s="283">
        <f>_xlfn.IFNA(INDEX(monthly_mortgage_schedule[[Month]:[Calendar Year]],MATCH(L9,monthly_mortgage_schedule[Month],0),2),"Must be &lt;="&amp;" "&amp;total_loan_payments)</f>
        <v>2023</v>
      </c>
      <c r="N9" s="255">
        <v>500</v>
      </c>
      <c r="P9" s="269" t="s">
        <v>492</v>
      </c>
      <c r="Q9" s="256">
        <v>6000</v>
      </c>
      <c r="S9" s="248">
        <v>15</v>
      </c>
      <c r="T9" s="268">
        <f>_xlfn.IFNA(INDEX(monthly_mortgage_schedule[[Month]:[Calendar Year]],MATCH(S9,monthly_mortgage_schedule[Month],0),2),0)</f>
        <v>2023</v>
      </c>
      <c r="U9" s="257">
        <v>400</v>
      </c>
    </row>
    <row r="10" spans="2:21" ht="13.2" customHeight="1" x14ac:dyDescent="0.25">
      <c r="B10" s="278" t="s">
        <v>444</v>
      </c>
      <c r="C10" s="281">
        <v>0.03</v>
      </c>
      <c r="E10" s="278" t="s">
        <v>204</v>
      </c>
      <c r="F10" s="284">
        <v>0.1</v>
      </c>
      <c r="H10" s="265" t="s">
        <v>434</v>
      </c>
      <c r="I10" s="261" t="s">
        <v>203</v>
      </c>
      <c r="J10" s="249">
        <v>100</v>
      </c>
      <c r="L10" s="254">
        <v>30</v>
      </c>
      <c r="M10" s="283">
        <f>_xlfn.IFNA(INDEX(monthly_mortgage_schedule[[Month]:[Calendar Year]],MATCH(L10,monthly_mortgage_schedule[Month],0),2),"Must be &lt;="&amp;" "&amp;total_loan_payments)</f>
        <v>2024</v>
      </c>
      <c r="N10" s="255">
        <v>500</v>
      </c>
      <c r="P10" s="269" t="s">
        <v>121</v>
      </c>
      <c r="Q10" s="270">
        <f>'Data Entry'!$F$12*'Data Entry'!$F$16</f>
        <v>1080</v>
      </c>
      <c r="S10" s="248">
        <v>18</v>
      </c>
      <c r="T10" s="268">
        <f>_xlfn.IFNA(INDEX(monthly_mortgage_schedule[[Month]:[Calendar Year]],MATCH(S10,monthly_mortgage_schedule[Month],0),2),0)</f>
        <v>2023</v>
      </c>
      <c r="U10" s="257">
        <v>3500</v>
      </c>
    </row>
    <row r="11" spans="2:21" ht="13.2" customHeight="1" x14ac:dyDescent="0.25">
      <c r="B11" s="278" t="s">
        <v>463</v>
      </c>
      <c r="C11" s="281">
        <v>1.4999999999999999E-2</v>
      </c>
      <c r="E11" s="278" t="s">
        <v>433</v>
      </c>
      <c r="F11" s="285">
        <f>(F8*F10)</f>
        <v>60000</v>
      </c>
      <c r="H11" s="265" t="s">
        <v>434</v>
      </c>
      <c r="I11" s="261" t="s">
        <v>465</v>
      </c>
      <c r="J11" s="249">
        <v>25</v>
      </c>
      <c r="L11" s="254">
        <v>40</v>
      </c>
      <c r="M11" s="283">
        <f>_xlfn.IFNA(INDEX(monthly_mortgage_schedule[[Month]:[Calendar Year]],MATCH(L11,monthly_mortgage_schedule[Month],0),2),"Must be &lt;="&amp;" "&amp;total_loan_payments)</f>
        <v>2025</v>
      </c>
      <c r="N11" s="255">
        <v>1000</v>
      </c>
      <c r="P11" s="269" t="s">
        <v>125</v>
      </c>
      <c r="Q11" s="256">
        <v>8000</v>
      </c>
      <c r="S11" s="248">
        <v>85</v>
      </c>
      <c r="T11" s="268">
        <f>_xlfn.IFNA(INDEX(monthly_mortgage_schedule[[Month]:[Calendar Year]],MATCH(S11,monthly_mortgage_schedule[Month],0),2),0)</f>
        <v>2029</v>
      </c>
      <c r="U11" s="257">
        <v>10000</v>
      </c>
    </row>
    <row r="12" spans="2:21" ht="13.2" customHeight="1" x14ac:dyDescent="0.25">
      <c r="B12" s="278" t="s">
        <v>567</v>
      </c>
      <c r="C12" s="281">
        <v>0.08</v>
      </c>
      <c r="E12" s="278" t="s">
        <v>451</v>
      </c>
      <c r="F12" s="286">
        <f>F8-F11</f>
        <v>540000</v>
      </c>
      <c r="H12" s="265" t="s">
        <v>434</v>
      </c>
      <c r="I12" s="261" t="s">
        <v>432</v>
      </c>
      <c r="J12" s="249">
        <v>5</v>
      </c>
      <c r="L12" s="254">
        <v>50</v>
      </c>
      <c r="M12" s="283">
        <f>_xlfn.IFNA(INDEX(monthly_mortgage_schedule[[Month]:[Calendar Year]],MATCH(L12,monthly_mortgage_schedule[Month],0),2),"Must be &lt;="&amp;" "&amp;total_loan_payments)</f>
        <v>2026</v>
      </c>
      <c r="N12" s="255">
        <v>500</v>
      </c>
      <c r="P12" s="269" t="s">
        <v>211</v>
      </c>
      <c r="Q12" s="256">
        <v>1100</v>
      </c>
      <c r="S12" s="248">
        <v>87</v>
      </c>
      <c r="T12" s="271">
        <f>_xlfn.IFNA(INDEX(monthly_mortgage_schedule[[Month]:[Calendar Year]],MATCH(S12,monthly_mortgage_schedule[Month],0),2),0)</f>
        <v>2029</v>
      </c>
      <c r="U12" s="257">
        <v>2000</v>
      </c>
    </row>
    <row r="13" spans="2:21" ht="13.2" customHeight="1" x14ac:dyDescent="0.25">
      <c r="B13" s="278" t="s">
        <v>592</v>
      </c>
      <c r="C13" s="287">
        <f>annual_stock_market_return/12</f>
        <v>6.6666666666666671E-3</v>
      </c>
      <c r="E13" s="278" t="s">
        <v>450</v>
      </c>
      <c r="F13" s="288">
        <v>5.6000000000000001E-2</v>
      </c>
      <c r="H13" s="265" t="s">
        <v>434</v>
      </c>
      <c r="I13" s="261" t="s">
        <v>205</v>
      </c>
      <c r="J13" s="249">
        <v>25</v>
      </c>
      <c r="L13" s="254">
        <v>60</v>
      </c>
      <c r="M13" s="283">
        <f>_xlfn.IFNA(INDEX(monthly_mortgage_schedule[[Month]:[Calendar Year]],MATCH(L13,monthly_mortgage_schedule[Month],0),2),"Must be &lt;="&amp;" "&amp;total_loan_payments)</f>
        <v>2026</v>
      </c>
      <c r="N13" s="255">
        <v>5000</v>
      </c>
      <c r="P13" s="269" t="s">
        <v>621</v>
      </c>
      <c r="Q13" s="303"/>
      <c r="S13" s="248">
        <v>100</v>
      </c>
      <c r="T13" s="271">
        <f>_xlfn.IFNA(INDEX(monthly_mortgage_schedule[[Month]:[Calendar Year]],MATCH(S13,monthly_mortgage_schedule[Month],0),2),0)</f>
        <v>2030</v>
      </c>
      <c r="U13" s="257">
        <v>3000</v>
      </c>
    </row>
    <row r="14" spans="2:21" ht="13.2" customHeight="1" x14ac:dyDescent="0.25">
      <c r="B14" s="278" t="s">
        <v>593</v>
      </c>
      <c r="C14" s="289">
        <v>0.08</v>
      </c>
      <c r="E14" s="278" t="s">
        <v>449</v>
      </c>
      <c r="F14" s="290">
        <f>F13/12</f>
        <v>4.6666666666666671E-3</v>
      </c>
      <c r="H14" s="265" t="s">
        <v>434</v>
      </c>
      <c r="I14" s="261" t="s">
        <v>479</v>
      </c>
      <c r="J14" s="249">
        <v>70</v>
      </c>
      <c r="L14" s="254">
        <v>70</v>
      </c>
      <c r="M14" s="283">
        <f>_xlfn.IFNA(INDEX(monthly_mortgage_schedule[[Month]:[Calendar Year]],MATCH(L14,monthly_mortgage_schedule[Month],0),2),"Must be &lt;="&amp;" "&amp;total_loan_payments)</f>
        <v>2027</v>
      </c>
      <c r="N14" s="255">
        <v>500</v>
      </c>
      <c r="P14" s="269" t="s">
        <v>621</v>
      </c>
      <c r="Q14" s="303"/>
      <c r="S14" s="248">
        <v>112</v>
      </c>
      <c r="T14" s="271">
        <f>_xlfn.IFNA(INDEX(monthly_mortgage_schedule[[Month]:[Calendar Year]],MATCH(S14,monthly_mortgage_schedule[Month],0),2),0)</f>
        <v>2031</v>
      </c>
      <c r="U14" s="257">
        <v>30000</v>
      </c>
    </row>
    <row r="15" spans="2:21" ht="13.2" customHeight="1" x14ac:dyDescent="0.25">
      <c r="B15" s="278" t="s">
        <v>594</v>
      </c>
      <c r="C15" s="289">
        <v>0.15</v>
      </c>
      <c r="E15" s="278" t="s">
        <v>505</v>
      </c>
      <c r="F15" s="291">
        <v>0.2</v>
      </c>
      <c r="H15" s="265" t="s">
        <v>434</v>
      </c>
      <c r="I15" s="261" t="s">
        <v>206</v>
      </c>
      <c r="J15" s="249">
        <v>25</v>
      </c>
      <c r="L15" s="254">
        <v>80</v>
      </c>
      <c r="M15" s="283">
        <f>_xlfn.IFNA(INDEX(monthly_mortgage_schedule[[Month]:[Calendar Year]],MATCH(L15,monthly_mortgage_schedule[Month],0),2),"Must be &lt;="&amp;" "&amp;total_loan_payments)</f>
        <v>2028</v>
      </c>
      <c r="N15" s="255">
        <v>500</v>
      </c>
      <c r="P15" s="269" t="s">
        <v>621</v>
      </c>
      <c r="Q15" s="303"/>
      <c r="S15" s="248" t="s">
        <v>621</v>
      </c>
      <c r="T15" s="271">
        <f>_xlfn.IFNA(INDEX(monthly_mortgage_schedule[[Month]:[Calendar Year]],MATCH(S15,monthly_mortgage_schedule[Month],0),2),0)</f>
        <v>0</v>
      </c>
      <c r="U15" s="257"/>
    </row>
    <row r="16" spans="2:21" ht="13.2" customHeight="1" x14ac:dyDescent="0.25">
      <c r="B16" s="18" t="str">
        <f>"Cost of Rental"&amp;" "&amp;"("&amp;purchase_year&amp;")"</f>
        <v>Cost of Rental (2022)</v>
      </c>
      <c r="C16" s="292">
        <v>3000</v>
      </c>
      <c r="E16" s="278" t="s">
        <v>504</v>
      </c>
      <c r="F16" s="293">
        <v>2E-3</v>
      </c>
      <c r="H16" s="265" t="s">
        <v>434</v>
      </c>
      <c r="I16" s="261" t="s">
        <v>207</v>
      </c>
      <c r="J16" s="249">
        <v>1250</v>
      </c>
      <c r="L16" s="254">
        <v>90</v>
      </c>
      <c r="M16" s="283">
        <f>_xlfn.IFNA(INDEX(monthly_mortgage_schedule[[Month]:[Calendar Year]],MATCH(L16,monthly_mortgage_schedule[Month],0),2),"Must be &lt;="&amp;" "&amp;total_loan_payments)</f>
        <v>2029</v>
      </c>
      <c r="N16" s="255">
        <v>4000</v>
      </c>
      <c r="P16" s="269" t="s">
        <v>621</v>
      </c>
      <c r="Q16" s="303"/>
      <c r="S16" s="248" t="s">
        <v>621</v>
      </c>
      <c r="T16" s="271">
        <f>_xlfn.IFNA(INDEX(monthly_mortgage_schedule[[Month]:[Calendar Year]],MATCH(S16,monthly_mortgage_schedule[Month],0),2),0)</f>
        <v>0</v>
      </c>
      <c r="U16" s="257"/>
    </row>
    <row r="17" spans="2:21" ht="13.2" customHeight="1" x14ac:dyDescent="0.25">
      <c r="B17" s="18" t="s">
        <v>490</v>
      </c>
      <c r="C17" s="294">
        <v>0.04</v>
      </c>
      <c r="E17" s="278" t="s">
        <v>210</v>
      </c>
      <c r="F17" s="18">
        <f>F9*12</f>
        <v>360</v>
      </c>
      <c r="H17" s="265" t="s">
        <v>434</v>
      </c>
      <c r="I17" s="261" t="s">
        <v>209</v>
      </c>
      <c r="J17" s="249">
        <v>700</v>
      </c>
      <c r="L17" s="254">
        <v>100</v>
      </c>
      <c r="M17" s="283">
        <f>_xlfn.IFNA(INDEX(monthly_mortgage_schedule[[Month]:[Calendar Year]],MATCH(L17,monthly_mortgage_schedule[Month],0),2),"Must be &lt;="&amp;" "&amp;total_loan_payments)</f>
        <v>2030</v>
      </c>
      <c r="N17" s="255">
        <v>3000</v>
      </c>
      <c r="P17" s="269" t="s">
        <v>621</v>
      </c>
      <c r="Q17" s="303"/>
      <c r="S17" s="248" t="s">
        <v>621</v>
      </c>
      <c r="T17" s="271">
        <f>_xlfn.IFNA(INDEX(monthly_mortgage_schedule[[Month]:[Calendar Year]],MATCH(S17,monthly_mortgage_schedule[Month],0),2),0)</f>
        <v>0</v>
      </c>
      <c r="U17" s="257"/>
    </row>
    <row r="18" spans="2:21" ht="13.2" customHeight="1" x14ac:dyDescent="0.25">
      <c r="B18" s="283" t="s">
        <v>596</v>
      </c>
      <c r="C18" s="295">
        <f>purchase_price/(monthly_rental_cost*12)</f>
        <v>16.666666666666668</v>
      </c>
      <c r="E18" s="245" t="s">
        <v>456</v>
      </c>
      <c r="F18" s="296">
        <f>PMT(F14,F17,-F12,0,0)</f>
        <v>3100.0264954634081</v>
      </c>
      <c r="H18" s="265" t="s">
        <v>447</v>
      </c>
      <c r="I18" s="265" t="s">
        <v>212</v>
      </c>
      <c r="J18" s="249">
        <v>175</v>
      </c>
      <c r="L18" s="254">
        <v>110</v>
      </c>
      <c r="M18" s="283">
        <f>_xlfn.IFNA(INDEX(monthly_mortgage_schedule[[Month]:[Calendar Year]],MATCH(L18,monthly_mortgage_schedule[Month],0),2),"Must be &lt;="&amp;" "&amp;total_loan_payments)</f>
        <v>2031</v>
      </c>
      <c r="N18" s="255">
        <v>500</v>
      </c>
      <c r="P18" s="269" t="s">
        <v>621</v>
      </c>
      <c r="Q18" s="303"/>
      <c r="S18" s="248" t="s">
        <v>621</v>
      </c>
      <c r="T18" s="271">
        <f>_xlfn.IFNA(INDEX(monthly_mortgage_schedule[[Month]:[Calendar Year]],MATCH(S18,monthly_mortgage_schedule[Month],0),2),0)</f>
        <v>0</v>
      </c>
      <c r="U18" s="257"/>
    </row>
    <row r="19" spans="2:21" ht="26.4" x14ac:dyDescent="0.25">
      <c r="E19" s="245" t="s">
        <v>512</v>
      </c>
      <c r="F19" s="246">
        <f>F18+(SUM(annual_pmi+annual_property_taxes+annual_home_insurance)/12)</f>
        <v>3948.3598287967416</v>
      </c>
      <c r="H19" s="265" t="s">
        <v>447</v>
      </c>
      <c r="I19" s="265" t="s">
        <v>445</v>
      </c>
      <c r="J19" s="249">
        <f>(purchase_price*state_transfer_tax)/2</f>
        <v>4500</v>
      </c>
      <c r="L19" s="254">
        <v>120</v>
      </c>
      <c r="M19" s="283">
        <f>_xlfn.IFNA(INDEX(monthly_mortgage_schedule[[Month]:[Calendar Year]],MATCH(L19,monthly_mortgage_schedule[Month],0),2),"Must be &lt;="&amp;" "&amp;total_loan_payments)</f>
        <v>2031</v>
      </c>
      <c r="N19" s="255">
        <v>4000</v>
      </c>
      <c r="P19" s="269" t="s">
        <v>621</v>
      </c>
      <c r="Q19" s="303"/>
      <c r="S19" s="248" t="s">
        <v>621</v>
      </c>
      <c r="T19" s="271">
        <f>_xlfn.IFNA(INDEX(monthly_mortgage_schedule[[Month]:[Calendar Year]],MATCH(S19,monthly_mortgage_schedule[Month],0),2),0)</f>
        <v>0</v>
      </c>
      <c r="U19" s="257"/>
    </row>
    <row r="20" spans="2:21" ht="26.4" x14ac:dyDescent="0.25">
      <c r="E20" s="245" t="s">
        <v>513</v>
      </c>
      <c r="F20" s="246">
        <f>F18+(SUM(annual_property_taxes+annual_home_insurance)/12)</f>
        <v>3858.3598287967416</v>
      </c>
      <c r="H20" s="265" t="s">
        <v>213</v>
      </c>
      <c r="I20" s="265" t="s">
        <v>214</v>
      </c>
      <c r="J20" s="250">
        <f>1200</f>
        <v>1200</v>
      </c>
      <c r="L20" s="254">
        <v>130</v>
      </c>
      <c r="M20" s="283">
        <f>_xlfn.IFNA(INDEX(monthly_mortgage_schedule[[Month]:[Calendar Year]],MATCH(L20,monthly_mortgage_schedule[Month],0),2),"Must be &lt;="&amp;" "&amp;total_loan_payments)</f>
        <v>2032</v>
      </c>
      <c r="N20" s="255">
        <v>500</v>
      </c>
      <c r="P20" s="269" t="s">
        <v>621</v>
      </c>
      <c r="Q20" s="303"/>
      <c r="S20" s="248" t="s">
        <v>621</v>
      </c>
      <c r="T20" s="271">
        <f>_xlfn.IFNA(INDEX(monthly_mortgage_schedule[[Month]:[Calendar Year]],MATCH(S20,monthly_mortgage_schedule[Month],0),2),0)</f>
        <v>0</v>
      </c>
      <c r="U20" s="257"/>
    </row>
    <row r="21" spans="2:21" ht="13.2" customHeight="1" x14ac:dyDescent="0.25">
      <c r="E21" s="245" t="s">
        <v>220</v>
      </c>
      <c r="F21" s="297">
        <f>down_payment_dollars+SUM(initial_loan_costs[$])</f>
        <v>71075</v>
      </c>
      <c r="H21" s="265" t="s">
        <v>213</v>
      </c>
      <c r="I21" s="265" t="s">
        <v>215</v>
      </c>
      <c r="J21" s="250">
        <v>750</v>
      </c>
      <c r="L21" s="254">
        <v>140</v>
      </c>
      <c r="M21" s="283">
        <f>_xlfn.IFNA(INDEX(monthly_mortgage_schedule[[Month]:[Calendar Year]],MATCH(L21,monthly_mortgage_schedule[Month],0),2),"Must be &lt;="&amp;" "&amp;total_loan_payments)</f>
        <v>2033</v>
      </c>
      <c r="N21" s="255">
        <v>7500</v>
      </c>
      <c r="P21" s="269" t="s">
        <v>621</v>
      </c>
      <c r="Q21" s="303"/>
      <c r="S21" s="248" t="s">
        <v>621</v>
      </c>
      <c r="T21" s="271">
        <f>_xlfn.IFNA(INDEX(monthly_mortgage_schedule[[Month]:[Calendar Year]],MATCH(S21,monthly_mortgage_schedule[Month],0),2),0)</f>
        <v>0</v>
      </c>
      <c r="U21" s="257"/>
    </row>
    <row r="22" spans="2:21" ht="13.2" customHeight="1" x14ac:dyDescent="0.25">
      <c r="H22" s="265" t="s">
        <v>213</v>
      </c>
      <c r="I22" s="265" t="s">
        <v>125</v>
      </c>
      <c r="J22" s="251">
        <v>250</v>
      </c>
      <c r="L22" s="254">
        <v>150</v>
      </c>
      <c r="M22" s="283">
        <f>_xlfn.IFNA(INDEX(monthly_mortgage_schedule[[Month]:[Calendar Year]],MATCH(L22,monthly_mortgage_schedule[Month],0),2),"Must be &lt;="&amp;" "&amp;total_loan_payments)</f>
        <v>2034</v>
      </c>
      <c r="N22" s="255">
        <v>1200</v>
      </c>
      <c r="P22" s="269" t="s">
        <v>621</v>
      </c>
      <c r="Q22" s="303"/>
      <c r="S22" s="248" t="s">
        <v>621</v>
      </c>
      <c r="T22" s="271">
        <f>_xlfn.IFNA(INDEX(monthly_mortgage_schedule[[Month]:[Calendar Year]],MATCH(S22,monthly_mortgage_schedule[Month],0),2),0)</f>
        <v>0</v>
      </c>
      <c r="U22" s="257"/>
    </row>
    <row r="23" spans="2:21" ht="13.2" customHeight="1" x14ac:dyDescent="0.25">
      <c r="H23" s="265" t="s">
        <v>493</v>
      </c>
      <c r="I23" s="272" t="s">
        <v>218</v>
      </c>
      <c r="J23" s="252">
        <v>150</v>
      </c>
      <c r="L23" s="254">
        <v>160</v>
      </c>
      <c r="M23" s="283">
        <f>_xlfn.IFNA(INDEX(monthly_mortgage_schedule[[Month]:[Calendar Year]],MATCH(L23,monthly_mortgage_schedule[Month],0),2),"Must be &lt;="&amp;" "&amp;total_loan_payments)</f>
        <v>2035</v>
      </c>
      <c r="N23" s="255">
        <v>50</v>
      </c>
      <c r="P23" s="269" t="s">
        <v>621</v>
      </c>
      <c r="Q23" s="303"/>
      <c r="S23" s="248" t="s">
        <v>621</v>
      </c>
      <c r="T23" s="271">
        <f>_xlfn.IFNA(INDEX(monthly_mortgage_schedule[[Month]:[Calendar Year]],MATCH(S23,monthly_mortgage_schedule[Month],0),2),0)</f>
        <v>0</v>
      </c>
      <c r="U23" s="257"/>
    </row>
    <row r="24" spans="2:21" ht="13.2" customHeight="1" x14ac:dyDescent="0.25">
      <c r="B24" s="307" t="s">
        <v>516</v>
      </c>
      <c r="C24" s="307"/>
      <c r="H24" s="261" t="s">
        <v>189</v>
      </c>
      <c r="I24" s="273" t="s">
        <v>219</v>
      </c>
      <c r="J24" s="253">
        <v>500</v>
      </c>
      <c r="L24" s="254">
        <v>170</v>
      </c>
      <c r="M24" s="283">
        <f>_xlfn.IFNA(INDEX(monthly_mortgage_schedule[[Month]:[Calendar Year]],MATCH(L24,monthly_mortgage_schedule[Month],0),2),"Must be &lt;="&amp;" "&amp;total_loan_payments)</f>
        <v>2036</v>
      </c>
      <c r="N24" s="255">
        <v>250</v>
      </c>
      <c r="P24" s="269" t="s">
        <v>621</v>
      </c>
      <c r="Q24" s="303"/>
      <c r="S24" s="248" t="s">
        <v>621</v>
      </c>
      <c r="T24" s="271">
        <f>_xlfn.IFNA(INDEX(monthly_mortgage_schedule[[Month]:[Calendar Year]],MATCH(S24,monthly_mortgage_schedule[Month],0),2),0)</f>
        <v>0</v>
      </c>
      <c r="U24" s="257"/>
    </row>
    <row r="25" spans="2:21" ht="13.2" customHeight="1" x14ac:dyDescent="0.25">
      <c r="B25" s="278" t="s">
        <v>484</v>
      </c>
      <c r="C25" s="298">
        <f>SUM(additional_mortgage_payments[Additional Principal ($)])</f>
        <v>39250</v>
      </c>
      <c r="H25" s="261" t="s">
        <v>621</v>
      </c>
      <c r="I25" s="261"/>
      <c r="J25" s="302"/>
      <c r="L25" s="254">
        <v>180</v>
      </c>
      <c r="M25" s="283">
        <f>_xlfn.IFNA(INDEX(monthly_mortgage_schedule[[Month]:[Calendar Year]],MATCH(L25,monthly_mortgage_schedule[Month],0),2),"Must be &lt;="&amp;" "&amp;total_loan_payments)</f>
        <v>2036</v>
      </c>
      <c r="N25" s="255">
        <v>500</v>
      </c>
      <c r="P25" s="269" t="s">
        <v>621</v>
      </c>
      <c r="Q25" s="303"/>
      <c r="S25" s="248" t="s">
        <v>621</v>
      </c>
      <c r="T25" s="271">
        <f>_xlfn.IFNA(INDEX(monthly_mortgage_schedule[[Month]:[Calendar Year]],MATCH(S25,monthly_mortgage_schedule[Month],0),2),0)</f>
        <v>0</v>
      </c>
      <c r="U25" s="257"/>
    </row>
    <row r="26" spans="2:21" ht="13.2" customHeight="1" x14ac:dyDescent="0.25">
      <c r="B26" s="278" t="s">
        <v>501</v>
      </c>
      <c r="C26" s="298">
        <f>SUM(monthly_mortgage_schedule[Interest With Extra Principal Payments])</f>
        <v>506863.32958102645</v>
      </c>
      <c r="H26" s="261" t="s">
        <v>621</v>
      </c>
      <c r="I26" s="261"/>
      <c r="J26" s="302"/>
      <c r="L26" s="254">
        <v>190</v>
      </c>
      <c r="M26" s="283">
        <f>_xlfn.IFNA(INDEX(monthly_mortgage_schedule[[Month]:[Calendar Year]],MATCH(L26,monthly_mortgage_schedule[Month],0),2),"Must be &lt;="&amp;" "&amp;total_loan_payments)</f>
        <v>2037</v>
      </c>
      <c r="N26" s="255">
        <v>500</v>
      </c>
      <c r="P26" s="269" t="s">
        <v>621</v>
      </c>
      <c r="Q26" s="303"/>
      <c r="S26" s="248" t="s">
        <v>621</v>
      </c>
      <c r="T26" s="271">
        <f>_xlfn.IFNA(INDEX(monthly_mortgage_schedule[[Month]:[Calendar Year]],MATCH(S26,monthly_mortgage_schedule[Month],0),2),0)</f>
        <v>0</v>
      </c>
      <c r="U26" s="257"/>
    </row>
    <row r="27" spans="2:21" ht="13.2" customHeight="1" x14ac:dyDescent="0.25">
      <c r="B27" s="278" t="s">
        <v>502</v>
      </c>
      <c r="C27" s="298">
        <f>SUM(monthly_mortgage_schedule[Interest Without Extra Principal Payments])</f>
        <v>576009.53836682683</v>
      </c>
      <c r="H27" s="261" t="s">
        <v>621</v>
      </c>
      <c r="I27" s="261"/>
      <c r="J27" s="302"/>
      <c r="L27" s="254">
        <v>200</v>
      </c>
      <c r="M27" s="283">
        <f>_xlfn.IFNA(INDEX(monthly_mortgage_schedule[[Month]:[Calendar Year]],MATCH(L27,monthly_mortgage_schedule[Month],0),2),"Must be &lt;="&amp;" "&amp;total_loan_payments)</f>
        <v>2038</v>
      </c>
      <c r="N27" s="255">
        <v>500</v>
      </c>
      <c r="P27" s="269" t="s">
        <v>621</v>
      </c>
      <c r="Q27" s="303"/>
      <c r="S27" s="248" t="s">
        <v>621</v>
      </c>
      <c r="T27" s="271">
        <f>_xlfn.IFNA(INDEX(monthly_mortgage_schedule[[Month]:[Calendar Year]],MATCH(S27,monthly_mortgage_schedule[Month],0),2),0)</f>
        <v>0</v>
      </c>
      <c r="U27" s="257"/>
    </row>
    <row r="28" spans="2:21" ht="13.2" customHeight="1" x14ac:dyDescent="0.25">
      <c r="B28" s="278" t="s">
        <v>517</v>
      </c>
      <c r="C28" s="298">
        <f>C27-C26</f>
        <v>69146.20878580038</v>
      </c>
      <c r="H28" s="261" t="s">
        <v>621</v>
      </c>
      <c r="I28" s="261"/>
      <c r="J28" s="302"/>
      <c r="L28" s="254">
        <v>210</v>
      </c>
      <c r="M28" s="283">
        <f>_xlfn.IFNA(INDEX(monthly_mortgage_schedule[[Month]:[Calendar Year]],MATCH(L28,monthly_mortgage_schedule[Month],0),2),"Must be &lt;="&amp;" "&amp;total_loan_payments)</f>
        <v>2039</v>
      </c>
      <c r="N28" s="255">
        <v>750</v>
      </c>
      <c r="P28" s="269" t="s">
        <v>621</v>
      </c>
      <c r="Q28" s="303"/>
      <c r="S28" s="248" t="s">
        <v>621</v>
      </c>
      <c r="T28" s="271">
        <f>_xlfn.IFNA(INDEX(monthly_mortgage_schedule[[Month]:[Calendar Year]],MATCH(S28,monthly_mortgage_schedule[Month],0),2),0)</f>
        <v>0</v>
      </c>
      <c r="U28" s="257"/>
    </row>
    <row r="29" spans="2:21" ht="13.2" customHeight="1" x14ac:dyDescent="0.25">
      <c r="B29" s="278" t="s">
        <v>452</v>
      </c>
      <c r="C29" s="299">
        <f>SUM(mortgage[PMI])</f>
        <v>6570</v>
      </c>
      <c r="H29" s="261" t="s">
        <v>621</v>
      </c>
      <c r="I29" s="261"/>
      <c r="J29" s="302"/>
      <c r="L29" s="254">
        <v>220</v>
      </c>
      <c r="M29" s="283">
        <f>_xlfn.IFNA(INDEX(monthly_mortgage_schedule[[Month]:[Calendar Year]],MATCH(L29,monthly_mortgage_schedule[Month],0),2),"Must be &lt;="&amp;" "&amp;total_loan_payments)</f>
        <v>2040</v>
      </c>
      <c r="N29" s="255">
        <v>500</v>
      </c>
    </row>
    <row r="30" spans="2:21" ht="13.2" customHeight="1" x14ac:dyDescent="0.25">
      <c r="B30" s="278" t="s">
        <v>476</v>
      </c>
      <c r="C30" s="300">
        <f>_xlfn.MINIFS(monthly_mortgage_schedule[Month],monthly_mortgage_schedule[Loan Balance (BOY)],0)</f>
        <v>327</v>
      </c>
      <c r="H30" s="261" t="s">
        <v>621</v>
      </c>
      <c r="I30" s="261"/>
      <c r="J30" s="302"/>
      <c r="L30" s="254">
        <v>230</v>
      </c>
      <c r="M30" s="283">
        <f>_xlfn.IFNA(INDEX(monthly_mortgage_schedule[[Month]:[Calendar Year]],MATCH(L30,monthly_mortgage_schedule[Month],0),2),"Must be &lt;="&amp;" "&amp;total_loan_payments)</f>
        <v>2041</v>
      </c>
      <c r="N30" s="255">
        <v>500</v>
      </c>
    </row>
    <row r="31" spans="2:21" ht="13.2" customHeight="1" x14ac:dyDescent="0.25">
      <c r="B31" s="278" t="s">
        <v>477</v>
      </c>
      <c r="C31" s="300">
        <f>_xlfn.MINIFS(monthly_mortgage_schedule[Calendar Year],monthly_mortgage_schedule[Loan Balance (BOY)],0)</f>
        <v>2049</v>
      </c>
      <c r="H31" s="261" t="s">
        <v>621</v>
      </c>
      <c r="I31" s="261"/>
      <c r="J31" s="302"/>
      <c r="L31" s="254">
        <v>240</v>
      </c>
      <c r="M31" s="283">
        <f>_xlfn.IFNA(INDEX(monthly_mortgage_schedule[[Month]:[Calendar Year]],MATCH(L31,monthly_mortgage_schedule[Month],0),2),"Must be &lt;="&amp;" "&amp;total_loan_payments)</f>
        <v>2041</v>
      </c>
      <c r="N31" s="255">
        <v>500</v>
      </c>
    </row>
    <row r="32" spans="2:21" ht="13.2" customHeight="1" x14ac:dyDescent="0.25">
      <c r="B32" s="278" t="s">
        <v>481</v>
      </c>
      <c r="C32" s="300">
        <f>total_loan_payments-month_mortgage_paid_off</f>
        <v>33</v>
      </c>
      <c r="H32" s="261" t="s">
        <v>621</v>
      </c>
      <c r="I32" s="261"/>
      <c r="J32" s="302"/>
      <c r="L32" s="254">
        <v>250</v>
      </c>
      <c r="M32" s="283">
        <f>_xlfn.IFNA(INDEX(monthly_mortgage_schedule[[Month]:[Calendar Year]],MATCH(L32,monthly_mortgage_schedule[Month],0),2),"Must be &lt;="&amp;" "&amp;total_loan_payments)</f>
        <v>2042</v>
      </c>
      <c r="N32" s="255">
        <v>500</v>
      </c>
    </row>
    <row r="33" spans="2:14" ht="13.2" customHeight="1" x14ac:dyDescent="0.25">
      <c r="B33" s="278" t="s">
        <v>478</v>
      </c>
      <c r="C33" s="300">
        <f>(purchase_year+loan_term_years)-year_mortgage_paid_off</f>
        <v>3</v>
      </c>
      <c r="H33" s="261" t="s">
        <v>621</v>
      </c>
      <c r="I33" s="261"/>
      <c r="J33" s="302"/>
      <c r="L33" s="254">
        <v>260</v>
      </c>
      <c r="M33" s="283">
        <f>_xlfn.IFNA(INDEX(monthly_mortgage_schedule[[Month]:[Calendar Year]],MATCH(L33,monthly_mortgage_schedule[Month],0),2),"Must be &lt;="&amp;" "&amp;total_loan_payments)</f>
        <v>2043</v>
      </c>
      <c r="N33" s="255">
        <v>500</v>
      </c>
    </row>
    <row r="34" spans="2:14" ht="13.2" customHeight="1" x14ac:dyDescent="0.25">
      <c r="H34" s="261" t="s">
        <v>621</v>
      </c>
      <c r="I34" s="261"/>
      <c r="J34" s="302"/>
      <c r="L34" s="254">
        <v>270</v>
      </c>
      <c r="M34" s="283">
        <f>_xlfn.IFNA(INDEX(monthly_mortgage_schedule[[Month]:[Calendar Year]],MATCH(L34,monthly_mortgage_schedule[Month],0),2),"Must be &lt;="&amp;" "&amp;total_loan_payments)</f>
        <v>2044</v>
      </c>
      <c r="N34" s="255">
        <v>500</v>
      </c>
    </row>
    <row r="35" spans="2:14" ht="13.2" customHeight="1" x14ac:dyDescent="0.25">
      <c r="H35" s="261" t="s">
        <v>621</v>
      </c>
      <c r="I35" s="261"/>
      <c r="J35" s="302"/>
      <c r="L35" s="254">
        <v>280</v>
      </c>
      <c r="M35" s="283">
        <f>_xlfn.IFNA(INDEX(monthly_mortgage_schedule[[Month]:[Calendar Year]],MATCH(L35,monthly_mortgage_schedule[Month],0),2),"Must be &lt;="&amp;" "&amp;total_loan_payments)</f>
        <v>2045</v>
      </c>
      <c r="N35" s="255">
        <v>500</v>
      </c>
    </row>
    <row r="36" spans="2:14" ht="13.2" customHeight="1" x14ac:dyDescent="0.25">
      <c r="H36" s="261" t="s">
        <v>621</v>
      </c>
      <c r="I36" s="261"/>
      <c r="J36" s="302"/>
      <c r="L36" s="248">
        <v>295</v>
      </c>
      <c r="M36" s="283">
        <f>_xlfn.IFNA(INDEX(monthly_mortgage_schedule[[Month]:[Calendar Year]],MATCH(L36,monthly_mortgage_schedule[Month],0),2),"Must be &lt;="&amp;" "&amp;total_loan_payments)</f>
        <v>2046</v>
      </c>
      <c r="N36" s="252">
        <v>2000</v>
      </c>
    </row>
    <row r="37" spans="2:14" ht="13.2" customHeight="1" x14ac:dyDescent="0.25">
      <c r="H37" s="261" t="s">
        <v>621</v>
      </c>
      <c r="I37" s="261"/>
      <c r="J37" s="302"/>
      <c r="L37" s="248">
        <v>300</v>
      </c>
      <c r="M37" s="283">
        <f>_xlfn.IFNA(INDEX(monthly_mortgage_schedule[[Month]:[Calendar Year]],MATCH(L37,monthly_mortgage_schedule[Month],0),2),"Must be &lt;="&amp;" "&amp;total_loan_payments)</f>
        <v>2046</v>
      </c>
      <c r="N37" s="252">
        <v>1500</v>
      </c>
    </row>
    <row r="38" spans="2:14" ht="13.2" customHeight="1" x14ac:dyDescent="0.25">
      <c r="H38" s="261" t="s">
        <v>621</v>
      </c>
      <c r="I38" s="261"/>
      <c r="J38" s="302"/>
      <c r="L38" s="248" t="s">
        <v>621</v>
      </c>
      <c r="M38" s="283" t="str">
        <f>_xlfn.IFNA(INDEX(monthly_mortgage_schedule[[Month]:[Calendar Year]],MATCH(L38,monthly_mortgage_schedule[Month],0),2),"Must be &lt;="&amp;" "&amp;total_loan_payments)</f>
        <v>Must be &lt;= 360</v>
      </c>
      <c r="N38" s="302"/>
    </row>
    <row r="39" spans="2:14" ht="13.2" customHeight="1" x14ac:dyDescent="0.25">
      <c r="H39" s="261" t="s">
        <v>621</v>
      </c>
      <c r="I39" s="261"/>
      <c r="J39" s="302"/>
      <c r="L39" s="248" t="s">
        <v>621</v>
      </c>
      <c r="M39" s="283" t="str">
        <f>_xlfn.IFNA(INDEX(monthly_mortgage_schedule[[Month]:[Calendar Year]],MATCH(L39,monthly_mortgage_schedule[Month],0),2),"Must be &lt;="&amp;" "&amp;total_loan_payments)</f>
        <v>Must be &lt;= 360</v>
      </c>
      <c r="N39" s="302"/>
    </row>
    <row r="40" spans="2:14" ht="13.2" customHeight="1" x14ac:dyDescent="0.25">
      <c r="H40" s="261" t="s">
        <v>621</v>
      </c>
      <c r="I40" s="261"/>
      <c r="J40" s="302"/>
      <c r="L40" s="248" t="s">
        <v>621</v>
      </c>
      <c r="M40" s="283" t="str">
        <f>_xlfn.IFNA(INDEX(monthly_mortgage_schedule[[Month]:[Calendar Year]],MATCH(L40,monthly_mortgage_schedule[Month],0),2),"Must be &lt;="&amp;" "&amp;total_loan_payments)</f>
        <v>Must be &lt;= 360</v>
      </c>
      <c r="N40" s="302"/>
    </row>
    <row r="41" spans="2:14" ht="13.2" customHeight="1" x14ac:dyDescent="0.25">
      <c r="H41" s="261" t="s">
        <v>621</v>
      </c>
      <c r="I41" s="261"/>
      <c r="J41" s="302"/>
      <c r="L41" s="248" t="s">
        <v>621</v>
      </c>
      <c r="M41" s="283" t="str">
        <f>_xlfn.IFNA(INDEX(monthly_mortgage_schedule[[Month]:[Calendar Year]],MATCH(L41,monthly_mortgage_schedule[Month],0),2),"Must be &lt;="&amp;" "&amp;total_loan_payments)</f>
        <v>Must be &lt;= 360</v>
      </c>
      <c r="N41" s="302"/>
    </row>
    <row r="42" spans="2:14" ht="13.2" customHeight="1" x14ac:dyDescent="0.25">
      <c r="H42" s="261" t="s">
        <v>621</v>
      </c>
      <c r="I42" s="261"/>
      <c r="J42" s="302"/>
      <c r="L42" s="248" t="s">
        <v>621</v>
      </c>
      <c r="M42" s="283" t="str">
        <f>_xlfn.IFNA(INDEX(monthly_mortgage_schedule[[Month]:[Calendar Year]],MATCH(L42,monthly_mortgage_schedule[Month],0),2),"Must be &lt;="&amp;" "&amp;total_loan_payments)</f>
        <v>Must be &lt;= 360</v>
      </c>
      <c r="N42" s="302"/>
    </row>
    <row r="43" spans="2:14" ht="13.2" customHeight="1" x14ac:dyDescent="0.25">
      <c r="H43" s="261" t="s">
        <v>621</v>
      </c>
      <c r="I43" s="261"/>
      <c r="J43" s="302"/>
      <c r="L43" s="248" t="s">
        <v>621</v>
      </c>
      <c r="M43" s="283" t="str">
        <f>_xlfn.IFNA(INDEX(monthly_mortgage_schedule[[Month]:[Calendar Year]],MATCH(L43,monthly_mortgage_schedule[Month],0),2),"Must be &lt;="&amp;" "&amp;total_loan_payments)</f>
        <v>Must be &lt;= 360</v>
      </c>
      <c r="N43" s="302"/>
    </row>
    <row r="44" spans="2:14" ht="13.2" customHeight="1" x14ac:dyDescent="0.25">
      <c r="L44" s="248" t="s">
        <v>621</v>
      </c>
      <c r="M44" s="283" t="str">
        <f>_xlfn.IFNA(INDEX(monthly_mortgage_schedule[[Month]:[Calendar Year]],MATCH(L44,monthly_mortgage_schedule[Month],0),2),"Must be &lt;="&amp;" "&amp;total_loan_payments)</f>
        <v>Must be &lt;= 360</v>
      </c>
      <c r="N44" s="302"/>
    </row>
    <row r="45" spans="2:14" ht="13.2" customHeight="1" x14ac:dyDescent="0.25">
      <c r="L45" s="248" t="s">
        <v>621</v>
      </c>
      <c r="M45" s="283" t="str">
        <f>_xlfn.IFNA(INDEX(monthly_mortgage_schedule[[Month]:[Calendar Year]],MATCH(L45,monthly_mortgage_schedule[Month],0),2),"Must be &lt;="&amp;" "&amp;total_loan_payments)</f>
        <v>Must be &lt;= 360</v>
      </c>
      <c r="N45" s="302"/>
    </row>
    <row r="46" spans="2:14" ht="13.2" customHeight="1" x14ac:dyDescent="0.25">
      <c r="L46" s="248" t="s">
        <v>621</v>
      </c>
      <c r="M46" s="283" t="str">
        <f>_xlfn.IFNA(INDEX(monthly_mortgage_schedule[[Month]:[Calendar Year]],MATCH(L46,monthly_mortgage_schedule[Month],0),2),"Must be &lt;="&amp;" "&amp;total_loan_payments)</f>
        <v>Must be &lt;= 360</v>
      </c>
      <c r="N46" s="302"/>
    </row>
    <row r="47" spans="2:14" ht="13.2" customHeight="1" x14ac:dyDescent="0.25">
      <c r="L47" s="248" t="s">
        <v>621</v>
      </c>
      <c r="M47" s="283" t="str">
        <f>_xlfn.IFNA(INDEX(monthly_mortgage_schedule[[Month]:[Calendar Year]],MATCH(L47,monthly_mortgage_schedule[Month],0),2),"Must be &lt;="&amp;" "&amp;total_loan_payments)</f>
        <v>Must be &lt;= 360</v>
      </c>
      <c r="N47" s="302"/>
    </row>
    <row r="48" spans="2:14" ht="13.2" customHeight="1" x14ac:dyDescent="0.25">
      <c r="L48" s="248" t="s">
        <v>621</v>
      </c>
      <c r="M48" s="283" t="str">
        <f>_xlfn.IFNA(INDEX(monthly_mortgage_schedule[[Month]:[Calendar Year]],MATCH(L48,monthly_mortgage_schedule[Month],0),2),"Must be &lt;="&amp;" "&amp;total_loan_payments)</f>
        <v>Must be &lt;= 360</v>
      </c>
      <c r="N48" s="302"/>
    </row>
    <row r="49" spans="12:14" ht="13.2" customHeight="1" x14ac:dyDescent="0.25">
      <c r="L49" s="248" t="s">
        <v>621</v>
      </c>
      <c r="M49" s="283" t="str">
        <f>_xlfn.IFNA(INDEX(monthly_mortgage_schedule[[Month]:[Calendar Year]],MATCH(L49,monthly_mortgage_schedule[Month],0),2),"Must be &lt;="&amp;" "&amp;total_loan_payments)</f>
        <v>Must be &lt;= 360</v>
      </c>
      <c r="N49" s="302"/>
    </row>
    <row r="50" spans="12:14" ht="13.2" customHeight="1" x14ac:dyDescent="0.25">
      <c r="L50" s="248" t="s">
        <v>621</v>
      </c>
      <c r="M50" s="283" t="str">
        <f>_xlfn.IFNA(INDEX(monthly_mortgage_schedule[[Month]:[Calendar Year]],MATCH(L50,monthly_mortgage_schedule[Month],0),2),"Must be &lt;="&amp;" "&amp;total_loan_payments)</f>
        <v>Must be &lt;= 360</v>
      </c>
      <c r="N50" s="302"/>
    </row>
    <row r="51" spans="12:14" ht="13.2" customHeight="1" x14ac:dyDescent="0.25">
      <c r="L51" s="248" t="s">
        <v>621</v>
      </c>
      <c r="M51" s="283" t="str">
        <f>_xlfn.IFNA(INDEX(monthly_mortgage_schedule[[Month]:[Calendar Year]],MATCH(L51,monthly_mortgage_schedule[Month],0),2),"Must be &lt;="&amp;" "&amp;total_loan_payments)</f>
        <v>Must be &lt;= 360</v>
      </c>
      <c r="N51" s="302"/>
    </row>
    <row r="52" spans="12:14" ht="13.2" customHeight="1" x14ac:dyDescent="0.25">
      <c r="L52" s="248" t="s">
        <v>621</v>
      </c>
      <c r="M52" s="283" t="str">
        <f>_xlfn.IFNA(INDEX(monthly_mortgage_schedule[[Month]:[Calendar Year]],MATCH(L52,monthly_mortgage_schedule[Month],0),2),"Must be &lt;="&amp;" "&amp;total_loan_payments)</f>
        <v>Must be &lt;= 360</v>
      </c>
      <c r="N52" s="302"/>
    </row>
    <row r="53" spans="12:14" ht="13.2" customHeight="1" x14ac:dyDescent="0.25">
      <c r="L53" s="248" t="s">
        <v>621</v>
      </c>
      <c r="M53" s="283" t="str">
        <f>_xlfn.IFNA(INDEX(monthly_mortgage_schedule[[Month]:[Calendar Year]],MATCH(L53,monthly_mortgage_schedule[Month],0),2),"Must be &lt;="&amp;" "&amp;total_loan_payments)</f>
        <v>Must be &lt;= 360</v>
      </c>
      <c r="N53" s="302"/>
    </row>
    <row r="54" spans="12:14" ht="13.2" customHeight="1" x14ac:dyDescent="0.25">
      <c r="L54" s="248" t="s">
        <v>621</v>
      </c>
      <c r="M54" s="283" t="str">
        <f>_xlfn.IFNA(INDEX(monthly_mortgage_schedule[[Month]:[Calendar Year]],MATCH(L54,monthly_mortgage_schedule[Month],0),2),"Must be &lt;="&amp;" "&amp;total_loan_payments)</f>
        <v>Must be &lt;= 360</v>
      </c>
      <c r="N54" s="302"/>
    </row>
    <row r="55" spans="12:14" ht="13.2" customHeight="1" x14ac:dyDescent="0.25">
      <c r="L55" s="248" t="s">
        <v>621</v>
      </c>
      <c r="M55" s="283" t="str">
        <f>_xlfn.IFNA(INDEX(monthly_mortgage_schedule[[Month]:[Calendar Year]],MATCH(L55,monthly_mortgage_schedule[Month],0),2),"Must be &lt;="&amp;" "&amp;total_loan_payments)</f>
        <v>Must be &lt;= 360</v>
      </c>
      <c r="N55" s="302"/>
    </row>
    <row r="56" spans="12:14" ht="13.2" customHeight="1" x14ac:dyDescent="0.25">
      <c r="L56" s="248" t="s">
        <v>621</v>
      </c>
      <c r="M56" s="283" t="str">
        <f>_xlfn.IFNA(INDEX(monthly_mortgage_schedule[[Month]:[Calendar Year]],MATCH(L56,monthly_mortgage_schedule[Month],0),2),"Must be &lt;="&amp;" "&amp;total_loan_payments)</f>
        <v>Must be &lt;= 360</v>
      </c>
      <c r="N56" s="302"/>
    </row>
    <row r="57" spans="12:14" ht="13.2" customHeight="1" x14ac:dyDescent="0.25">
      <c r="L57" s="248" t="s">
        <v>621</v>
      </c>
      <c r="M57" s="283" t="str">
        <f>_xlfn.IFNA(INDEX(monthly_mortgage_schedule[[Month]:[Calendar Year]],MATCH(L57,monthly_mortgage_schedule[Month],0),2),"Must be &lt;="&amp;" "&amp;total_loan_payments)</f>
        <v>Must be &lt;= 360</v>
      </c>
      <c r="N57" s="302"/>
    </row>
    <row r="58" spans="12:14" ht="13.2" customHeight="1" x14ac:dyDescent="0.25">
      <c r="L58" s="248" t="s">
        <v>621</v>
      </c>
      <c r="M58" s="283" t="str">
        <f>_xlfn.IFNA(INDEX(monthly_mortgage_schedule[[Month]:[Calendar Year]],MATCH(L58,monthly_mortgage_schedule[Month],0),2),"Must be &lt;="&amp;" "&amp;total_loan_payments)</f>
        <v>Must be &lt;= 360</v>
      </c>
      <c r="N58" s="302"/>
    </row>
    <row r="59" spans="12:14" ht="13.2" customHeight="1" x14ac:dyDescent="0.25">
      <c r="L59" s="248" t="s">
        <v>621</v>
      </c>
      <c r="M59" s="283" t="str">
        <f>_xlfn.IFNA(INDEX(monthly_mortgage_schedule[[Month]:[Calendar Year]],MATCH(L59,monthly_mortgage_schedule[Month],0),2),"Must be &lt;="&amp;" "&amp;total_loan_payments)</f>
        <v>Must be &lt;= 360</v>
      </c>
      <c r="N59" s="302"/>
    </row>
    <row r="60" spans="12:14" ht="13.2" customHeight="1" x14ac:dyDescent="0.25">
      <c r="L60" s="248" t="s">
        <v>621</v>
      </c>
      <c r="M60" s="283" t="str">
        <f>_xlfn.IFNA(INDEX(monthly_mortgage_schedule[[Month]:[Calendar Year]],MATCH(L60,monthly_mortgage_schedule[Month],0),2),"Must be &lt;="&amp;" "&amp;total_loan_payments)</f>
        <v>Must be &lt;= 360</v>
      </c>
      <c r="N60" s="302"/>
    </row>
    <row r="61" spans="12:14" ht="13.2" customHeight="1" x14ac:dyDescent="0.25">
      <c r="L61" s="248" t="s">
        <v>621</v>
      </c>
      <c r="M61" s="283" t="str">
        <f>_xlfn.IFNA(INDEX(monthly_mortgage_schedule[[Month]:[Calendar Year]],MATCH(L61,monthly_mortgage_schedule[Month],0),2),"Must be &lt;="&amp;" "&amp;total_loan_payments)</f>
        <v>Must be &lt;= 360</v>
      </c>
      <c r="N61" s="302"/>
    </row>
    <row r="62" spans="12:14" ht="13.2" customHeight="1" x14ac:dyDescent="0.25">
      <c r="L62" s="248" t="s">
        <v>621</v>
      </c>
      <c r="M62" s="283" t="str">
        <f>_xlfn.IFNA(INDEX(monthly_mortgage_schedule[[Month]:[Calendar Year]],MATCH(L62,monthly_mortgage_schedule[Month],0),2),"Must be &lt;="&amp;" "&amp;total_loan_payments)</f>
        <v>Must be &lt;= 360</v>
      </c>
      <c r="N62" s="302"/>
    </row>
    <row r="63" spans="12:14" ht="13.2" customHeight="1" x14ac:dyDescent="0.25">
      <c r="L63" s="248" t="s">
        <v>621</v>
      </c>
      <c r="M63" s="283" t="str">
        <f>_xlfn.IFNA(INDEX(monthly_mortgage_schedule[[Month]:[Calendar Year]],MATCH(L63,monthly_mortgage_schedule[Month],0),2),"Must be &lt;="&amp;" "&amp;total_loan_payments)</f>
        <v>Must be &lt;= 360</v>
      </c>
      <c r="N63" s="302"/>
    </row>
    <row r="64" spans="12:14" ht="13.2" customHeight="1" x14ac:dyDescent="0.25">
      <c r="L64" s="248" t="s">
        <v>621</v>
      </c>
      <c r="M64" s="283" t="str">
        <f>_xlfn.IFNA(INDEX(monthly_mortgage_schedule[[Month]:[Calendar Year]],MATCH(L64,monthly_mortgage_schedule[Month],0),2),"Must be &lt;="&amp;" "&amp;total_loan_payments)</f>
        <v>Must be &lt;= 360</v>
      </c>
      <c r="N64" s="302"/>
    </row>
    <row r="65" spans="12:14" ht="13.2" customHeight="1" x14ac:dyDescent="0.25">
      <c r="L65" s="248" t="s">
        <v>621</v>
      </c>
      <c r="M65" s="283" t="str">
        <f>_xlfn.IFNA(INDEX(monthly_mortgage_schedule[[Month]:[Calendar Year]],MATCH(L65,monthly_mortgage_schedule[Month],0),2),"Must be &lt;="&amp;" "&amp;total_loan_payments)</f>
        <v>Must be &lt;= 360</v>
      </c>
      <c r="N65" s="302"/>
    </row>
    <row r="66" spans="12:14" ht="13.2" customHeight="1" x14ac:dyDescent="0.25">
      <c r="L66" s="248" t="s">
        <v>621</v>
      </c>
      <c r="M66" s="283" t="str">
        <f>_xlfn.IFNA(INDEX(monthly_mortgage_schedule[[Month]:[Calendar Year]],MATCH(L66,monthly_mortgage_schedule[Month],0),2),"Must be &lt;="&amp;" "&amp;total_loan_payments)</f>
        <v>Must be &lt;= 360</v>
      </c>
      <c r="N66" s="302"/>
    </row>
    <row r="67" spans="12:14" ht="13.2" customHeight="1" x14ac:dyDescent="0.25">
      <c r="L67" s="248" t="s">
        <v>621</v>
      </c>
      <c r="M67" s="283" t="str">
        <f>_xlfn.IFNA(INDEX(monthly_mortgage_schedule[[Month]:[Calendar Year]],MATCH(L67,monthly_mortgage_schedule[Month],0),2),"Must be &lt;="&amp;" "&amp;total_loan_payments)</f>
        <v>Must be &lt;= 360</v>
      </c>
      <c r="N67" s="302"/>
    </row>
    <row r="68" spans="12:14" ht="13.2" customHeight="1" x14ac:dyDescent="0.25">
      <c r="L68" s="248" t="s">
        <v>621</v>
      </c>
      <c r="M68" s="283" t="str">
        <f>_xlfn.IFNA(INDEX(monthly_mortgage_schedule[[Month]:[Calendar Year]],MATCH(L68,monthly_mortgage_schedule[Month],0),2),"Must be &lt;="&amp;" "&amp;total_loan_payments)</f>
        <v>Must be &lt;= 360</v>
      </c>
      <c r="N68" s="302"/>
    </row>
    <row r="69" spans="12:14" ht="13.2" customHeight="1" x14ac:dyDescent="0.25">
      <c r="L69" s="248" t="s">
        <v>621</v>
      </c>
      <c r="M69" s="283" t="str">
        <f>_xlfn.IFNA(INDEX(monthly_mortgage_schedule[[Month]:[Calendar Year]],MATCH(L69,monthly_mortgage_schedule[Month],0),2),"Must be &lt;="&amp;" "&amp;total_loan_payments)</f>
        <v>Must be &lt;= 360</v>
      </c>
      <c r="N69" s="302"/>
    </row>
    <row r="70" spans="12:14" ht="13.2" customHeight="1" x14ac:dyDescent="0.25">
      <c r="L70" s="248" t="s">
        <v>621</v>
      </c>
      <c r="M70" s="283" t="str">
        <f>_xlfn.IFNA(INDEX(monthly_mortgage_schedule[[Month]:[Calendar Year]],MATCH(L70,monthly_mortgage_schedule[Month],0),2),"Must be &lt;="&amp;" "&amp;total_loan_payments)</f>
        <v>Must be &lt;= 360</v>
      </c>
      <c r="N70" s="302"/>
    </row>
    <row r="71" spans="12:14" ht="13.2" customHeight="1" x14ac:dyDescent="0.25">
      <c r="L71" s="248" t="s">
        <v>621</v>
      </c>
      <c r="M71" s="283" t="str">
        <f>_xlfn.IFNA(INDEX(monthly_mortgage_schedule[[Month]:[Calendar Year]],MATCH(L71,monthly_mortgage_schedule[Month],0),2),"Must be &lt;="&amp;" "&amp;total_loan_payments)</f>
        <v>Must be &lt;= 360</v>
      </c>
      <c r="N71" s="302"/>
    </row>
    <row r="72" spans="12:14" ht="13.2" customHeight="1" x14ac:dyDescent="0.25">
      <c r="L72" s="248" t="s">
        <v>621</v>
      </c>
      <c r="M72" s="283" t="str">
        <f>_xlfn.IFNA(INDEX(monthly_mortgage_schedule[[Month]:[Calendar Year]],MATCH(L72,monthly_mortgage_schedule[Month],0),2),"Must be &lt;="&amp;" "&amp;total_loan_payments)</f>
        <v>Must be &lt;= 360</v>
      </c>
      <c r="N72" s="302"/>
    </row>
    <row r="73" spans="12:14" ht="13.2" customHeight="1" x14ac:dyDescent="0.25">
      <c r="L73" s="248" t="s">
        <v>621</v>
      </c>
      <c r="M73" s="283" t="str">
        <f>_xlfn.IFNA(INDEX(monthly_mortgage_schedule[[Month]:[Calendar Year]],MATCH(L73,monthly_mortgage_schedule[Month],0),2),"Must be &lt;="&amp;" "&amp;total_loan_payments)</f>
        <v>Must be &lt;= 360</v>
      </c>
      <c r="N73" s="302"/>
    </row>
    <row r="74" spans="12:14" ht="13.2" customHeight="1" x14ac:dyDescent="0.25">
      <c r="L74" s="248" t="s">
        <v>621</v>
      </c>
      <c r="M74" s="283" t="str">
        <f>_xlfn.IFNA(INDEX(monthly_mortgage_schedule[[Month]:[Calendar Year]],MATCH(L74,monthly_mortgage_schedule[Month],0),2),"Must be &lt;="&amp;" "&amp;total_loan_payments)</f>
        <v>Must be &lt;= 360</v>
      </c>
      <c r="N74" s="302"/>
    </row>
    <row r="75" spans="12:14" ht="13.2" customHeight="1" x14ac:dyDescent="0.25">
      <c r="L75" s="248" t="s">
        <v>621</v>
      </c>
      <c r="M75" s="283" t="str">
        <f>_xlfn.IFNA(INDEX(monthly_mortgage_schedule[[Month]:[Calendar Year]],MATCH(L75,monthly_mortgage_schedule[Month],0),2),"Must be &lt;="&amp;" "&amp;total_loan_payments)</f>
        <v>Must be &lt;= 360</v>
      </c>
      <c r="N75" s="302"/>
    </row>
    <row r="76" spans="12:14" ht="13.2" customHeight="1" x14ac:dyDescent="0.25">
      <c r="L76" s="248" t="s">
        <v>621</v>
      </c>
      <c r="M76" s="283" t="str">
        <f>_xlfn.IFNA(INDEX(monthly_mortgage_schedule[[Month]:[Calendar Year]],MATCH(L76,monthly_mortgage_schedule[Month],0),2),"Must be &lt;="&amp;" "&amp;total_loan_payments)</f>
        <v>Must be &lt;= 360</v>
      </c>
      <c r="N76" s="302"/>
    </row>
    <row r="77" spans="12:14" ht="13.2" customHeight="1" x14ac:dyDescent="0.25">
      <c r="L77" s="248" t="s">
        <v>621</v>
      </c>
      <c r="M77" s="283" t="str">
        <f>_xlfn.IFNA(INDEX(monthly_mortgage_schedule[[Month]:[Calendar Year]],MATCH(L77,monthly_mortgage_schedule[Month],0),2),"Must be &lt;="&amp;" "&amp;total_loan_payments)</f>
        <v>Must be &lt;= 360</v>
      </c>
      <c r="N77" s="302"/>
    </row>
    <row r="78" spans="12:14" ht="13.2" customHeight="1" x14ac:dyDescent="0.25">
      <c r="L78" s="248" t="s">
        <v>621</v>
      </c>
      <c r="M78" s="283" t="str">
        <f>_xlfn.IFNA(INDEX(monthly_mortgage_schedule[[Month]:[Calendar Year]],MATCH(L78,monthly_mortgage_schedule[Month],0),2),"Must be &lt;="&amp;" "&amp;total_loan_payments)</f>
        <v>Must be &lt;= 360</v>
      </c>
      <c r="N78" s="302"/>
    </row>
    <row r="79" spans="12:14" ht="13.2" customHeight="1" x14ac:dyDescent="0.25">
      <c r="L79" s="248" t="s">
        <v>621</v>
      </c>
      <c r="M79" s="283" t="str">
        <f>_xlfn.IFNA(INDEX(monthly_mortgage_schedule[[Month]:[Calendar Year]],MATCH(L79,monthly_mortgage_schedule[Month],0),2),"Must be &lt;="&amp;" "&amp;total_loan_payments)</f>
        <v>Must be &lt;= 360</v>
      </c>
      <c r="N79" s="302"/>
    </row>
    <row r="80" spans="12:14" ht="13.2" customHeight="1" x14ac:dyDescent="0.25">
      <c r="L80" s="248" t="s">
        <v>621</v>
      </c>
      <c r="M80" s="283" t="str">
        <f>_xlfn.IFNA(INDEX(monthly_mortgage_schedule[[Month]:[Calendar Year]],MATCH(L80,monthly_mortgage_schedule[Month],0),2),"Must be &lt;="&amp;" "&amp;total_loan_payments)</f>
        <v>Must be &lt;= 360</v>
      </c>
      <c r="N80" s="302"/>
    </row>
    <row r="81" spans="12:14" ht="13.2" customHeight="1" x14ac:dyDescent="0.25">
      <c r="L81" s="248" t="s">
        <v>621</v>
      </c>
      <c r="M81" s="283" t="str">
        <f>_xlfn.IFNA(INDEX(monthly_mortgage_schedule[[Month]:[Calendar Year]],MATCH(L81,monthly_mortgage_schedule[Month],0),2),"Must be &lt;="&amp;" "&amp;total_loan_payments)</f>
        <v>Must be &lt;= 360</v>
      </c>
      <c r="N81" s="302"/>
    </row>
    <row r="82" spans="12:14" ht="13.2" customHeight="1" x14ac:dyDescent="0.25">
      <c r="L82" s="248" t="s">
        <v>621</v>
      </c>
      <c r="M82" s="283" t="str">
        <f>_xlfn.IFNA(INDEX(monthly_mortgage_schedule[[Month]:[Calendar Year]],MATCH(L82,monthly_mortgage_schedule[Month],0),2),"Must be &lt;="&amp;" "&amp;total_loan_payments)</f>
        <v>Must be &lt;= 360</v>
      </c>
      <c r="N82" s="302"/>
    </row>
    <row r="83" spans="12:14" ht="13.2" customHeight="1" x14ac:dyDescent="0.25">
      <c r="L83" s="248" t="s">
        <v>621</v>
      </c>
      <c r="M83" s="283" t="str">
        <f>_xlfn.IFNA(INDEX(monthly_mortgage_schedule[[Month]:[Calendar Year]],MATCH(L83,monthly_mortgage_schedule[Month],0),2),"Must be &lt;="&amp;" "&amp;total_loan_payments)</f>
        <v>Must be &lt;= 360</v>
      </c>
      <c r="N83" s="302"/>
    </row>
    <row r="84" spans="12:14" ht="13.2" customHeight="1" x14ac:dyDescent="0.25">
      <c r="L84" s="248" t="s">
        <v>621</v>
      </c>
      <c r="M84" s="283" t="str">
        <f>_xlfn.IFNA(INDEX(monthly_mortgage_schedule[[Month]:[Calendar Year]],MATCH(L84,monthly_mortgage_schedule[Month],0),2),"Must be &lt;="&amp;" "&amp;total_loan_payments)</f>
        <v>Must be &lt;= 360</v>
      </c>
      <c r="N84" s="302"/>
    </row>
    <row r="85" spans="12:14" ht="13.2" customHeight="1" x14ac:dyDescent="0.25">
      <c r="L85" s="248" t="s">
        <v>621</v>
      </c>
      <c r="M85" s="283" t="str">
        <f>_xlfn.IFNA(INDEX(monthly_mortgage_schedule[[Month]:[Calendar Year]],MATCH(L85,monthly_mortgage_schedule[Month],0),2),"Must be &lt;="&amp;" "&amp;total_loan_payments)</f>
        <v>Must be &lt;= 360</v>
      </c>
      <c r="N85" s="302"/>
    </row>
    <row r="86" spans="12:14" ht="13.2" customHeight="1" x14ac:dyDescent="0.25">
      <c r="L86" s="248" t="s">
        <v>621</v>
      </c>
      <c r="M86" s="283" t="str">
        <f>_xlfn.IFNA(INDEX(monthly_mortgage_schedule[[Month]:[Calendar Year]],MATCH(L86,monthly_mortgage_schedule[Month],0),2),"Must be &lt;="&amp;" "&amp;total_loan_payments)</f>
        <v>Must be &lt;= 360</v>
      </c>
      <c r="N86" s="302"/>
    </row>
    <row r="87" spans="12:14" ht="13.2" customHeight="1" x14ac:dyDescent="0.25">
      <c r="L87" s="248" t="s">
        <v>621</v>
      </c>
      <c r="M87" s="283" t="str">
        <f>_xlfn.IFNA(INDEX(monthly_mortgage_schedule[[Month]:[Calendar Year]],MATCH(L87,monthly_mortgage_schedule[Month],0),2),"Must be &lt;="&amp;" "&amp;total_loan_payments)</f>
        <v>Must be &lt;= 360</v>
      </c>
      <c r="N87" s="302"/>
    </row>
    <row r="88" spans="12:14" ht="13.2" customHeight="1" x14ac:dyDescent="0.25">
      <c r="L88" s="248" t="s">
        <v>621</v>
      </c>
      <c r="M88" s="283" t="str">
        <f>_xlfn.IFNA(INDEX(monthly_mortgage_schedule[[Month]:[Calendar Year]],MATCH(L88,monthly_mortgage_schedule[Month],0),2),"Must be &lt;="&amp;" "&amp;total_loan_payments)</f>
        <v>Must be &lt;= 360</v>
      </c>
      <c r="N88" s="302"/>
    </row>
    <row r="89" spans="12:14" ht="13.2" customHeight="1" x14ac:dyDescent="0.25">
      <c r="L89" s="248" t="s">
        <v>621</v>
      </c>
      <c r="M89" s="283" t="str">
        <f>_xlfn.IFNA(INDEX(monthly_mortgage_schedule[[Month]:[Calendar Year]],MATCH(L89,monthly_mortgage_schedule[Month],0),2),"Must be &lt;="&amp;" "&amp;total_loan_payments)</f>
        <v>Must be &lt;= 360</v>
      </c>
      <c r="N89" s="302"/>
    </row>
    <row r="90" spans="12:14" ht="13.2" customHeight="1" x14ac:dyDescent="0.25">
      <c r="L90" s="248" t="s">
        <v>621</v>
      </c>
      <c r="M90" s="283" t="str">
        <f>_xlfn.IFNA(INDEX(monthly_mortgage_schedule[[Month]:[Calendar Year]],MATCH(L90,monthly_mortgage_schedule[Month],0),2),"Must be &lt;="&amp;" "&amp;total_loan_payments)</f>
        <v>Must be &lt;= 360</v>
      </c>
      <c r="N90" s="302"/>
    </row>
    <row r="91" spans="12:14" ht="13.2" customHeight="1" x14ac:dyDescent="0.25">
      <c r="L91" s="248" t="s">
        <v>621</v>
      </c>
      <c r="M91" s="283" t="str">
        <f>_xlfn.IFNA(INDEX(monthly_mortgage_schedule[[Month]:[Calendar Year]],MATCH(L91,monthly_mortgage_schedule[Month],0),2),"Must be &lt;="&amp;" "&amp;total_loan_payments)</f>
        <v>Must be &lt;= 360</v>
      </c>
      <c r="N91" s="302"/>
    </row>
    <row r="92" spans="12:14" ht="13.2" customHeight="1" x14ac:dyDescent="0.25">
      <c r="L92" s="248" t="s">
        <v>621</v>
      </c>
      <c r="M92" s="283" t="str">
        <f>_xlfn.IFNA(INDEX(monthly_mortgage_schedule[[Month]:[Calendar Year]],MATCH(L92,monthly_mortgage_schedule[Month],0),2),"Must be &lt;="&amp;" "&amp;total_loan_payments)</f>
        <v>Must be &lt;= 360</v>
      </c>
      <c r="N92" s="302"/>
    </row>
    <row r="93" spans="12:14" ht="13.2" customHeight="1" x14ac:dyDescent="0.25">
      <c r="L93" s="248" t="s">
        <v>621</v>
      </c>
      <c r="M93" s="283" t="str">
        <f>_xlfn.IFNA(INDEX(monthly_mortgage_schedule[[Month]:[Calendar Year]],MATCH(L93,monthly_mortgage_schedule[Month],0),2),"Must be &lt;="&amp;" "&amp;total_loan_payments)</f>
        <v>Must be &lt;= 360</v>
      </c>
      <c r="N93" s="302"/>
    </row>
    <row r="94" spans="12:14" ht="13.2" customHeight="1" x14ac:dyDescent="0.25">
      <c r="L94" s="248" t="s">
        <v>621</v>
      </c>
      <c r="M94" s="283" t="str">
        <f>_xlfn.IFNA(INDEX(monthly_mortgage_schedule[[Month]:[Calendar Year]],MATCH(L94,monthly_mortgage_schedule[Month],0),2),"Must be &lt;="&amp;" "&amp;total_loan_payments)</f>
        <v>Must be &lt;= 360</v>
      </c>
      <c r="N94" s="302"/>
    </row>
    <row r="95" spans="12:14" ht="13.2" customHeight="1" x14ac:dyDescent="0.25">
      <c r="L95" s="248" t="s">
        <v>621</v>
      </c>
      <c r="M95" s="283" t="str">
        <f>_xlfn.IFNA(INDEX(monthly_mortgage_schedule[[Month]:[Calendar Year]],MATCH(L95,monthly_mortgage_schedule[Month],0),2),"Must be &lt;="&amp;" "&amp;total_loan_payments)</f>
        <v>Must be &lt;= 360</v>
      </c>
      <c r="N95" s="302"/>
    </row>
    <row r="96" spans="12:14" ht="13.2" customHeight="1" x14ac:dyDescent="0.25">
      <c r="L96" s="248" t="s">
        <v>621</v>
      </c>
      <c r="M96" s="283" t="str">
        <f>_xlfn.IFNA(INDEX(monthly_mortgage_schedule[[Month]:[Calendar Year]],MATCH(L96,monthly_mortgage_schedule[Month],0),2),"Must be &lt;="&amp;" "&amp;total_loan_payments)</f>
        <v>Must be &lt;= 360</v>
      </c>
      <c r="N96" s="302"/>
    </row>
    <row r="97" spans="12:14" ht="13.2" customHeight="1" x14ac:dyDescent="0.25">
      <c r="L97" s="248" t="s">
        <v>621</v>
      </c>
      <c r="M97" s="283" t="str">
        <f>_xlfn.IFNA(INDEX(monthly_mortgage_schedule[[Month]:[Calendar Year]],MATCH(L97,monthly_mortgage_schedule[Month],0),2),"Must be &lt;="&amp;" "&amp;total_loan_payments)</f>
        <v>Must be &lt;= 360</v>
      </c>
      <c r="N97" s="302"/>
    </row>
    <row r="98" spans="12:14" ht="13.2" customHeight="1" x14ac:dyDescent="0.25">
      <c r="L98" s="248" t="s">
        <v>621</v>
      </c>
      <c r="M98" s="283" t="str">
        <f>_xlfn.IFNA(INDEX(monthly_mortgage_schedule[[Month]:[Calendar Year]],MATCH(L98,monthly_mortgage_schedule[Month],0),2),"Must be &lt;="&amp;" "&amp;total_loan_payments)</f>
        <v>Must be &lt;= 360</v>
      </c>
      <c r="N98" s="302"/>
    </row>
    <row r="99" spans="12:14" ht="13.2" customHeight="1" x14ac:dyDescent="0.25">
      <c r="L99" s="248" t="s">
        <v>621</v>
      </c>
      <c r="M99" s="283" t="str">
        <f>_xlfn.IFNA(INDEX(monthly_mortgage_schedule[[Month]:[Calendar Year]],MATCH(L99,monthly_mortgage_schedule[Month],0),2),"Must be &lt;="&amp;" "&amp;total_loan_payments)</f>
        <v>Must be &lt;= 360</v>
      </c>
      <c r="N99" s="302"/>
    </row>
    <row r="100" spans="12:14" ht="13.2" customHeight="1" x14ac:dyDescent="0.25">
      <c r="L100" s="248" t="s">
        <v>621</v>
      </c>
      <c r="M100" s="283" t="str">
        <f>_xlfn.IFNA(INDEX(monthly_mortgage_schedule[[Month]:[Calendar Year]],MATCH(L100,monthly_mortgage_schedule[Month],0),2),"Must be &lt;="&amp;" "&amp;total_loan_payments)</f>
        <v>Must be &lt;= 360</v>
      </c>
      <c r="N100" s="302"/>
    </row>
  </sheetData>
  <sheetProtection formatColumns="0" formatRows="0" sort="0"/>
  <mergeCells count="7">
    <mergeCell ref="B24:C24"/>
    <mergeCell ref="L6:N6"/>
    <mergeCell ref="S6:U6"/>
    <mergeCell ref="P6:Q6"/>
    <mergeCell ref="H6:J6"/>
    <mergeCell ref="B6:C6"/>
    <mergeCell ref="E6:F6"/>
  </mergeCells>
  <phoneticPr fontId="6" type="noConversion"/>
  <pageMargins left="0.25" right="0.25" top="0.75" bottom="0.75" header="0.3" footer="0.3"/>
  <pageSetup scale="44" fitToHeight="0" orientation="landscape" horizontalDpi="300" verticalDpi="300" r:id="rId1"/>
  <drawing r:id="rId2"/>
  <tableParts count="7">
    <tablePart r:id="rId3"/>
    <tablePart r:id="rId4"/>
    <tablePart r:id="rId5"/>
    <tablePart r:id="rId6"/>
    <tablePart r:id="rId7"/>
    <tablePart r:id="rId8"/>
    <tablePart r:id="rId9"/>
  </tablePar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CFF27-C6DA-4921-9293-B2C3584A42F6}">
  <sheetPr>
    <tabColor theme="4" tint="0.79998168889431442"/>
    <pageSetUpPr fitToPage="1"/>
  </sheetPr>
  <dimension ref="B1:AX380"/>
  <sheetViews>
    <sheetView zoomScaleNormal="100" workbookViewId="0"/>
  </sheetViews>
  <sheetFormatPr defaultRowHeight="13.2" x14ac:dyDescent="0.25"/>
  <cols>
    <col min="1" max="1" width="4.6640625" style="11" customWidth="1"/>
    <col min="2" max="2" width="13.33203125" style="11" customWidth="1"/>
    <col min="3" max="3" width="9.44140625" style="11" customWidth="1"/>
    <col min="4" max="6" width="8.88671875" style="11"/>
    <col min="7" max="7" width="16.5546875" style="11" customWidth="1"/>
    <col min="8" max="8" width="15.6640625" style="11" customWidth="1"/>
    <col min="9" max="9" width="8.6640625" style="11" customWidth="1"/>
    <col min="10" max="10" width="8.77734375" style="11" bestFit="1" customWidth="1"/>
    <col min="11" max="11" width="8" style="11" hidden="1" customWidth="1"/>
    <col min="12" max="12" width="10.77734375" style="11" hidden="1" customWidth="1"/>
    <col min="13" max="13" width="12.6640625" style="11" hidden="1" customWidth="1"/>
    <col min="14" max="14" width="16.33203125" style="11" hidden="1" customWidth="1"/>
    <col min="15" max="20" width="16.88671875" style="11" hidden="1" customWidth="1"/>
    <col min="21" max="21" width="24.5546875" style="11" hidden="1" customWidth="1"/>
    <col min="22" max="22" width="26.77734375" style="11" hidden="1" customWidth="1"/>
    <col min="23" max="23" width="13.21875" style="11" bestFit="1" customWidth="1"/>
    <col min="24" max="25" width="14.21875" style="11" bestFit="1" customWidth="1"/>
    <col min="26" max="26" width="16.109375" style="11" bestFit="1" customWidth="1"/>
    <col min="27" max="27" width="15.6640625" style="11" customWidth="1"/>
    <col min="28" max="28" width="19.5546875" style="11" bestFit="1" customWidth="1"/>
    <col min="29" max="29" width="20" style="11" bestFit="1" customWidth="1"/>
    <col min="30" max="30" width="17.21875" style="22" customWidth="1"/>
    <col min="31" max="31" width="13.109375" style="22" bestFit="1" customWidth="1"/>
    <col min="32" max="32" width="18.88671875" style="22" bestFit="1" customWidth="1"/>
    <col min="33" max="33" width="15.44140625" style="11" bestFit="1" customWidth="1"/>
    <col min="34" max="34" width="16.33203125" style="11" bestFit="1" customWidth="1"/>
    <col min="35" max="35" width="19.77734375" style="11" bestFit="1" customWidth="1"/>
    <col min="36" max="36" width="16.88671875" style="11" bestFit="1" customWidth="1"/>
    <col min="37" max="37" width="18.44140625" style="11" bestFit="1" customWidth="1"/>
    <col min="38" max="38" width="18.6640625" style="11" bestFit="1" customWidth="1"/>
    <col min="39" max="39" width="7.5546875" style="11" customWidth="1"/>
    <col min="40" max="40" width="20.88671875" style="11" bestFit="1" customWidth="1"/>
    <col min="41" max="41" width="20.21875" style="11" customWidth="1"/>
    <col min="42" max="42" width="12" style="11" customWidth="1"/>
    <col min="43" max="43" width="15.33203125" style="11" bestFit="1" customWidth="1"/>
    <col min="44" max="44" width="22" style="11" customWidth="1"/>
    <col min="45" max="45" width="9.88671875" style="11" bestFit="1" customWidth="1"/>
    <col min="46" max="16384" width="8.88671875" style="11"/>
  </cols>
  <sheetData>
    <row r="1" spans="2:44" x14ac:dyDescent="0.25">
      <c r="AD1" s="11"/>
      <c r="AE1" s="11"/>
      <c r="AF1" s="11"/>
      <c r="AM1" s="58"/>
      <c r="AN1" s="58"/>
      <c r="AO1" s="182"/>
      <c r="AP1" s="182"/>
    </row>
    <row r="2" spans="2:44" x14ac:dyDescent="0.25">
      <c r="AD2" s="11"/>
      <c r="AE2" s="11"/>
      <c r="AF2" s="11"/>
      <c r="AM2" s="58"/>
      <c r="AN2" s="58"/>
      <c r="AO2" s="182"/>
      <c r="AP2" s="182"/>
    </row>
    <row r="3" spans="2:44" x14ac:dyDescent="0.25">
      <c r="AD3" s="11"/>
      <c r="AE3" s="11"/>
      <c r="AF3" s="11"/>
      <c r="AM3" s="58"/>
      <c r="AN3" s="58"/>
      <c r="AO3" s="182"/>
      <c r="AP3" s="182"/>
    </row>
    <row r="4" spans="2:44" x14ac:dyDescent="0.25">
      <c r="AD4" s="11"/>
      <c r="AE4" s="11"/>
      <c r="AF4" s="11"/>
      <c r="AM4" s="58"/>
      <c r="AN4" s="58"/>
      <c r="AO4" s="182"/>
      <c r="AP4" s="182"/>
    </row>
    <row r="5" spans="2:44" x14ac:dyDescent="0.25">
      <c r="AD5" s="11"/>
      <c r="AE5" s="11"/>
      <c r="AF5" s="11"/>
      <c r="AM5" s="58"/>
      <c r="AN5" s="58"/>
      <c r="AO5" s="182"/>
      <c r="AP5" s="182"/>
    </row>
    <row r="6" spans="2:44" x14ac:dyDescent="0.25">
      <c r="B6" s="317" t="s">
        <v>500</v>
      </c>
      <c r="C6" s="317"/>
      <c r="AD6" s="11"/>
      <c r="AE6" s="11"/>
      <c r="AF6" s="11"/>
      <c r="AM6" s="58"/>
      <c r="AN6" s="58"/>
      <c r="AO6" s="182"/>
      <c r="AP6" s="182"/>
    </row>
    <row r="7" spans="2:44" x14ac:dyDescent="0.25">
      <c r="B7" s="318" t="s">
        <v>466</v>
      </c>
      <c r="C7" s="320">
        <v>2022</v>
      </c>
      <c r="D7" s="260"/>
      <c r="AD7" s="11"/>
      <c r="AE7" s="11"/>
      <c r="AF7" s="11"/>
      <c r="AM7" s="58"/>
      <c r="AN7" s="58"/>
      <c r="AO7" s="182"/>
      <c r="AP7" s="182"/>
    </row>
    <row r="8" spans="2:44" x14ac:dyDescent="0.25">
      <c r="B8" s="319"/>
      <c r="C8" s="321">
        <v>1954</v>
      </c>
      <c r="D8" s="260"/>
      <c r="AD8" s="11"/>
      <c r="AE8" s="11"/>
      <c r="AF8" s="11"/>
      <c r="AM8" s="58"/>
      <c r="AN8" s="58"/>
      <c r="AO8" s="182"/>
      <c r="AP8" s="182"/>
    </row>
    <row r="9" spans="2:44" x14ac:dyDescent="0.25">
      <c r="B9" s="318" t="s">
        <v>467</v>
      </c>
      <c r="C9" s="322">
        <v>2061</v>
      </c>
      <c r="D9" s="260"/>
      <c r="AD9" s="11"/>
      <c r="AE9" s="11"/>
      <c r="AF9" s="11"/>
    </row>
    <row r="10" spans="2:44" x14ac:dyDescent="0.25">
      <c r="B10" s="319"/>
      <c r="C10" s="323">
        <v>1953</v>
      </c>
      <c r="D10" s="260"/>
      <c r="AD10" s="11"/>
      <c r="AE10" s="11"/>
      <c r="AF10" s="11"/>
      <c r="AM10" s="58"/>
      <c r="AN10" s="58"/>
      <c r="AO10" s="182"/>
      <c r="AP10" s="182"/>
    </row>
    <row r="11" spans="2:44" x14ac:dyDescent="0.25">
      <c r="AD11" s="11"/>
      <c r="AE11" s="11"/>
      <c r="AF11" s="11"/>
      <c r="AM11" s="58"/>
      <c r="AN11" s="58"/>
      <c r="AO11" s="182"/>
      <c r="AP11" s="182"/>
    </row>
    <row r="12" spans="2:44" x14ac:dyDescent="0.25">
      <c r="AD12" s="11"/>
      <c r="AE12" s="11"/>
      <c r="AF12" s="11"/>
      <c r="AM12" s="58"/>
      <c r="AN12" s="58"/>
      <c r="AO12" s="182"/>
      <c r="AP12" s="182"/>
    </row>
    <row r="13" spans="2:44" x14ac:dyDescent="0.25">
      <c r="AD13" s="11"/>
      <c r="AE13" s="11"/>
      <c r="AF13" s="11"/>
      <c r="AM13" s="58"/>
      <c r="AN13" s="58"/>
      <c r="AO13" s="182"/>
      <c r="AP13" s="182"/>
    </row>
    <row r="14" spans="2:44" ht="15" customHeight="1" x14ac:dyDescent="0.25">
      <c r="AD14" s="11"/>
      <c r="AE14" s="11"/>
      <c r="AF14" s="11"/>
      <c r="AM14" s="58"/>
      <c r="AN14" s="58"/>
      <c r="AO14" s="182"/>
      <c r="AP14" s="182"/>
    </row>
    <row r="15" spans="2:44" x14ac:dyDescent="0.25">
      <c r="AD15" s="11"/>
      <c r="AE15" s="11"/>
      <c r="AF15" s="11"/>
      <c r="AM15" s="58"/>
      <c r="AN15" s="58"/>
      <c r="AO15" s="182"/>
      <c r="AP15" s="182"/>
      <c r="AQ15" s="327" t="s">
        <v>616</v>
      </c>
      <c r="AR15" s="327"/>
    </row>
    <row r="16" spans="2:44" ht="28.2" customHeight="1" thickBot="1" x14ac:dyDescent="0.3">
      <c r="W16" s="309" t="s">
        <v>495</v>
      </c>
      <c r="X16" s="310"/>
      <c r="Y16" s="310"/>
      <c r="Z16" s="310"/>
      <c r="AA16" s="310"/>
      <c r="AB16" s="310"/>
      <c r="AC16" s="310"/>
      <c r="AD16" s="310"/>
      <c r="AE16" s="311"/>
      <c r="AF16" s="312" t="s">
        <v>494</v>
      </c>
      <c r="AG16" s="313"/>
      <c r="AH16" s="313"/>
      <c r="AI16" s="313"/>
      <c r="AJ16" s="313"/>
      <c r="AK16" s="313"/>
      <c r="AL16" s="314"/>
      <c r="AM16" s="58"/>
      <c r="AN16" s="324" t="s">
        <v>618</v>
      </c>
      <c r="AO16" s="325"/>
      <c r="AP16" s="326"/>
      <c r="AQ16" s="315" t="s">
        <v>617</v>
      </c>
      <c r="AR16" s="316"/>
    </row>
    <row r="17" spans="9:50" ht="42" customHeight="1" x14ac:dyDescent="0.25">
      <c r="I17" s="117" t="s">
        <v>17</v>
      </c>
      <c r="J17" s="117" t="s">
        <v>117</v>
      </c>
      <c r="K17" s="197" t="s">
        <v>551</v>
      </c>
      <c r="L17" s="197" t="s">
        <v>468</v>
      </c>
      <c r="M17" s="197" t="s">
        <v>472</v>
      </c>
      <c r="N17" s="213" t="s">
        <v>543</v>
      </c>
      <c r="O17" s="213" t="s">
        <v>544</v>
      </c>
      <c r="P17" s="213" t="s">
        <v>545</v>
      </c>
      <c r="Q17" s="213" t="s">
        <v>546</v>
      </c>
      <c r="R17" s="197" t="s">
        <v>548</v>
      </c>
      <c r="S17" s="197" t="s">
        <v>609</v>
      </c>
      <c r="T17" s="197" t="s">
        <v>547</v>
      </c>
      <c r="U17" s="213" t="s">
        <v>549</v>
      </c>
      <c r="V17" s="213" t="s">
        <v>550</v>
      </c>
      <c r="W17" s="184" t="s">
        <v>221</v>
      </c>
      <c r="X17" s="185" t="s">
        <v>539</v>
      </c>
      <c r="Y17" s="185" t="s">
        <v>540</v>
      </c>
      <c r="Z17" s="185" t="s">
        <v>497</v>
      </c>
      <c r="AA17" s="185" t="s">
        <v>498</v>
      </c>
      <c r="AB17" s="185" t="s">
        <v>510</v>
      </c>
      <c r="AC17" s="185" t="s">
        <v>509</v>
      </c>
      <c r="AD17" s="185" t="s">
        <v>608</v>
      </c>
      <c r="AE17" s="186" t="s">
        <v>475</v>
      </c>
      <c r="AF17" s="184" t="s">
        <v>488</v>
      </c>
      <c r="AG17" s="192" t="s">
        <v>487</v>
      </c>
      <c r="AH17" s="193" t="s">
        <v>485</v>
      </c>
      <c r="AI17" s="193" t="s">
        <v>496</v>
      </c>
      <c r="AJ17" s="185" t="s">
        <v>606</v>
      </c>
      <c r="AK17" s="185" t="s">
        <v>607</v>
      </c>
      <c r="AL17" s="194" t="s">
        <v>486</v>
      </c>
      <c r="AN17" s="117" t="s">
        <v>499</v>
      </c>
      <c r="AO17" s="117" t="s">
        <v>520</v>
      </c>
      <c r="AP17" s="117" t="s">
        <v>605</v>
      </c>
      <c r="AQ17" s="117" t="s">
        <v>519</v>
      </c>
      <c r="AR17" s="117" t="s">
        <v>518</v>
      </c>
      <c r="AX17" s="195"/>
    </row>
    <row r="18" spans="9:50" x14ac:dyDescent="0.25">
      <c r="I18">
        <v>1</v>
      </c>
      <c r="J18">
        <f>purchase_year</f>
        <v>2022</v>
      </c>
      <c r="K18" s="198">
        <f>IF(M18="#N/A",NA(),monthly_mortgage_schedule[[#This Row],[Month]])</f>
        <v>1</v>
      </c>
      <c r="L18" s="198">
        <f>IF(monthly_mortgage_schedule[[#This Row],[Calendar Year]]&gt;=$C$7,monthly_mortgage_schedule[[#This Row],[Calendar Year]],NA())</f>
        <v>2022</v>
      </c>
      <c r="M18" s="199">
        <f>IF((monthly_mortgage_schedule[[#This Row],[Calendar Year]]&gt;=$C$7)*(monthly_mortgage_schedule[[#This Row],[Calendar Year]]&lt;=$C$9),monthly_mortgage_schedule[[#This Row],[Begin Year (Range)]],NA())</f>
        <v>2022</v>
      </c>
      <c r="N18" s="214">
        <f>IF((monthly_mortgage_schedule[[#This Row],[Year (Range)]]&gt;=$C$7)*(monthly_mortgage_schedule[[#This Row],[Year (Range)]]&lt;=$C$9),X18,NA())</f>
        <v>2520</v>
      </c>
      <c r="O18" s="214">
        <f>IF((monthly_mortgage_schedule[[#This Row],[Year (Range)]]&gt;=$C$7)*(monthly_mortgage_schedule[[#This Row],[Year (Range)]]&lt;=$C$9),Y18,NA())</f>
        <v>580.02649546340808</v>
      </c>
      <c r="P18" s="214">
        <f>IF((monthly_mortgage_schedule[[#This Row],[Year (Range)]]&gt;=$C$7)*(monthly_mortgage_schedule[[#This Row],[Year (Range)]]&lt;=$C$9),AG18,NA())</f>
        <v>2520</v>
      </c>
      <c r="Q18" s="214">
        <f>IF((monthly_mortgage_schedule[[#This Row],[Year (Range)]]&gt;=$C$7)*(monthly_mortgage_schedule[[#This Row],[Year (Range)]]&lt;=$C$9),AH18,NA())</f>
        <v>580.02649546340808</v>
      </c>
      <c r="R18" s="214">
        <f>IF((monthly_mortgage_schedule[[#This Row],[Year (Range)]]&gt;=$C$7)*(monthly_mortgage_schedule[[#This Row],[Year (Range)]]&lt;=$C$9),AO18,NA())</f>
        <v>0</v>
      </c>
      <c r="S18" s="214">
        <f>IF((monthly_mortgage_schedule[[#This Row],[Year (Range)]]&gt;=$C$7)*(monthly_mortgage_schedule[[#This Row],[Year (Range)]]&lt;=$C$9),AP18,NA())</f>
        <v>0</v>
      </c>
      <c r="T18" s="214">
        <f>IF((monthly_mortgage_schedule[[#This Row],[Year (Range)]]&gt;=$C$7)*(monthly_mortgage_schedule[[#This Row],[Year (Range)]]&lt;=$C$9),AR18,NA())</f>
        <v>0</v>
      </c>
      <c r="U18" s="214">
        <f>IF((monthly_mortgage_schedule[[#This Row],[Year (Range)]]&gt;=$C$7)*(monthly_mortgage_schedule[[#This Row],[Year (Range)]]&lt;=$C$9),AB18,NA())</f>
        <v>580.02649546340808</v>
      </c>
      <c r="V18" s="214">
        <f>IF((monthly_mortgage_schedule[[#This Row],[Year (Range)]]&gt;=$C$7)*(monthly_mortgage_schedule[[#This Row],[Year (Range)]]&lt;=$C$9),AI18,NA())</f>
        <v>580.02649546340808</v>
      </c>
      <c r="W18" s="187">
        <f>IF(monthly_mortgage_schedule[[#This Row],[Month]]&lt;=loan_term_years,loan_amount,0)</f>
        <v>540000</v>
      </c>
      <c r="X18" s="4">
        <f>IF(monthly_mortgage_schedule[[#This Row],[Loan Balance (BOY)]]&gt;0,monthly_mortgage_schedule[[#This Row],[Loan Balance (BOY)]]*monthly_interest_rate,0)</f>
        <v>2520</v>
      </c>
      <c r="Y18" s="4">
        <f>IF(monthly_mortgage_schedule[[#This Row],[Loan Balance (BOY)]]&gt;1,monthly_principal_and_interest-monthly_mortgage_schedule[[#This Row],[Interest With Extra Principal Payments]],0)</f>
        <v>580.02649546340808</v>
      </c>
      <c r="Z18" s="4">
        <f>_xlfn.IFNA(INDEX(additional_mortgage_payments[],MATCH(monthly_mortgage_schedule[[#This Row],[Month]],additional_mortgage_payments[Month],0),3),0)</f>
        <v>0</v>
      </c>
      <c r="AA18" s="4">
        <f>monthly_mortgage_schedule[[#This Row],[Extra Payments Towards Equity]]</f>
        <v>0</v>
      </c>
      <c r="AB18" s="4">
        <f>monthly_mortgage_schedule[[#This Row],[Principal With Extra Principal Payments]]+monthly_mortgage_schedule[[#This Row],[Extra Payments Towards Equity]]</f>
        <v>580.02649546340808</v>
      </c>
      <c r="AC18" s="4">
        <f>monthly_mortgage_schedule[[#This Row],[Cumulative Principal With Extra Principal Payments]]+down_payment_dollars</f>
        <v>60580.026495463411</v>
      </c>
      <c r="AD18" s="200">
        <f t="shared" ref="AD18:AD81" si="0">IF((AC18)/purchase_price&lt;pmi_until_percentage_equity,(annual_pmi/12),0)</f>
        <v>90</v>
      </c>
      <c r="AE1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539419.97350453655</v>
      </c>
      <c r="AF18" s="187">
        <f>IF(monthly_mortgage_schedule[[#This Row],[Month]]&lt;=loan_term_years,loan_amount,0)</f>
        <v>540000</v>
      </c>
      <c r="AG18" s="4">
        <f>IF(monthly_mortgage_schedule[[#This Row],[Loan Balance (BOY) Without Extra Principal Payments]]&gt;0,monthly_mortgage_schedule[[#This Row],[Loan Balance (BOY) Without Extra Principal Payments]]*monthly_interest_rate,0)</f>
        <v>2520</v>
      </c>
      <c r="AH18" s="4">
        <f>IF(monthly_mortgage_schedule[[#This Row],[Loan Balance (BOY) Without Extra Principal Payments]]&gt;1,monthly_principal_and_interest-monthly_mortgage_schedule[[#This Row],[Interest Without Extra Principal Payments]],0)</f>
        <v>580.02649546340808</v>
      </c>
      <c r="AI18" s="4">
        <f>monthly_mortgage_schedule[[#This Row],[Principal Without Extra Principal Payments]]</f>
        <v>580.02649546340808</v>
      </c>
      <c r="AJ18" s="4">
        <f>monthly_mortgage_schedule[[#This Row],[Cumulative Principal Without Extra Principal Payments]]+down_payment_dollars</f>
        <v>60580.026495463411</v>
      </c>
      <c r="AK18" s="200">
        <f t="shared" ref="AK18:AK81" si="1">IF((AJ18)/purchase_price&lt;pmi_until_percentage_equity,(annual_pmi/12),0)</f>
        <v>90</v>
      </c>
      <c r="AL1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539419.97350453655</v>
      </c>
      <c r="AN18" s="240">
        <f>monthly_mortgage_schedule[[#This Row],[Extra Payments Towards Equity]]+IF(monthly_mortgage_schedule[[#This Row],[Interest With Extra Principal Payments]]&gt;0,monthly_mortgage_schedule[[#This Row],[Interest Without Extra Principal Payments]]-monthly_mortgage_schedule[[#This Row],[Interest With Extra Principal Payments]],0)</f>
        <v>0</v>
      </c>
      <c r="AO18" s="4">
        <f>IF(monthly_mortgage_schedule[[#This Row],[Interest With Extra Principal Payments]]&gt;0,monthly_mortgage_schedule[[#This Row],[Interest Without Extra Principal Payments]]-monthly_mortgage_schedule[[#This Row],[Interest With Extra Principal Payments]],0)</f>
        <v>0</v>
      </c>
      <c r="AP18" s="4">
        <f>monthly_mortgage_schedule[[#This Row],[PMI Without Extra Principal Payments]]-monthly_mortgage_schedule[[#This Row],[PMI with Additional Payments]]</f>
        <v>0</v>
      </c>
      <c r="AQ18" s="4">
        <f>(Z18)*(1+monthly_stock_market_return)</f>
        <v>0</v>
      </c>
      <c r="AR18" s="4"/>
    </row>
    <row r="19" spans="9:50" x14ac:dyDescent="0.25">
      <c r="I19">
        <v>2</v>
      </c>
      <c r="J19">
        <f>IF(MOD(ROWS($J$18:J18),12)=0,J18+1,J18)</f>
        <v>2022</v>
      </c>
      <c r="K19" s="198">
        <f>IF(M19="#N/A",NA(),monthly_mortgage_schedule[[#This Row],[Month]])</f>
        <v>2</v>
      </c>
      <c r="L19" s="198">
        <f>IF(monthly_mortgage_schedule[[#This Row],[Calendar Year]]&gt;=$C$7,monthly_mortgage_schedule[[#This Row],[Calendar Year]],NA())</f>
        <v>2022</v>
      </c>
      <c r="M19" s="199">
        <f>IF((monthly_mortgage_schedule[[#This Row],[Calendar Year]]&gt;=$C$7)*(monthly_mortgage_schedule[[#This Row],[Calendar Year]]&lt;=$C$9),monthly_mortgage_schedule[[#This Row],[Begin Year (Range)]],NA())</f>
        <v>2022</v>
      </c>
      <c r="N19" s="214">
        <f>IF((monthly_mortgage_schedule[[#This Row],[Year (Range)]]&gt;=$C$7)*(monthly_mortgage_schedule[[#This Row],[Year (Range)]]&lt;=$C$9),X19,NA())</f>
        <v>2517.2932096878376</v>
      </c>
      <c r="O19" s="214">
        <f>IF((monthly_mortgage_schedule[[#This Row],[Year (Range)]]&gt;=$C$7)*(monthly_mortgage_schedule[[#This Row],[Year (Range)]]&lt;=$C$9),Y19,NA())</f>
        <v>582.73328577557049</v>
      </c>
      <c r="P19" s="214">
        <f>IF((monthly_mortgage_schedule[[#This Row],[Year (Range)]]&gt;=$C$7)*(monthly_mortgage_schedule[[#This Row],[Year (Range)]]&lt;=$C$9),AG19,NA())</f>
        <v>2517.2932096878376</v>
      </c>
      <c r="Q19" s="214">
        <f>IF((monthly_mortgage_schedule[[#This Row],[Year (Range)]]&gt;=$C$7)*(monthly_mortgage_schedule[[#This Row],[Year (Range)]]&lt;=$C$9),AH19,NA())</f>
        <v>582.73328577557049</v>
      </c>
      <c r="R19" s="214">
        <f>IF((monthly_mortgage_schedule[[#This Row],[Year (Range)]]&gt;=$C$7)*(monthly_mortgage_schedule[[#This Row],[Year (Range)]]&lt;=$C$9),AO19,NA())</f>
        <v>0</v>
      </c>
      <c r="S19" s="214">
        <f>IF((monthly_mortgage_schedule[[#This Row],[Year (Range)]]&gt;=$C$7)*(monthly_mortgage_schedule[[#This Row],[Year (Range)]]&lt;=$C$9),AP19,NA())</f>
        <v>0</v>
      </c>
      <c r="T19" s="214">
        <f>IF((monthly_mortgage_schedule[[#This Row],[Year (Range)]]&gt;=$C$7)*(monthly_mortgage_schedule[[#This Row],[Year (Range)]]&lt;=$C$9),AR19,NA())</f>
        <v>0</v>
      </c>
      <c r="U19" s="214">
        <f>IF((monthly_mortgage_schedule[[#This Row],[Year (Range)]]&gt;=$C$7)*(monthly_mortgage_schedule[[#This Row],[Year (Range)]]&lt;=$C$9),AB19,NA())</f>
        <v>1162.7597812389786</v>
      </c>
      <c r="V19" s="214">
        <f>IF((monthly_mortgage_schedule[[#This Row],[Year (Range)]]&gt;=$C$7)*(monthly_mortgage_schedule[[#This Row],[Year (Range)]]&lt;=$C$9),AI19,NA())</f>
        <v>1162.7597812389786</v>
      </c>
      <c r="W19" s="187">
        <f t="shared" ref="W19:W82" si="2">AE18</f>
        <v>539419.97350453655</v>
      </c>
      <c r="X19" s="4">
        <f>IF(AE18&gt;0,AE18*monthly_interest_rate,0)</f>
        <v>2517.2932096878376</v>
      </c>
      <c r="Y19" s="4">
        <f t="shared" ref="Y19:Y82" si="3">IF(W19&gt;1,monthly_principal_and_interest-X19,0)</f>
        <v>582.73328577557049</v>
      </c>
      <c r="Z19" s="4">
        <f>_xlfn.IFNA(INDEX(additional_mortgage_payments[],MATCH(monthly_mortgage_schedule[[#This Row],[Month]],additional_mortgage_payments[Month],0),3),0)</f>
        <v>0</v>
      </c>
      <c r="AA19" s="4">
        <f>AA18+monthly_mortgage_schedule[[#This Row],[Extra Payments Towards Equity]]</f>
        <v>0</v>
      </c>
      <c r="AB19" s="4">
        <f>AB18+monthly_mortgage_schedule[[#This Row],[Principal With Extra Principal Payments]]+monthly_mortgage_schedule[[#This Row],[Extra Payments Towards Equity]]</f>
        <v>1162.7597812389786</v>
      </c>
      <c r="AC19" s="4">
        <f>monthly_mortgage_schedule[[#This Row],[Cumulative Principal With Extra Principal Payments]]+down_payment_dollars</f>
        <v>61162.759781238979</v>
      </c>
      <c r="AD19" s="200">
        <f t="shared" si="0"/>
        <v>90</v>
      </c>
      <c r="AE1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538837.24021876103</v>
      </c>
      <c r="AF19" s="187">
        <f>AL18</f>
        <v>539419.97350453655</v>
      </c>
      <c r="AG19" s="4">
        <f>IF(monthly_mortgage_schedule[[#This Row],[Loan Balance (BOY) Without Extra Principal Payments]]&gt;0,monthly_mortgage_schedule[[#This Row],[Loan Balance (BOY) Without Extra Principal Payments]]*monthly_interest_rate,0)</f>
        <v>2517.2932096878376</v>
      </c>
      <c r="AH19" s="4">
        <f>IF(monthly_mortgage_schedule[[#This Row],[Loan Balance (BOY) Without Extra Principal Payments]]&gt;1,monthly_principal_and_interest-monthly_mortgage_schedule[[#This Row],[Interest Without Extra Principal Payments]],0)</f>
        <v>582.73328577557049</v>
      </c>
      <c r="AI19" s="4">
        <f>AI18+monthly_mortgage_schedule[[#This Row],[Principal Without Extra Principal Payments]]</f>
        <v>1162.7597812389786</v>
      </c>
      <c r="AJ19" s="4">
        <f>monthly_mortgage_schedule[[#This Row],[Cumulative Principal Without Extra Principal Payments]]+down_payment_dollars</f>
        <v>61162.759781238979</v>
      </c>
      <c r="AK19" s="200">
        <f t="shared" si="1"/>
        <v>90</v>
      </c>
      <c r="AL1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538837.24021876103</v>
      </c>
      <c r="AN19" s="196">
        <f>monthly_mortgage_schedule[[#This Row],[Extra Payments Towards Equity]]+AN18+IF(monthly_mortgage_schedule[[#This Row],[Interest With Extra Principal Payments]]&gt;0,monthly_mortgage_schedule[[#This Row],[Interest Without Extra Principal Payments]]-monthly_mortgage_schedule[[#This Row],[Interest With Extra Principal Payments]],0)</f>
        <v>0</v>
      </c>
      <c r="AO19" s="4">
        <f>AO18+IF(monthly_mortgage_schedule[[#This Row],[Interest With Extra Principal Payments]]&gt;0,monthly_mortgage_schedule[[#This Row],[Interest Without Extra Principal Payments]]-monthly_mortgage_schedule[[#This Row],[Interest With Extra Principal Payments]],0)</f>
        <v>0</v>
      </c>
      <c r="AP19" s="4">
        <f>AP18+monthly_mortgage_schedule[[#This Row],[PMI Without Extra Principal Payments]]-monthly_mortgage_schedule[[#This Row],[PMI with Additional Payments]]</f>
        <v>0</v>
      </c>
      <c r="AQ19" s="4">
        <f t="shared" ref="AQ19:AQ82" si="4">(AQ18+Z19)*(1+monthly_stock_market_return)</f>
        <v>0</v>
      </c>
      <c r="AR19" s="4">
        <f t="shared" ref="AR19:AR26" si="5">(AR18+Z19)*(1+monthly_stock_market_return)</f>
        <v>0</v>
      </c>
    </row>
    <row r="20" spans="9:50" x14ac:dyDescent="0.25">
      <c r="I20">
        <v>3</v>
      </c>
      <c r="J20">
        <f>IF(MOD(ROWS($J$18:J19),12)=0,J19+1,J19)</f>
        <v>2022</v>
      </c>
      <c r="K20" s="198">
        <f>IF(M20="#N/A",NA(),monthly_mortgage_schedule[[#This Row],[Month]])</f>
        <v>3</v>
      </c>
      <c r="L20" s="198">
        <f>IF(monthly_mortgage_schedule[[#This Row],[Calendar Year]]&gt;=$C$7,monthly_mortgage_schedule[[#This Row],[Calendar Year]],NA())</f>
        <v>2022</v>
      </c>
      <c r="M20" s="199">
        <f>IF((monthly_mortgage_schedule[[#This Row],[Calendar Year]]&gt;=$C$7)*(monthly_mortgage_schedule[[#This Row],[Calendar Year]]&lt;=$C$9),monthly_mortgage_schedule[[#This Row],[Begin Year (Range)]],NA())</f>
        <v>2022</v>
      </c>
      <c r="N20" s="214">
        <f>IF((monthly_mortgage_schedule[[#This Row],[Year (Range)]]&gt;=$C$7)*(monthly_mortgage_schedule[[#This Row],[Year (Range)]]&lt;=$C$9),X20,NA())</f>
        <v>2514.5737876875519</v>
      </c>
      <c r="O20" s="214">
        <f>IF((monthly_mortgage_schedule[[#This Row],[Year (Range)]]&gt;=$C$7)*(monthly_mortgage_schedule[[#This Row],[Year (Range)]]&lt;=$C$9),Y20,NA())</f>
        <v>585.4527077758562</v>
      </c>
      <c r="P20" s="214">
        <f>IF((monthly_mortgage_schedule[[#This Row],[Year (Range)]]&gt;=$C$7)*(monthly_mortgage_schedule[[#This Row],[Year (Range)]]&lt;=$C$9),AG20,NA())</f>
        <v>2514.5737876875519</v>
      </c>
      <c r="Q20" s="214">
        <f>IF((monthly_mortgage_schedule[[#This Row],[Year (Range)]]&gt;=$C$7)*(monthly_mortgage_schedule[[#This Row],[Year (Range)]]&lt;=$C$9),AH20,NA())</f>
        <v>585.4527077758562</v>
      </c>
      <c r="R20" s="214">
        <f>IF((monthly_mortgage_schedule[[#This Row],[Year (Range)]]&gt;=$C$7)*(monthly_mortgage_schedule[[#This Row],[Year (Range)]]&lt;=$C$9),AO20,NA())</f>
        <v>0</v>
      </c>
      <c r="S20" s="214">
        <f>IF((monthly_mortgage_schedule[[#This Row],[Year (Range)]]&gt;=$C$7)*(monthly_mortgage_schedule[[#This Row],[Year (Range)]]&lt;=$C$9),AP20,NA())</f>
        <v>0</v>
      </c>
      <c r="T20" s="214">
        <f>IF((monthly_mortgage_schedule[[#This Row],[Year (Range)]]&gt;=$C$7)*(monthly_mortgage_schedule[[#This Row],[Year (Range)]]&lt;=$C$9),AR20,NA())</f>
        <v>0</v>
      </c>
      <c r="U20" s="214">
        <f>IF((monthly_mortgage_schedule[[#This Row],[Year (Range)]]&gt;=$C$7)*(monthly_mortgage_schedule[[#This Row],[Year (Range)]]&lt;=$C$9),AB20,NA())</f>
        <v>1748.2124890148348</v>
      </c>
      <c r="V20" s="214">
        <f>IF((monthly_mortgage_schedule[[#This Row],[Year (Range)]]&gt;=$C$7)*(monthly_mortgage_schedule[[#This Row],[Year (Range)]]&lt;=$C$9),AI20,NA())</f>
        <v>1748.2124890148348</v>
      </c>
      <c r="W20" s="187">
        <f t="shared" si="2"/>
        <v>538837.24021876103</v>
      </c>
      <c r="X20" s="4">
        <f t="shared" ref="X20:X83" si="6">IF(W20&gt;0,W20*monthly_interest_rate,0)</f>
        <v>2514.5737876875519</v>
      </c>
      <c r="Y20" s="4">
        <f t="shared" si="3"/>
        <v>585.4527077758562</v>
      </c>
      <c r="Z20" s="4">
        <f>_xlfn.IFNA(INDEX(additional_mortgage_payments[],MATCH(monthly_mortgage_schedule[[#This Row],[Month]],additional_mortgage_payments[Month],0),3),0)</f>
        <v>0</v>
      </c>
      <c r="AA20" s="4">
        <f>AA19+monthly_mortgage_schedule[[#This Row],[Extra Payments Towards Equity]]</f>
        <v>0</v>
      </c>
      <c r="AB20" s="4">
        <f>AB19+monthly_mortgage_schedule[[#This Row],[Principal With Extra Principal Payments]]+monthly_mortgage_schedule[[#This Row],[Extra Payments Towards Equity]]</f>
        <v>1748.2124890148348</v>
      </c>
      <c r="AC20" s="4">
        <f>monthly_mortgage_schedule[[#This Row],[Cumulative Principal With Extra Principal Payments]]+down_payment_dollars</f>
        <v>61748.212489014833</v>
      </c>
      <c r="AD20" s="200">
        <f t="shared" si="0"/>
        <v>90</v>
      </c>
      <c r="AE2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538251.78751098516</v>
      </c>
      <c r="AF20" s="187">
        <f t="shared" ref="AF20:AF83" si="7">AL19</f>
        <v>538837.24021876103</v>
      </c>
      <c r="AG20" s="4">
        <f>IF(monthly_mortgage_schedule[[#This Row],[Loan Balance (BOY) Without Extra Principal Payments]]&gt;0,monthly_mortgage_schedule[[#This Row],[Loan Balance (BOY) Without Extra Principal Payments]]*monthly_interest_rate,0)</f>
        <v>2514.5737876875519</v>
      </c>
      <c r="AH20" s="4">
        <f>IF(monthly_mortgage_schedule[[#This Row],[Loan Balance (BOY) Without Extra Principal Payments]]&gt;1,monthly_principal_and_interest-monthly_mortgage_schedule[[#This Row],[Interest Without Extra Principal Payments]],0)</f>
        <v>585.4527077758562</v>
      </c>
      <c r="AI20" s="4">
        <f>AI19+monthly_mortgage_schedule[[#This Row],[Principal Without Extra Principal Payments]]</f>
        <v>1748.2124890148348</v>
      </c>
      <c r="AJ20" s="4">
        <f>monthly_mortgage_schedule[[#This Row],[Cumulative Principal Without Extra Principal Payments]]+down_payment_dollars</f>
        <v>61748.212489014833</v>
      </c>
      <c r="AK20" s="200">
        <f t="shared" si="1"/>
        <v>90</v>
      </c>
      <c r="AL2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538251.78751098516</v>
      </c>
      <c r="AN20" s="196">
        <f>monthly_mortgage_schedule[[#This Row],[Extra Payments Towards Equity]]+AN19+IF(monthly_mortgage_schedule[[#This Row],[Interest With Extra Principal Payments]]&gt;0,monthly_mortgage_schedule[[#This Row],[Interest Without Extra Principal Payments]]-monthly_mortgage_schedule[[#This Row],[Interest With Extra Principal Payments]],0)</f>
        <v>0</v>
      </c>
      <c r="AO20" s="4">
        <f>AO19+IF(monthly_mortgage_schedule[[#This Row],[Interest With Extra Principal Payments]]&gt;0,monthly_mortgage_schedule[[#This Row],[Interest Without Extra Principal Payments]]-monthly_mortgage_schedule[[#This Row],[Interest With Extra Principal Payments]],0)</f>
        <v>0</v>
      </c>
      <c r="AP20" s="4">
        <f>AP19+monthly_mortgage_schedule[[#This Row],[PMI Without Extra Principal Payments]]-monthly_mortgage_schedule[[#This Row],[PMI with Additional Payments]]</f>
        <v>0</v>
      </c>
      <c r="AQ20" s="4">
        <f t="shared" si="4"/>
        <v>0</v>
      </c>
      <c r="AR20" s="4">
        <f t="shared" si="5"/>
        <v>0</v>
      </c>
    </row>
    <row r="21" spans="9:50" x14ac:dyDescent="0.25">
      <c r="I21">
        <v>4</v>
      </c>
      <c r="J21">
        <f>IF(MOD(ROWS($J$18:J20),12)=0,J20+1,J20)</f>
        <v>2022</v>
      </c>
      <c r="K21" s="198">
        <f>IF(M21="#N/A",NA(),monthly_mortgage_schedule[[#This Row],[Month]])</f>
        <v>4</v>
      </c>
      <c r="L21" s="198">
        <f>IF(monthly_mortgage_schedule[[#This Row],[Calendar Year]]&gt;=$C$7,monthly_mortgage_schedule[[#This Row],[Calendar Year]],NA())</f>
        <v>2022</v>
      </c>
      <c r="M21" s="199">
        <f>IF((monthly_mortgage_schedule[[#This Row],[Calendar Year]]&gt;=$C$7)*(monthly_mortgage_schedule[[#This Row],[Calendar Year]]&lt;=$C$9),monthly_mortgage_schedule[[#This Row],[Begin Year (Range)]],NA())</f>
        <v>2022</v>
      </c>
      <c r="N21" s="214">
        <f>IF((monthly_mortgage_schedule[[#This Row],[Year (Range)]]&gt;=$C$7)*(monthly_mortgage_schedule[[#This Row],[Year (Range)]]&lt;=$C$9),X21,NA())</f>
        <v>2511.8416750512642</v>
      </c>
      <c r="O21" s="214">
        <f>IF((monthly_mortgage_schedule[[#This Row],[Year (Range)]]&gt;=$C$7)*(monthly_mortgage_schedule[[#This Row],[Year (Range)]]&lt;=$C$9),Y21,NA())</f>
        <v>588.18482041214384</v>
      </c>
      <c r="P21" s="214">
        <f>IF((monthly_mortgage_schedule[[#This Row],[Year (Range)]]&gt;=$C$7)*(monthly_mortgage_schedule[[#This Row],[Year (Range)]]&lt;=$C$9),AG21,NA())</f>
        <v>2511.8416750512642</v>
      </c>
      <c r="Q21" s="214">
        <f>IF((monthly_mortgage_schedule[[#This Row],[Year (Range)]]&gt;=$C$7)*(monthly_mortgage_schedule[[#This Row],[Year (Range)]]&lt;=$C$9),AH21,NA())</f>
        <v>588.18482041214384</v>
      </c>
      <c r="R21" s="214">
        <f>IF((monthly_mortgage_schedule[[#This Row],[Year (Range)]]&gt;=$C$7)*(monthly_mortgage_schedule[[#This Row],[Year (Range)]]&lt;=$C$9),AO21,NA())</f>
        <v>0</v>
      </c>
      <c r="S21" s="214">
        <f>IF((monthly_mortgage_schedule[[#This Row],[Year (Range)]]&gt;=$C$7)*(monthly_mortgage_schedule[[#This Row],[Year (Range)]]&lt;=$C$9),AP21,NA())</f>
        <v>0</v>
      </c>
      <c r="T21" s="214">
        <f>IF((monthly_mortgage_schedule[[#This Row],[Year (Range)]]&gt;=$C$7)*(monthly_mortgage_schedule[[#This Row],[Year (Range)]]&lt;=$C$9),AR21,NA())</f>
        <v>0</v>
      </c>
      <c r="U21" s="214">
        <f>IF((monthly_mortgage_schedule[[#This Row],[Year (Range)]]&gt;=$C$7)*(monthly_mortgage_schedule[[#This Row],[Year (Range)]]&lt;=$C$9),AB21,NA())</f>
        <v>2336.3973094269786</v>
      </c>
      <c r="V21" s="214">
        <f>IF((monthly_mortgage_schedule[[#This Row],[Year (Range)]]&gt;=$C$7)*(monthly_mortgage_schedule[[#This Row],[Year (Range)]]&lt;=$C$9),AI21,NA())</f>
        <v>2336.3973094269786</v>
      </c>
      <c r="W21" s="187">
        <f t="shared" si="2"/>
        <v>538251.78751098516</v>
      </c>
      <c r="X21" s="4">
        <f t="shared" si="6"/>
        <v>2511.8416750512642</v>
      </c>
      <c r="Y21" s="4">
        <f t="shared" si="3"/>
        <v>588.18482041214384</v>
      </c>
      <c r="Z21" s="4">
        <f>_xlfn.IFNA(INDEX(additional_mortgage_payments[],MATCH(monthly_mortgage_schedule[[#This Row],[Month]],additional_mortgage_payments[Month],0),3),0)</f>
        <v>0</v>
      </c>
      <c r="AA21" s="4">
        <f>AA20+monthly_mortgage_schedule[[#This Row],[Extra Payments Towards Equity]]</f>
        <v>0</v>
      </c>
      <c r="AB21" s="4">
        <f>AB20+monthly_mortgage_schedule[[#This Row],[Principal With Extra Principal Payments]]+monthly_mortgage_schedule[[#This Row],[Extra Payments Towards Equity]]</f>
        <v>2336.3973094269786</v>
      </c>
      <c r="AC21" s="4">
        <f>monthly_mortgage_schedule[[#This Row],[Cumulative Principal With Extra Principal Payments]]+down_payment_dollars</f>
        <v>62336.397309426975</v>
      </c>
      <c r="AD21" s="200">
        <f t="shared" si="0"/>
        <v>90</v>
      </c>
      <c r="AE2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537663.60269057297</v>
      </c>
      <c r="AF21" s="187">
        <f t="shared" si="7"/>
        <v>538251.78751098516</v>
      </c>
      <c r="AG21" s="4">
        <f>IF(monthly_mortgage_schedule[[#This Row],[Loan Balance (BOY) Without Extra Principal Payments]]&gt;0,monthly_mortgage_schedule[[#This Row],[Loan Balance (BOY) Without Extra Principal Payments]]*monthly_interest_rate,0)</f>
        <v>2511.8416750512642</v>
      </c>
      <c r="AH21" s="4">
        <f>IF(monthly_mortgage_schedule[[#This Row],[Loan Balance (BOY) Without Extra Principal Payments]]&gt;1,monthly_principal_and_interest-monthly_mortgage_schedule[[#This Row],[Interest Without Extra Principal Payments]],0)</f>
        <v>588.18482041214384</v>
      </c>
      <c r="AI21" s="4">
        <f>AI20+monthly_mortgage_schedule[[#This Row],[Principal Without Extra Principal Payments]]</f>
        <v>2336.3973094269786</v>
      </c>
      <c r="AJ21" s="4">
        <f>monthly_mortgage_schedule[[#This Row],[Cumulative Principal Without Extra Principal Payments]]+down_payment_dollars</f>
        <v>62336.397309426975</v>
      </c>
      <c r="AK21" s="200">
        <f t="shared" si="1"/>
        <v>90</v>
      </c>
      <c r="AL2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537663.60269057297</v>
      </c>
      <c r="AN21" s="196">
        <f>monthly_mortgage_schedule[[#This Row],[Extra Payments Towards Equity]]+AN20+IF(monthly_mortgage_schedule[[#This Row],[Interest With Extra Principal Payments]]&gt;0,monthly_mortgage_schedule[[#This Row],[Interest Without Extra Principal Payments]]-monthly_mortgage_schedule[[#This Row],[Interest With Extra Principal Payments]],0)</f>
        <v>0</v>
      </c>
      <c r="AO21" s="4">
        <f>AO20+IF(monthly_mortgage_schedule[[#This Row],[Interest With Extra Principal Payments]]&gt;0,monthly_mortgage_schedule[[#This Row],[Interest Without Extra Principal Payments]]-monthly_mortgage_schedule[[#This Row],[Interest With Extra Principal Payments]],0)</f>
        <v>0</v>
      </c>
      <c r="AP21" s="4">
        <f>AP20+monthly_mortgage_schedule[[#This Row],[PMI Without Extra Principal Payments]]-monthly_mortgage_schedule[[#This Row],[PMI with Additional Payments]]</f>
        <v>0</v>
      </c>
      <c r="AQ21" s="4">
        <f t="shared" si="4"/>
        <v>0</v>
      </c>
      <c r="AR21" s="4">
        <f t="shared" si="5"/>
        <v>0</v>
      </c>
    </row>
    <row r="22" spans="9:50" x14ac:dyDescent="0.25">
      <c r="I22">
        <v>5</v>
      </c>
      <c r="J22">
        <f>IF(MOD(ROWS($J$18:J21),12)=0,J21+1,J21)</f>
        <v>2022</v>
      </c>
      <c r="K22" s="198">
        <f>IF(M22="#N/A",NA(),monthly_mortgage_schedule[[#This Row],[Month]])</f>
        <v>5</v>
      </c>
      <c r="L22" s="198">
        <f>IF(monthly_mortgage_schedule[[#This Row],[Calendar Year]]&gt;=$C$7,monthly_mortgage_schedule[[#This Row],[Calendar Year]],NA())</f>
        <v>2022</v>
      </c>
      <c r="M22" s="199">
        <f>IF((monthly_mortgage_schedule[[#This Row],[Calendar Year]]&gt;=$C$7)*(monthly_mortgage_schedule[[#This Row],[Calendar Year]]&lt;=$C$9),monthly_mortgage_schedule[[#This Row],[Begin Year (Range)]],NA())</f>
        <v>2022</v>
      </c>
      <c r="N22" s="214">
        <f>IF((monthly_mortgage_schedule[[#This Row],[Year (Range)]]&gt;=$C$7)*(monthly_mortgage_schedule[[#This Row],[Year (Range)]]&lt;=$C$9),X22,NA())</f>
        <v>2509.0968125560075</v>
      </c>
      <c r="O22" s="214">
        <f>IF((monthly_mortgage_schedule[[#This Row],[Year (Range)]]&gt;=$C$7)*(monthly_mortgage_schedule[[#This Row],[Year (Range)]]&lt;=$C$9),Y22,NA())</f>
        <v>590.92968290740055</v>
      </c>
      <c r="P22" s="214">
        <f>IF((monthly_mortgage_schedule[[#This Row],[Year (Range)]]&gt;=$C$7)*(monthly_mortgage_schedule[[#This Row],[Year (Range)]]&lt;=$C$9),AG22,NA())</f>
        <v>2509.0968125560075</v>
      </c>
      <c r="Q22" s="214">
        <f>IF((monthly_mortgage_schedule[[#This Row],[Year (Range)]]&gt;=$C$7)*(monthly_mortgage_schedule[[#This Row],[Year (Range)]]&lt;=$C$9),AH22,NA())</f>
        <v>590.92968290740055</v>
      </c>
      <c r="R22" s="214">
        <f>IF((monthly_mortgage_schedule[[#This Row],[Year (Range)]]&gt;=$C$7)*(monthly_mortgage_schedule[[#This Row],[Year (Range)]]&lt;=$C$9),AO22,NA())</f>
        <v>0</v>
      </c>
      <c r="S22" s="214">
        <f>IF((monthly_mortgage_schedule[[#This Row],[Year (Range)]]&gt;=$C$7)*(monthly_mortgage_schedule[[#This Row],[Year (Range)]]&lt;=$C$9),AP22,NA())</f>
        <v>0</v>
      </c>
      <c r="T22" s="214">
        <f>IF((monthly_mortgage_schedule[[#This Row],[Year (Range)]]&gt;=$C$7)*(monthly_mortgage_schedule[[#This Row],[Year (Range)]]&lt;=$C$9),AR22,NA())</f>
        <v>0</v>
      </c>
      <c r="U22" s="214">
        <f>IF((monthly_mortgage_schedule[[#This Row],[Year (Range)]]&gt;=$C$7)*(monthly_mortgage_schedule[[#This Row],[Year (Range)]]&lt;=$C$9),AB22,NA())</f>
        <v>2927.3269923343792</v>
      </c>
      <c r="V22" s="214">
        <f>IF((monthly_mortgage_schedule[[#This Row],[Year (Range)]]&gt;=$C$7)*(monthly_mortgage_schedule[[#This Row],[Year (Range)]]&lt;=$C$9),AI22,NA())</f>
        <v>2927.3269923343792</v>
      </c>
      <c r="W22" s="187">
        <f t="shared" si="2"/>
        <v>537663.60269057297</v>
      </c>
      <c r="X22" s="4">
        <f t="shared" si="6"/>
        <v>2509.0968125560075</v>
      </c>
      <c r="Y22" s="4">
        <f t="shared" si="3"/>
        <v>590.92968290740055</v>
      </c>
      <c r="Z22" s="4">
        <f>_xlfn.IFNA(INDEX(additional_mortgage_payments[],MATCH(monthly_mortgage_schedule[[#This Row],[Month]],additional_mortgage_payments[Month],0),3),0)</f>
        <v>0</v>
      </c>
      <c r="AA22" s="4">
        <f>AA21+monthly_mortgage_schedule[[#This Row],[Extra Payments Towards Equity]]</f>
        <v>0</v>
      </c>
      <c r="AB22" s="4">
        <f>AB21+monthly_mortgage_schedule[[#This Row],[Principal With Extra Principal Payments]]+monthly_mortgage_schedule[[#This Row],[Extra Payments Towards Equity]]</f>
        <v>2927.3269923343792</v>
      </c>
      <c r="AC22" s="4">
        <f>monthly_mortgage_schedule[[#This Row],[Cumulative Principal With Extra Principal Payments]]+down_payment_dollars</f>
        <v>62927.326992334376</v>
      </c>
      <c r="AD22" s="200">
        <f t="shared" si="0"/>
        <v>90</v>
      </c>
      <c r="AE2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537072.67300766555</v>
      </c>
      <c r="AF22" s="187">
        <f t="shared" si="7"/>
        <v>537663.60269057297</v>
      </c>
      <c r="AG22" s="4">
        <f>IF(monthly_mortgage_schedule[[#This Row],[Loan Balance (BOY) Without Extra Principal Payments]]&gt;0,monthly_mortgage_schedule[[#This Row],[Loan Balance (BOY) Without Extra Principal Payments]]*monthly_interest_rate,0)</f>
        <v>2509.0968125560075</v>
      </c>
      <c r="AH22" s="4">
        <f>IF(monthly_mortgage_schedule[[#This Row],[Loan Balance (BOY) Without Extra Principal Payments]]&gt;1,monthly_principal_and_interest-monthly_mortgage_schedule[[#This Row],[Interest Without Extra Principal Payments]],0)</f>
        <v>590.92968290740055</v>
      </c>
      <c r="AI22" s="4">
        <f>AI21+monthly_mortgage_schedule[[#This Row],[Principal Without Extra Principal Payments]]</f>
        <v>2927.3269923343792</v>
      </c>
      <c r="AJ22" s="4">
        <f>monthly_mortgage_schedule[[#This Row],[Cumulative Principal Without Extra Principal Payments]]+down_payment_dollars</f>
        <v>62927.326992334376</v>
      </c>
      <c r="AK22" s="200">
        <f t="shared" si="1"/>
        <v>90</v>
      </c>
      <c r="AL2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537072.67300766555</v>
      </c>
      <c r="AN22" s="196">
        <f>monthly_mortgage_schedule[[#This Row],[Extra Payments Towards Equity]]+AN21+IF(monthly_mortgage_schedule[[#This Row],[Interest With Extra Principal Payments]]&gt;0,monthly_mortgage_schedule[[#This Row],[Interest Without Extra Principal Payments]]-monthly_mortgage_schedule[[#This Row],[Interest With Extra Principal Payments]],0)</f>
        <v>0</v>
      </c>
      <c r="AO22" s="4">
        <f>AO21+IF(monthly_mortgage_schedule[[#This Row],[Interest With Extra Principal Payments]]&gt;0,monthly_mortgage_schedule[[#This Row],[Interest Without Extra Principal Payments]]-monthly_mortgage_schedule[[#This Row],[Interest With Extra Principal Payments]],0)</f>
        <v>0</v>
      </c>
      <c r="AP22" s="4">
        <f>AP21+monthly_mortgage_schedule[[#This Row],[PMI Without Extra Principal Payments]]-monthly_mortgage_schedule[[#This Row],[PMI with Additional Payments]]</f>
        <v>0</v>
      </c>
      <c r="AQ22" s="4">
        <f t="shared" si="4"/>
        <v>0</v>
      </c>
      <c r="AR22" s="4">
        <f t="shared" si="5"/>
        <v>0</v>
      </c>
    </row>
    <row r="23" spans="9:50" x14ac:dyDescent="0.25">
      <c r="I23">
        <v>6</v>
      </c>
      <c r="J23">
        <f>IF(MOD(ROWS($J$18:J22),12)=0,J22+1,J22)</f>
        <v>2022</v>
      </c>
      <c r="K23" s="198">
        <f>IF(M23="#N/A",NA(),monthly_mortgage_schedule[[#This Row],[Month]])</f>
        <v>6</v>
      </c>
      <c r="L23" s="198">
        <f>IF(monthly_mortgage_schedule[[#This Row],[Calendar Year]]&gt;=$C$7,monthly_mortgage_schedule[[#This Row],[Calendar Year]],NA())</f>
        <v>2022</v>
      </c>
      <c r="M23" s="199">
        <f>IF((monthly_mortgage_schedule[[#This Row],[Calendar Year]]&gt;=$C$7)*(monthly_mortgage_schedule[[#This Row],[Calendar Year]]&lt;=$C$9),monthly_mortgage_schedule[[#This Row],[Begin Year (Range)]],NA())</f>
        <v>2022</v>
      </c>
      <c r="N23" s="214">
        <f>IF((monthly_mortgage_schedule[[#This Row],[Year (Range)]]&gt;=$C$7)*(monthly_mortgage_schedule[[#This Row],[Year (Range)]]&lt;=$C$9),X23,NA())</f>
        <v>2506.3391407024396</v>
      </c>
      <c r="O23" s="214">
        <f>IF((monthly_mortgage_schedule[[#This Row],[Year (Range)]]&gt;=$C$7)*(monthly_mortgage_schedule[[#This Row],[Year (Range)]]&lt;=$C$9),Y23,NA())</f>
        <v>593.68735476096845</v>
      </c>
      <c r="P23" s="214">
        <f>IF((monthly_mortgage_schedule[[#This Row],[Year (Range)]]&gt;=$C$7)*(monthly_mortgage_schedule[[#This Row],[Year (Range)]]&lt;=$C$9),AG23,NA())</f>
        <v>2506.3391407024396</v>
      </c>
      <c r="Q23" s="214">
        <f>IF((monthly_mortgage_schedule[[#This Row],[Year (Range)]]&gt;=$C$7)*(monthly_mortgage_schedule[[#This Row],[Year (Range)]]&lt;=$C$9),AH23,NA())</f>
        <v>593.68735476096845</v>
      </c>
      <c r="R23" s="214">
        <f>IF((monthly_mortgage_schedule[[#This Row],[Year (Range)]]&gt;=$C$7)*(monthly_mortgage_schedule[[#This Row],[Year (Range)]]&lt;=$C$9),AO23,NA())</f>
        <v>0</v>
      </c>
      <c r="S23" s="214">
        <f>IF((monthly_mortgage_schedule[[#This Row],[Year (Range)]]&gt;=$C$7)*(monthly_mortgage_schedule[[#This Row],[Year (Range)]]&lt;=$C$9),AP23,NA())</f>
        <v>0</v>
      </c>
      <c r="T23" s="214">
        <f>IF((monthly_mortgage_schedule[[#This Row],[Year (Range)]]&gt;=$C$7)*(monthly_mortgage_schedule[[#This Row],[Year (Range)]]&lt;=$C$9),AR23,NA())</f>
        <v>0</v>
      </c>
      <c r="U23" s="214">
        <f>IF((monthly_mortgage_schedule[[#This Row],[Year (Range)]]&gt;=$C$7)*(monthly_mortgage_schedule[[#This Row],[Year (Range)]]&lt;=$C$9),AB23,NA())</f>
        <v>3521.0143470953476</v>
      </c>
      <c r="V23" s="214">
        <f>IF((monthly_mortgage_schedule[[#This Row],[Year (Range)]]&gt;=$C$7)*(monthly_mortgage_schedule[[#This Row],[Year (Range)]]&lt;=$C$9),AI23,NA())</f>
        <v>3521.0143470953476</v>
      </c>
      <c r="W23" s="187">
        <f t="shared" si="2"/>
        <v>537072.67300766555</v>
      </c>
      <c r="X23" s="4">
        <f t="shared" si="6"/>
        <v>2506.3391407024396</v>
      </c>
      <c r="Y23" s="4">
        <f t="shared" si="3"/>
        <v>593.68735476096845</v>
      </c>
      <c r="Z23" s="4">
        <f>_xlfn.IFNA(INDEX(additional_mortgage_payments[],MATCH(monthly_mortgage_schedule[[#This Row],[Month]],additional_mortgage_payments[Month],0),3),0)</f>
        <v>0</v>
      </c>
      <c r="AA23" s="4">
        <f>AA22+monthly_mortgage_schedule[[#This Row],[Extra Payments Towards Equity]]</f>
        <v>0</v>
      </c>
      <c r="AB23" s="4">
        <f>AB22+monthly_mortgage_schedule[[#This Row],[Principal With Extra Principal Payments]]+monthly_mortgage_schedule[[#This Row],[Extra Payments Towards Equity]]</f>
        <v>3521.0143470953476</v>
      </c>
      <c r="AC23" s="4">
        <f>monthly_mortgage_schedule[[#This Row],[Cumulative Principal With Extra Principal Payments]]+down_payment_dollars</f>
        <v>63521.014347095348</v>
      </c>
      <c r="AD23" s="200">
        <f t="shared" si="0"/>
        <v>90</v>
      </c>
      <c r="AE2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536478.98565290461</v>
      </c>
      <c r="AF23" s="187">
        <f t="shared" si="7"/>
        <v>537072.67300766555</v>
      </c>
      <c r="AG23" s="4">
        <f>IF(monthly_mortgage_schedule[[#This Row],[Loan Balance (BOY) Without Extra Principal Payments]]&gt;0,monthly_mortgage_schedule[[#This Row],[Loan Balance (BOY) Without Extra Principal Payments]]*monthly_interest_rate,0)</f>
        <v>2506.3391407024396</v>
      </c>
      <c r="AH23" s="4">
        <f>IF(monthly_mortgage_schedule[[#This Row],[Loan Balance (BOY) Without Extra Principal Payments]]&gt;1,monthly_principal_and_interest-monthly_mortgage_schedule[[#This Row],[Interest Without Extra Principal Payments]],0)</f>
        <v>593.68735476096845</v>
      </c>
      <c r="AI23" s="4">
        <f>AI22+monthly_mortgage_schedule[[#This Row],[Principal Without Extra Principal Payments]]</f>
        <v>3521.0143470953476</v>
      </c>
      <c r="AJ23" s="4">
        <f>monthly_mortgage_schedule[[#This Row],[Cumulative Principal Without Extra Principal Payments]]+down_payment_dollars</f>
        <v>63521.014347095348</v>
      </c>
      <c r="AK23" s="200">
        <f t="shared" si="1"/>
        <v>90</v>
      </c>
      <c r="AL2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536478.98565290461</v>
      </c>
      <c r="AN23" s="196">
        <f>monthly_mortgage_schedule[[#This Row],[Extra Payments Towards Equity]]+AN22+IF(monthly_mortgage_schedule[[#This Row],[Interest With Extra Principal Payments]]&gt;0,monthly_mortgage_schedule[[#This Row],[Interest Without Extra Principal Payments]]-monthly_mortgage_schedule[[#This Row],[Interest With Extra Principal Payments]],0)</f>
        <v>0</v>
      </c>
      <c r="AO23" s="4">
        <f>AO22+IF(monthly_mortgage_schedule[[#This Row],[Interest With Extra Principal Payments]]&gt;0,monthly_mortgage_schedule[[#This Row],[Interest Without Extra Principal Payments]]-monthly_mortgage_schedule[[#This Row],[Interest With Extra Principal Payments]],0)</f>
        <v>0</v>
      </c>
      <c r="AP23" s="4">
        <f>AP22+monthly_mortgage_schedule[[#This Row],[PMI Without Extra Principal Payments]]-monthly_mortgage_schedule[[#This Row],[PMI with Additional Payments]]</f>
        <v>0</v>
      </c>
      <c r="AQ23" s="4">
        <f t="shared" si="4"/>
        <v>0</v>
      </c>
      <c r="AR23" s="4">
        <f t="shared" si="5"/>
        <v>0</v>
      </c>
    </row>
    <row r="24" spans="9:50" x14ac:dyDescent="0.25">
      <c r="I24">
        <v>7</v>
      </c>
      <c r="J24">
        <f>IF(MOD(ROWS($J$18:J23),12)=0,J23+1,J23)</f>
        <v>2022</v>
      </c>
      <c r="K24" s="198">
        <f>IF(M24="#N/A",NA(),monthly_mortgage_schedule[[#This Row],[Month]])</f>
        <v>7</v>
      </c>
      <c r="L24" s="198">
        <f>IF(monthly_mortgage_schedule[[#This Row],[Calendar Year]]&gt;=$C$7,monthly_mortgage_schedule[[#This Row],[Calendar Year]],NA())</f>
        <v>2022</v>
      </c>
      <c r="M24" s="199">
        <f>IF((monthly_mortgage_schedule[[#This Row],[Calendar Year]]&gt;=$C$7)*(monthly_mortgage_schedule[[#This Row],[Calendar Year]]&lt;=$C$9),monthly_mortgage_schedule[[#This Row],[Begin Year (Range)]],NA())</f>
        <v>2022</v>
      </c>
      <c r="N24" s="214">
        <f>IF((monthly_mortgage_schedule[[#This Row],[Year (Range)]]&gt;=$C$7)*(monthly_mortgage_schedule[[#This Row],[Year (Range)]]&lt;=$C$9),X24,NA())</f>
        <v>2503.5685997135552</v>
      </c>
      <c r="O24" s="214">
        <f>IF((monthly_mortgage_schedule[[#This Row],[Year (Range)]]&gt;=$C$7)*(monthly_mortgage_schedule[[#This Row],[Year (Range)]]&lt;=$C$9),Y24,NA())</f>
        <v>596.45789574985292</v>
      </c>
      <c r="P24" s="214">
        <f>IF((monthly_mortgage_schedule[[#This Row],[Year (Range)]]&gt;=$C$7)*(monthly_mortgage_schedule[[#This Row],[Year (Range)]]&lt;=$C$9),AG24,NA())</f>
        <v>2503.5685997135552</v>
      </c>
      <c r="Q24" s="214">
        <f>IF((monthly_mortgage_schedule[[#This Row],[Year (Range)]]&gt;=$C$7)*(monthly_mortgage_schedule[[#This Row],[Year (Range)]]&lt;=$C$9),AH24,NA())</f>
        <v>596.45789574985292</v>
      </c>
      <c r="R24" s="214">
        <f>IF((monthly_mortgage_schedule[[#This Row],[Year (Range)]]&gt;=$C$7)*(monthly_mortgage_schedule[[#This Row],[Year (Range)]]&lt;=$C$9),AO24,NA())</f>
        <v>0</v>
      </c>
      <c r="S24" s="214">
        <f>IF((monthly_mortgage_schedule[[#This Row],[Year (Range)]]&gt;=$C$7)*(monthly_mortgage_schedule[[#This Row],[Year (Range)]]&lt;=$C$9),AP24,NA())</f>
        <v>0</v>
      </c>
      <c r="T24" s="214">
        <f>IF((monthly_mortgage_schedule[[#This Row],[Year (Range)]]&gt;=$C$7)*(monthly_mortgage_schedule[[#This Row],[Year (Range)]]&lt;=$C$9),AR24,NA())</f>
        <v>0</v>
      </c>
      <c r="U24" s="214">
        <f>IF((monthly_mortgage_schedule[[#This Row],[Year (Range)]]&gt;=$C$7)*(monthly_mortgage_schedule[[#This Row],[Year (Range)]]&lt;=$C$9),AB24,NA())</f>
        <v>4117.4722428452005</v>
      </c>
      <c r="V24" s="214">
        <f>IF((monthly_mortgage_schedule[[#This Row],[Year (Range)]]&gt;=$C$7)*(monthly_mortgage_schedule[[#This Row],[Year (Range)]]&lt;=$C$9),AI24,NA())</f>
        <v>4117.4722428452005</v>
      </c>
      <c r="W24" s="187">
        <f t="shared" si="2"/>
        <v>536478.98565290461</v>
      </c>
      <c r="X24" s="4">
        <f t="shared" si="6"/>
        <v>2503.5685997135552</v>
      </c>
      <c r="Y24" s="4">
        <f t="shared" si="3"/>
        <v>596.45789574985292</v>
      </c>
      <c r="Z24" s="4">
        <f>_xlfn.IFNA(INDEX(additional_mortgage_payments[],MATCH(monthly_mortgage_schedule[[#This Row],[Month]],additional_mortgage_payments[Month],0),3),0)</f>
        <v>0</v>
      </c>
      <c r="AA24" s="4">
        <f>AA23+monthly_mortgage_schedule[[#This Row],[Extra Payments Towards Equity]]</f>
        <v>0</v>
      </c>
      <c r="AB24" s="4">
        <f>AB23+monthly_mortgage_schedule[[#This Row],[Principal With Extra Principal Payments]]+monthly_mortgage_schedule[[#This Row],[Extra Payments Towards Equity]]</f>
        <v>4117.4722428452005</v>
      </c>
      <c r="AC24" s="4">
        <f>monthly_mortgage_schedule[[#This Row],[Cumulative Principal With Extra Principal Payments]]+down_payment_dollars</f>
        <v>64117.472242845201</v>
      </c>
      <c r="AD24" s="200">
        <f t="shared" si="0"/>
        <v>90</v>
      </c>
      <c r="AE2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535882.52775715478</v>
      </c>
      <c r="AF24" s="187">
        <f t="shared" si="7"/>
        <v>536478.98565290461</v>
      </c>
      <c r="AG24" s="4">
        <f>IF(monthly_mortgage_schedule[[#This Row],[Loan Balance (BOY) Without Extra Principal Payments]]&gt;0,monthly_mortgage_schedule[[#This Row],[Loan Balance (BOY) Without Extra Principal Payments]]*monthly_interest_rate,0)</f>
        <v>2503.5685997135552</v>
      </c>
      <c r="AH24" s="4">
        <f>IF(monthly_mortgage_schedule[[#This Row],[Loan Balance (BOY) Without Extra Principal Payments]]&gt;1,monthly_principal_and_interest-monthly_mortgage_schedule[[#This Row],[Interest Without Extra Principal Payments]],0)</f>
        <v>596.45789574985292</v>
      </c>
      <c r="AI24" s="4">
        <f>AI23+monthly_mortgage_schedule[[#This Row],[Principal Without Extra Principal Payments]]</f>
        <v>4117.4722428452005</v>
      </c>
      <c r="AJ24" s="4">
        <f>monthly_mortgage_schedule[[#This Row],[Cumulative Principal Without Extra Principal Payments]]+down_payment_dollars</f>
        <v>64117.472242845201</v>
      </c>
      <c r="AK24" s="200">
        <f t="shared" si="1"/>
        <v>90</v>
      </c>
      <c r="AL2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535882.52775715478</v>
      </c>
      <c r="AN24" s="196">
        <f>monthly_mortgage_schedule[[#This Row],[Extra Payments Towards Equity]]+AN23+IF(monthly_mortgage_schedule[[#This Row],[Interest With Extra Principal Payments]]&gt;0,monthly_mortgage_schedule[[#This Row],[Interest Without Extra Principal Payments]]-monthly_mortgage_schedule[[#This Row],[Interest With Extra Principal Payments]],0)</f>
        <v>0</v>
      </c>
      <c r="AO24" s="4">
        <f>AO23+IF(monthly_mortgage_schedule[[#This Row],[Interest With Extra Principal Payments]]&gt;0,monthly_mortgage_schedule[[#This Row],[Interest Without Extra Principal Payments]]-monthly_mortgage_schedule[[#This Row],[Interest With Extra Principal Payments]],0)</f>
        <v>0</v>
      </c>
      <c r="AP24" s="4">
        <f>AP23+monthly_mortgage_schedule[[#This Row],[PMI Without Extra Principal Payments]]-monthly_mortgage_schedule[[#This Row],[PMI with Additional Payments]]</f>
        <v>0</v>
      </c>
      <c r="AQ24" s="4">
        <f t="shared" si="4"/>
        <v>0</v>
      </c>
      <c r="AR24" s="4">
        <f t="shared" si="5"/>
        <v>0</v>
      </c>
    </row>
    <row r="25" spans="9:50" x14ac:dyDescent="0.25">
      <c r="I25">
        <v>8</v>
      </c>
      <c r="J25">
        <f>IF(MOD(ROWS($J$18:J24),12)=0,J24+1,J24)</f>
        <v>2022</v>
      </c>
      <c r="K25" s="198">
        <f>IF(M25="#N/A",NA(),monthly_mortgage_schedule[[#This Row],[Month]])</f>
        <v>8</v>
      </c>
      <c r="L25" s="198">
        <f>IF(monthly_mortgage_schedule[[#This Row],[Calendar Year]]&gt;=$C$7,monthly_mortgage_schedule[[#This Row],[Calendar Year]],NA())</f>
        <v>2022</v>
      </c>
      <c r="M25" s="199">
        <f>IF((monthly_mortgage_schedule[[#This Row],[Calendar Year]]&gt;=$C$7)*(monthly_mortgage_schedule[[#This Row],[Calendar Year]]&lt;=$C$9),monthly_mortgage_schedule[[#This Row],[Begin Year (Range)]],NA())</f>
        <v>2022</v>
      </c>
      <c r="N25" s="214">
        <f>IF((monthly_mortgage_schedule[[#This Row],[Year (Range)]]&gt;=$C$7)*(monthly_mortgage_schedule[[#This Row],[Year (Range)]]&lt;=$C$9),X25,NA())</f>
        <v>2500.785129533389</v>
      </c>
      <c r="O25" s="214">
        <f>IF((monthly_mortgage_schedule[[#This Row],[Year (Range)]]&gt;=$C$7)*(monthly_mortgage_schedule[[#This Row],[Year (Range)]]&lt;=$C$9),Y25,NA())</f>
        <v>599.24136593001913</v>
      </c>
      <c r="P25" s="214">
        <f>IF((monthly_mortgage_schedule[[#This Row],[Year (Range)]]&gt;=$C$7)*(monthly_mortgage_schedule[[#This Row],[Year (Range)]]&lt;=$C$9),AG25,NA())</f>
        <v>2500.785129533389</v>
      </c>
      <c r="Q25" s="214">
        <f>IF((monthly_mortgage_schedule[[#This Row],[Year (Range)]]&gt;=$C$7)*(monthly_mortgage_schedule[[#This Row],[Year (Range)]]&lt;=$C$9),AH25,NA())</f>
        <v>599.24136593001913</v>
      </c>
      <c r="R25" s="214">
        <f>IF((monthly_mortgage_schedule[[#This Row],[Year (Range)]]&gt;=$C$7)*(monthly_mortgage_schedule[[#This Row],[Year (Range)]]&lt;=$C$9),AO25,NA())</f>
        <v>0</v>
      </c>
      <c r="S25" s="214">
        <f>IF((monthly_mortgage_schedule[[#This Row],[Year (Range)]]&gt;=$C$7)*(monthly_mortgage_schedule[[#This Row],[Year (Range)]]&lt;=$C$9),AP25,NA())</f>
        <v>0</v>
      </c>
      <c r="T25" s="214">
        <f>IF((monthly_mortgage_schedule[[#This Row],[Year (Range)]]&gt;=$C$7)*(monthly_mortgage_schedule[[#This Row],[Year (Range)]]&lt;=$C$9),AR25,NA())</f>
        <v>0</v>
      </c>
      <c r="U25" s="214">
        <f>IF((monthly_mortgage_schedule[[#This Row],[Year (Range)]]&gt;=$C$7)*(monthly_mortgage_schedule[[#This Row],[Year (Range)]]&lt;=$C$9),AB25,NA())</f>
        <v>4716.7136087752197</v>
      </c>
      <c r="V25" s="214">
        <f>IF((monthly_mortgage_schedule[[#This Row],[Year (Range)]]&gt;=$C$7)*(monthly_mortgage_schedule[[#This Row],[Year (Range)]]&lt;=$C$9),AI25,NA())</f>
        <v>4716.7136087752197</v>
      </c>
      <c r="W25" s="187">
        <f t="shared" si="2"/>
        <v>535882.52775715478</v>
      </c>
      <c r="X25" s="4">
        <f t="shared" si="6"/>
        <v>2500.785129533389</v>
      </c>
      <c r="Y25" s="4">
        <f t="shared" si="3"/>
        <v>599.24136593001913</v>
      </c>
      <c r="Z25" s="4">
        <f>_xlfn.IFNA(INDEX(additional_mortgage_payments[],MATCH(monthly_mortgage_schedule[[#This Row],[Month]],additional_mortgage_payments[Month],0),3),0)</f>
        <v>0</v>
      </c>
      <c r="AA25" s="4">
        <f>AA24+monthly_mortgage_schedule[[#This Row],[Extra Payments Towards Equity]]</f>
        <v>0</v>
      </c>
      <c r="AB25" s="4">
        <f>AB24+monthly_mortgage_schedule[[#This Row],[Principal With Extra Principal Payments]]+monthly_mortgage_schedule[[#This Row],[Extra Payments Towards Equity]]</f>
        <v>4716.7136087752197</v>
      </c>
      <c r="AC25" s="4">
        <f>monthly_mortgage_schedule[[#This Row],[Cumulative Principal With Extra Principal Payments]]+down_payment_dollars</f>
        <v>64716.713608775222</v>
      </c>
      <c r="AD25" s="200">
        <f t="shared" si="0"/>
        <v>90</v>
      </c>
      <c r="AE2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535283.28639122471</v>
      </c>
      <c r="AF25" s="187">
        <f t="shared" si="7"/>
        <v>535882.52775715478</v>
      </c>
      <c r="AG25" s="4">
        <f>IF(monthly_mortgage_schedule[[#This Row],[Loan Balance (BOY) Without Extra Principal Payments]]&gt;0,monthly_mortgage_schedule[[#This Row],[Loan Balance (BOY) Without Extra Principal Payments]]*monthly_interest_rate,0)</f>
        <v>2500.785129533389</v>
      </c>
      <c r="AH25" s="4">
        <f>IF(monthly_mortgage_schedule[[#This Row],[Loan Balance (BOY) Without Extra Principal Payments]]&gt;1,monthly_principal_and_interest-monthly_mortgage_schedule[[#This Row],[Interest Without Extra Principal Payments]],0)</f>
        <v>599.24136593001913</v>
      </c>
      <c r="AI25" s="4">
        <f>AI24+monthly_mortgage_schedule[[#This Row],[Principal Without Extra Principal Payments]]</f>
        <v>4716.7136087752197</v>
      </c>
      <c r="AJ25" s="4">
        <f>monthly_mortgage_schedule[[#This Row],[Cumulative Principal Without Extra Principal Payments]]+down_payment_dollars</f>
        <v>64716.713608775222</v>
      </c>
      <c r="AK25" s="200">
        <f t="shared" si="1"/>
        <v>90</v>
      </c>
      <c r="AL2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535283.28639122471</v>
      </c>
      <c r="AN25" s="196">
        <f>monthly_mortgage_schedule[[#This Row],[Extra Payments Towards Equity]]+AN24+IF(monthly_mortgage_schedule[[#This Row],[Interest With Extra Principal Payments]]&gt;0,monthly_mortgage_schedule[[#This Row],[Interest Without Extra Principal Payments]]-monthly_mortgage_schedule[[#This Row],[Interest With Extra Principal Payments]],0)</f>
        <v>0</v>
      </c>
      <c r="AO25" s="4">
        <f>AO24+IF(monthly_mortgage_schedule[[#This Row],[Interest With Extra Principal Payments]]&gt;0,monthly_mortgage_schedule[[#This Row],[Interest Without Extra Principal Payments]]-monthly_mortgage_schedule[[#This Row],[Interest With Extra Principal Payments]],0)</f>
        <v>0</v>
      </c>
      <c r="AP25" s="4">
        <f>AP24+monthly_mortgage_schedule[[#This Row],[PMI Without Extra Principal Payments]]-monthly_mortgage_schedule[[#This Row],[PMI with Additional Payments]]</f>
        <v>0</v>
      </c>
      <c r="AQ25" s="4">
        <f t="shared" si="4"/>
        <v>0</v>
      </c>
      <c r="AR25" s="4">
        <f t="shared" si="5"/>
        <v>0</v>
      </c>
    </row>
    <row r="26" spans="9:50" x14ac:dyDescent="0.25">
      <c r="I26">
        <v>9</v>
      </c>
      <c r="J26">
        <f>IF(MOD(ROWS($J$18:J25),12)=0,J25+1,J25)</f>
        <v>2022</v>
      </c>
      <c r="K26" s="198">
        <f>IF(M26="#N/A",NA(),monthly_mortgage_schedule[[#This Row],[Month]])</f>
        <v>9</v>
      </c>
      <c r="L26" s="198">
        <f>IF(monthly_mortgage_schedule[[#This Row],[Calendar Year]]&gt;=$C$7,monthly_mortgage_schedule[[#This Row],[Calendar Year]],NA())</f>
        <v>2022</v>
      </c>
      <c r="M26" s="199">
        <f>IF((monthly_mortgage_schedule[[#This Row],[Calendar Year]]&gt;=$C$7)*(monthly_mortgage_schedule[[#This Row],[Calendar Year]]&lt;=$C$9),monthly_mortgage_schedule[[#This Row],[Begin Year (Range)]],NA())</f>
        <v>2022</v>
      </c>
      <c r="N26" s="214">
        <f>IF((monthly_mortgage_schedule[[#This Row],[Year (Range)]]&gt;=$C$7)*(monthly_mortgage_schedule[[#This Row],[Year (Range)]]&lt;=$C$9),X26,NA())</f>
        <v>2497.9886698257155</v>
      </c>
      <c r="O26" s="214">
        <f>IF((monthly_mortgage_schedule[[#This Row],[Year (Range)]]&gt;=$C$7)*(monthly_mortgage_schedule[[#This Row],[Year (Range)]]&lt;=$C$9),Y26,NA())</f>
        <v>602.03782563769255</v>
      </c>
      <c r="P26" s="214">
        <f>IF((monthly_mortgage_schedule[[#This Row],[Year (Range)]]&gt;=$C$7)*(monthly_mortgage_schedule[[#This Row],[Year (Range)]]&lt;=$C$9),AG26,NA())</f>
        <v>2497.9886698257155</v>
      </c>
      <c r="Q26" s="214">
        <f>IF((monthly_mortgage_schedule[[#This Row],[Year (Range)]]&gt;=$C$7)*(monthly_mortgage_schedule[[#This Row],[Year (Range)]]&lt;=$C$9),AH26,NA())</f>
        <v>602.03782563769255</v>
      </c>
      <c r="R26" s="214">
        <f>IF((monthly_mortgage_schedule[[#This Row],[Year (Range)]]&gt;=$C$7)*(monthly_mortgage_schedule[[#This Row],[Year (Range)]]&lt;=$C$9),AO26,NA())</f>
        <v>0</v>
      </c>
      <c r="S26" s="214">
        <f>IF((monthly_mortgage_schedule[[#This Row],[Year (Range)]]&gt;=$C$7)*(monthly_mortgage_schedule[[#This Row],[Year (Range)]]&lt;=$C$9),AP26,NA())</f>
        <v>0</v>
      </c>
      <c r="T26" s="214">
        <f>IF((monthly_mortgage_schedule[[#This Row],[Year (Range)]]&gt;=$C$7)*(monthly_mortgage_schedule[[#This Row],[Year (Range)]]&lt;=$C$9),AR26,NA())</f>
        <v>0</v>
      </c>
      <c r="U26" s="214">
        <f>IF((monthly_mortgage_schedule[[#This Row],[Year (Range)]]&gt;=$C$7)*(monthly_mortgage_schedule[[#This Row],[Year (Range)]]&lt;=$C$9),AB26,NA())</f>
        <v>5318.7514344129122</v>
      </c>
      <c r="V26" s="214">
        <f>IF((monthly_mortgage_schedule[[#This Row],[Year (Range)]]&gt;=$C$7)*(monthly_mortgage_schedule[[#This Row],[Year (Range)]]&lt;=$C$9),AI26,NA())</f>
        <v>5318.7514344129122</v>
      </c>
      <c r="W26" s="187">
        <f t="shared" si="2"/>
        <v>535283.28639122471</v>
      </c>
      <c r="X26" s="4">
        <f t="shared" si="6"/>
        <v>2497.9886698257155</v>
      </c>
      <c r="Y26" s="4">
        <f t="shared" si="3"/>
        <v>602.03782563769255</v>
      </c>
      <c r="Z26" s="4">
        <f>_xlfn.IFNA(INDEX(additional_mortgage_payments[],MATCH(monthly_mortgage_schedule[[#This Row],[Month]],additional_mortgage_payments[Month],0),3),0)</f>
        <v>0</v>
      </c>
      <c r="AA26" s="4">
        <f>AA25+monthly_mortgage_schedule[[#This Row],[Extra Payments Towards Equity]]</f>
        <v>0</v>
      </c>
      <c r="AB26" s="4">
        <f>AB25+monthly_mortgage_schedule[[#This Row],[Principal With Extra Principal Payments]]+monthly_mortgage_schedule[[#This Row],[Extra Payments Towards Equity]]</f>
        <v>5318.7514344129122</v>
      </c>
      <c r="AC26" s="4">
        <f>monthly_mortgage_schedule[[#This Row],[Cumulative Principal With Extra Principal Payments]]+down_payment_dollars</f>
        <v>65318.751434412916</v>
      </c>
      <c r="AD26" s="200">
        <f t="shared" si="0"/>
        <v>90</v>
      </c>
      <c r="AE2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534681.24856558698</v>
      </c>
      <c r="AF26" s="187">
        <f t="shared" si="7"/>
        <v>535283.28639122471</v>
      </c>
      <c r="AG26" s="4">
        <f>IF(monthly_mortgage_schedule[[#This Row],[Loan Balance (BOY) Without Extra Principal Payments]]&gt;0,monthly_mortgage_schedule[[#This Row],[Loan Balance (BOY) Without Extra Principal Payments]]*monthly_interest_rate,0)</f>
        <v>2497.9886698257155</v>
      </c>
      <c r="AH26" s="4">
        <f>IF(monthly_mortgage_schedule[[#This Row],[Loan Balance (BOY) Without Extra Principal Payments]]&gt;1,monthly_principal_and_interest-monthly_mortgage_schedule[[#This Row],[Interest Without Extra Principal Payments]],0)</f>
        <v>602.03782563769255</v>
      </c>
      <c r="AI26" s="4">
        <f>AI25+monthly_mortgage_schedule[[#This Row],[Principal Without Extra Principal Payments]]</f>
        <v>5318.7514344129122</v>
      </c>
      <c r="AJ26" s="4">
        <f>monthly_mortgage_schedule[[#This Row],[Cumulative Principal Without Extra Principal Payments]]+down_payment_dollars</f>
        <v>65318.751434412916</v>
      </c>
      <c r="AK26" s="200">
        <f t="shared" si="1"/>
        <v>90</v>
      </c>
      <c r="AL2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534681.24856558698</v>
      </c>
      <c r="AN26" s="196">
        <f>monthly_mortgage_schedule[[#This Row],[Extra Payments Towards Equity]]+AN25+IF(monthly_mortgage_schedule[[#This Row],[Interest With Extra Principal Payments]]&gt;0,monthly_mortgage_schedule[[#This Row],[Interest Without Extra Principal Payments]]-monthly_mortgage_schedule[[#This Row],[Interest With Extra Principal Payments]],0)</f>
        <v>0</v>
      </c>
      <c r="AO26" s="4">
        <f>AO25+IF(monthly_mortgage_schedule[[#This Row],[Interest With Extra Principal Payments]]&gt;0,monthly_mortgage_schedule[[#This Row],[Interest Without Extra Principal Payments]]-monthly_mortgage_schedule[[#This Row],[Interest With Extra Principal Payments]],0)</f>
        <v>0</v>
      </c>
      <c r="AP26" s="4">
        <f>AP25+monthly_mortgage_schedule[[#This Row],[PMI Without Extra Principal Payments]]-monthly_mortgage_schedule[[#This Row],[PMI with Additional Payments]]</f>
        <v>0</v>
      </c>
      <c r="AQ26" s="4">
        <f t="shared" si="4"/>
        <v>0</v>
      </c>
      <c r="AR26" s="4">
        <f t="shared" si="5"/>
        <v>0</v>
      </c>
    </row>
    <row r="27" spans="9:50" x14ac:dyDescent="0.25">
      <c r="I27">
        <v>10</v>
      </c>
      <c r="J27">
        <f>IF(MOD(ROWS($J$18:J26),12)=0,J26+1,J26)</f>
        <v>2022</v>
      </c>
      <c r="K27" s="198">
        <f>IF(M27="#N/A",NA(),monthly_mortgage_schedule[[#This Row],[Month]])</f>
        <v>10</v>
      </c>
      <c r="L27" s="198">
        <f>IF(monthly_mortgage_schedule[[#This Row],[Calendar Year]]&gt;=$C$7,monthly_mortgage_schedule[[#This Row],[Calendar Year]],NA())</f>
        <v>2022</v>
      </c>
      <c r="M27" s="199">
        <f>IF((monthly_mortgage_schedule[[#This Row],[Calendar Year]]&gt;=$C$7)*(monthly_mortgage_schedule[[#This Row],[Calendar Year]]&lt;=$C$9),monthly_mortgage_schedule[[#This Row],[Begin Year (Range)]],NA())</f>
        <v>2022</v>
      </c>
      <c r="N27" s="214">
        <f>IF((monthly_mortgage_schedule[[#This Row],[Year (Range)]]&gt;=$C$7)*(monthly_mortgage_schedule[[#This Row],[Year (Range)]]&lt;=$C$9),X27,NA())</f>
        <v>2495.1791599727394</v>
      </c>
      <c r="O27" s="214">
        <f>IF((monthly_mortgage_schedule[[#This Row],[Year (Range)]]&gt;=$C$7)*(monthly_mortgage_schedule[[#This Row],[Year (Range)]]&lt;=$C$9),Y27,NA())</f>
        <v>604.84733549066868</v>
      </c>
      <c r="P27" s="214">
        <f>IF((monthly_mortgage_schedule[[#This Row],[Year (Range)]]&gt;=$C$7)*(monthly_mortgage_schedule[[#This Row],[Year (Range)]]&lt;=$C$9),AG27,NA())</f>
        <v>2495.1791599727394</v>
      </c>
      <c r="Q27" s="214">
        <f>IF((monthly_mortgage_schedule[[#This Row],[Year (Range)]]&gt;=$C$7)*(monthly_mortgage_schedule[[#This Row],[Year (Range)]]&lt;=$C$9),AH27,NA())</f>
        <v>604.84733549066868</v>
      </c>
      <c r="R27" s="214">
        <f>IF((monthly_mortgage_schedule[[#This Row],[Year (Range)]]&gt;=$C$7)*(monthly_mortgage_schedule[[#This Row],[Year (Range)]]&lt;=$C$9),AO27,NA())</f>
        <v>0</v>
      </c>
      <c r="S27" s="214">
        <f>IF((monthly_mortgage_schedule[[#This Row],[Year (Range)]]&gt;=$C$7)*(monthly_mortgage_schedule[[#This Row],[Year (Range)]]&lt;=$C$9),AP27,NA())</f>
        <v>0</v>
      </c>
      <c r="T27" s="214">
        <f>IF((monthly_mortgage_schedule[[#This Row],[Year (Range)]]&gt;=$C$7)*(monthly_mortgage_schedule[[#This Row],[Year (Range)]]&lt;=$C$9),AR27,NA())</f>
        <v>3.3333333333333144</v>
      </c>
      <c r="U27" s="214">
        <f>IF((monthly_mortgage_schedule[[#This Row],[Year (Range)]]&gt;=$C$7)*(monthly_mortgage_schedule[[#This Row],[Year (Range)]]&lt;=$C$9),AB27,NA())</f>
        <v>6423.5987699035813</v>
      </c>
      <c r="V27" s="214">
        <f>IF((monthly_mortgage_schedule[[#This Row],[Year (Range)]]&gt;=$C$7)*(monthly_mortgage_schedule[[#This Row],[Year (Range)]]&lt;=$C$9),AI27,NA())</f>
        <v>5923.5987699035813</v>
      </c>
      <c r="W27" s="187">
        <f t="shared" si="2"/>
        <v>534681.24856558698</v>
      </c>
      <c r="X27" s="4">
        <f t="shared" si="6"/>
        <v>2495.1791599727394</v>
      </c>
      <c r="Y27" s="4">
        <f t="shared" si="3"/>
        <v>604.84733549066868</v>
      </c>
      <c r="Z27" s="4">
        <f>_xlfn.IFNA(INDEX(additional_mortgage_payments[],MATCH(monthly_mortgage_schedule[[#This Row],[Month]],additional_mortgage_payments[Month],0),3),0)</f>
        <v>500</v>
      </c>
      <c r="AA27" s="4">
        <f>AA26+monthly_mortgage_schedule[[#This Row],[Extra Payments Towards Equity]]</f>
        <v>500</v>
      </c>
      <c r="AB27" s="4">
        <f>AB26+monthly_mortgage_schedule[[#This Row],[Principal With Extra Principal Payments]]+monthly_mortgage_schedule[[#This Row],[Extra Payments Towards Equity]]</f>
        <v>6423.5987699035813</v>
      </c>
      <c r="AC27" s="4">
        <f>monthly_mortgage_schedule[[#This Row],[Cumulative Principal With Extra Principal Payments]]+down_payment_dollars</f>
        <v>66423.598769903576</v>
      </c>
      <c r="AD27" s="200">
        <f t="shared" si="0"/>
        <v>90</v>
      </c>
      <c r="AE2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533576.40123009635</v>
      </c>
      <c r="AF27" s="187">
        <f t="shared" si="7"/>
        <v>534681.24856558698</v>
      </c>
      <c r="AG27" s="4">
        <f>IF(monthly_mortgage_schedule[[#This Row],[Loan Balance (BOY) Without Extra Principal Payments]]&gt;0,monthly_mortgage_schedule[[#This Row],[Loan Balance (BOY) Without Extra Principal Payments]]*monthly_interest_rate,0)</f>
        <v>2495.1791599727394</v>
      </c>
      <c r="AH27" s="4">
        <f>IF(monthly_mortgage_schedule[[#This Row],[Loan Balance (BOY) Without Extra Principal Payments]]&gt;1,monthly_principal_and_interest-monthly_mortgage_schedule[[#This Row],[Interest Without Extra Principal Payments]],0)</f>
        <v>604.84733549066868</v>
      </c>
      <c r="AI27" s="4">
        <f>AI26+monthly_mortgage_schedule[[#This Row],[Principal Without Extra Principal Payments]]</f>
        <v>5923.5987699035813</v>
      </c>
      <c r="AJ27" s="4">
        <f>monthly_mortgage_schedule[[#This Row],[Cumulative Principal Without Extra Principal Payments]]+down_payment_dollars</f>
        <v>65923.598769903576</v>
      </c>
      <c r="AK27" s="200">
        <f t="shared" si="1"/>
        <v>90</v>
      </c>
      <c r="AL2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534076.40123009635</v>
      </c>
      <c r="AN27" s="196">
        <f>monthly_mortgage_schedule[[#This Row],[Extra Payments Towards Equity]]+AN26+IF(monthly_mortgage_schedule[[#This Row],[Interest With Extra Principal Payments]]&gt;0,monthly_mortgage_schedule[[#This Row],[Interest Without Extra Principal Payments]]-monthly_mortgage_schedule[[#This Row],[Interest With Extra Principal Payments]],0)</f>
        <v>500</v>
      </c>
      <c r="AO27" s="4">
        <f>AO26+IF(monthly_mortgage_schedule[[#This Row],[Interest With Extra Principal Payments]]&gt;0,monthly_mortgage_schedule[[#This Row],[Interest Without Extra Principal Payments]]-monthly_mortgage_schedule[[#This Row],[Interest With Extra Principal Payments]],0)</f>
        <v>0</v>
      </c>
      <c r="AP27" s="4">
        <f>AP26+monthly_mortgage_schedule[[#This Row],[PMI Without Extra Principal Payments]]-monthly_mortgage_schedule[[#This Row],[PMI with Additional Payments]]</f>
        <v>0</v>
      </c>
      <c r="AQ27" s="4">
        <f t="shared" si="4"/>
        <v>503.33333333333331</v>
      </c>
      <c r="AR27" s="4">
        <f>Table60[[#This Row],[Cumulative Investments]]-monthly_mortgage_schedule[[#This Row],[Cumulative Extra Payments Towards Equity]]</f>
        <v>3.3333333333333144</v>
      </c>
    </row>
    <row r="28" spans="9:50" x14ac:dyDescent="0.25">
      <c r="I28">
        <v>11</v>
      </c>
      <c r="J28">
        <f>IF(MOD(ROWS($J$18:J27),12)=0,J27+1,J27)</f>
        <v>2022</v>
      </c>
      <c r="K28" s="198">
        <f>IF(M28="#N/A",NA(),monthly_mortgage_schedule[[#This Row],[Month]])</f>
        <v>11</v>
      </c>
      <c r="L28" s="198">
        <f>IF(monthly_mortgage_schedule[[#This Row],[Calendar Year]]&gt;=$C$7,monthly_mortgage_schedule[[#This Row],[Calendar Year]],NA())</f>
        <v>2022</v>
      </c>
      <c r="M28" s="199">
        <f>IF((monthly_mortgage_schedule[[#This Row],[Calendar Year]]&gt;=$C$7)*(monthly_mortgage_schedule[[#This Row],[Calendar Year]]&lt;=$C$9),monthly_mortgage_schedule[[#This Row],[Begin Year (Range)]],NA())</f>
        <v>2022</v>
      </c>
      <c r="N28" s="214">
        <f>IF((monthly_mortgage_schedule[[#This Row],[Year (Range)]]&gt;=$C$7)*(monthly_mortgage_schedule[[#This Row],[Year (Range)]]&lt;=$C$9),X28,NA())</f>
        <v>2490.0232057404501</v>
      </c>
      <c r="O28" s="214">
        <f>IF((monthly_mortgage_schedule[[#This Row],[Year (Range)]]&gt;=$C$7)*(monthly_mortgage_schedule[[#This Row],[Year (Range)]]&lt;=$C$9),Y28,NA())</f>
        <v>610.00328972295802</v>
      </c>
      <c r="P28" s="214">
        <f>IF((monthly_mortgage_schedule[[#This Row],[Year (Range)]]&gt;=$C$7)*(monthly_mortgage_schedule[[#This Row],[Year (Range)]]&lt;=$C$9),AG28,NA())</f>
        <v>2492.3565390737831</v>
      </c>
      <c r="Q28" s="214">
        <f>IF((monthly_mortgage_schedule[[#This Row],[Year (Range)]]&gt;=$C$7)*(monthly_mortgage_schedule[[#This Row],[Year (Range)]]&lt;=$C$9),AH28,NA())</f>
        <v>607.66995638962499</v>
      </c>
      <c r="R28" s="214">
        <f>IF((monthly_mortgage_schedule[[#This Row],[Year (Range)]]&gt;=$C$7)*(monthly_mortgage_schedule[[#This Row],[Year (Range)]]&lt;=$C$9),AO28,NA())</f>
        <v>2.3333333333330302</v>
      </c>
      <c r="S28" s="214">
        <f>IF((monthly_mortgage_schedule[[#This Row],[Year (Range)]]&gt;=$C$7)*(monthly_mortgage_schedule[[#This Row],[Year (Range)]]&lt;=$C$9),AP28,NA())</f>
        <v>0</v>
      </c>
      <c r="T28" s="214">
        <f>IF((monthly_mortgage_schedule[[#This Row],[Year (Range)]]&gt;=$C$7)*(monthly_mortgage_schedule[[#This Row],[Year (Range)]]&lt;=$C$9),AR28,NA())</f>
        <v>6.6888888888888118</v>
      </c>
      <c r="U28" s="214">
        <f>IF((monthly_mortgage_schedule[[#This Row],[Year (Range)]]&gt;=$C$7)*(monthly_mortgage_schedule[[#This Row],[Year (Range)]]&lt;=$C$9),AB28,NA())</f>
        <v>7033.6020596265389</v>
      </c>
      <c r="V28" s="214">
        <f>IF((monthly_mortgage_schedule[[#This Row],[Year (Range)]]&gt;=$C$7)*(monthly_mortgage_schedule[[#This Row],[Year (Range)]]&lt;=$C$9),AI28,NA())</f>
        <v>6531.2687262932068</v>
      </c>
      <c r="W28" s="187">
        <f t="shared" si="2"/>
        <v>533576.40123009635</v>
      </c>
      <c r="X28" s="4">
        <f t="shared" si="6"/>
        <v>2490.0232057404501</v>
      </c>
      <c r="Y28" s="4">
        <f t="shared" si="3"/>
        <v>610.00328972295802</v>
      </c>
      <c r="Z28" s="4">
        <f>_xlfn.IFNA(INDEX(additional_mortgage_payments[],MATCH(monthly_mortgage_schedule[[#This Row],[Month]],additional_mortgage_payments[Month],0),3),0)</f>
        <v>0</v>
      </c>
      <c r="AA28" s="4">
        <f>AA27+monthly_mortgage_schedule[[#This Row],[Extra Payments Towards Equity]]</f>
        <v>500</v>
      </c>
      <c r="AB28" s="4">
        <f>AB27+monthly_mortgage_schedule[[#This Row],[Principal With Extra Principal Payments]]+monthly_mortgage_schedule[[#This Row],[Extra Payments Towards Equity]]</f>
        <v>7033.6020596265389</v>
      </c>
      <c r="AC28" s="4">
        <f>monthly_mortgage_schedule[[#This Row],[Cumulative Principal With Extra Principal Payments]]+down_payment_dollars</f>
        <v>67033.602059626544</v>
      </c>
      <c r="AD28" s="200">
        <f t="shared" si="0"/>
        <v>90</v>
      </c>
      <c r="AE2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532966.3979403734</v>
      </c>
      <c r="AF28" s="187">
        <f t="shared" si="7"/>
        <v>534076.40123009635</v>
      </c>
      <c r="AG28" s="4">
        <f>IF(monthly_mortgage_schedule[[#This Row],[Loan Balance (BOY) Without Extra Principal Payments]]&gt;0,monthly_mortgage_schedule[[#This Row],[Loan Balance (BOY) Without Extra Principal Payments]]*monthly_interest_rate,0)</f>
        <v>2492.3565390737831</v>
      </c>
      <c r="AH28" s="4">
        <f>IF(monthly_mortgage_schedule[[#This Row],[Loan Balance (BOY) Without Extra Principal Payments]]&gt;1,monthly_principal_and_interest-monthly_mortgage_schedule[[#This Row],[Interest Without Extra Principal Payments]],0)</f>
        <v>607.66995638962499</v>
      </c>
      <c r="AI28" s="4">
        <f>AI27+monthly_mortgage_schedule[[#This Row],[Principal Without Extra Principal Payments]]</f>
        <v>6531.2687262932068</v>
      </c>
      <c r="AJ28" s="4">
        <f>monthly_mortgage_schedule[[#This Row],[Cumulative Principal Without Extra Principal Payments]]+down_payment_dollars</f>
        <v>66531.268726293201</v>
      </c>
      <c r="AK28" s="200">
        <f t="shared" si="1"/>
        <v>90</v>
      </c>
      <c r="AL2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533468.73127370677</v>
      </c>
      <c r="AN28" s="196">
        <f>monthly_mortgage_schedule[[#This Row],[Extra Payments Towards Equity]]+AN27+IF(monthly_mortgage_schedule[[#This Row],[Interest With Extra Principal Payments]]&gt;0,monthly_mortgage_schedule[[#This Row],[Interest Without Extra Principal Payments]]-monthly_mortgage_schedule[[#This Row],[Interest With Extra Principal Payments]],0)</f>
        <v>502.33333333333303</v>
      </c>
      <c r="AO28" s="4">
        <f>AO27+IF(monthly_mortgage_schedule[[#This Row],[Interest With Extra Principal Payments]]&gt;0,monthly_mortgage_schedule[[#This Row],[Interest Without Extra Principal Payments]]-monthly_mortgage_schedule[[#This Row],[Interest With Extra Principal Payments]],0)</f>
        <v>2.3333333333330302</v>
      </c>
      <c r="AP28" s="4">
        <f>AP27+monthly_mortgage_schedule[[#This Row],[PMI Without Extra Principal Payments]]-monthly_mortgage_schedule[[#This Row],[PMI with Additional Payments]]</f>
        <v>0</v>
      </c>
      <c r="AQ28" s="4">
        <f t="shared" si="4"/>
        <v>506.68888888888881</v>
      </c>
      <c r="AR28" s="4">
        <f>Table60[[#This Row],[Cumulative Investments]]-monthly_mortgage_schedule[[#This Row],[Cumulative Extra Payments Towards Equity]]</f>
        <v>6.6888888888888118</v>
      </c>
    </row>
    <row r="29" spans="9:50" x14ac:dyDescent="0.25">
      <c r="I29">
        <v>12</v>
      </c>
      <c r="J29">
        <f>IF(MOD(ROWS($J$18:J28),12)=0,J28+1,J28)</f>
        <v>2022</v>
      </c>
      <c r="K29" s="198">
        <f>IF(M29="#N/A",NA(),monthly_mortgage_schedule[[#This Row],[Month]])</f>
        <v>12</v>
      </c>
      <c r="L29" s="198">
        <f>IF(monthly_mortgage_schedule[[#This Row],[Calendar Year]]&gt;=$C$7,monthly_mortgage_schedule[[#This Row],[Calendar Year]],NA())</f>
        <v>2022</v>
      </c>
      <c r="M29" s="199">
        <f>IF((monthly_mortgage_schedule[[#This Row],[Calendar Year]]&gt;=$C$7)*(monthly_mortgage_schedule[[#This Row],[Calendar Year]]&lt;=$C$9),monthly_mortgage_schedule[[#This Row],[Begin Year (Range)]],NA())</f>
        <v>2022</v>
      </c>
      <c r="N29" s="214">
        <f>IF((monthly_mortgage_schedule[[#This Row],[Year (Range)]]&gt;=$C$7)*(monthly_mortgage_schedule[[#This Row],[Year (Range)]]&lt;=$C$9),X29,NA())</f>
        <v>2487.1765237217428</v>
      </c>
      <c r="O29" s="214">
        <f>IF((monthly_mortgage_schedule[[#This Row],[Year (Range)]]&gt;=$C$7)*(monthly_mortgage_schedule[[#This Row],[Year (Range)]]&lt;=$C$9),Y29,NA())</f>
        <v>612.84997174166529</v>
      </c>
      <c r="P29" s="214">
        <f>IF((monthly_mortgage_schedule[[#This Row],[Year (Range)]]&gt;=$C$7)*(monthly_mortgage_schedule[[#This Row],[Year (Range)]]&lt;=$C$9),AG29,NA())</f>
        <v>2489.5207459439653</v>
      </c>
      <c r="Q29" s="214">
        <f>IF((monthly_mortgage_schedule[[#This Row],[Year (Range)]]&gt;=$C$7)*(monthly_mortgage_schedule[[#This Row],[Year (Range)]]&lt;=$C$9),AH29,NA())</f>
        <v>610.50574951944282</v>
      </c>
      <c r="R29" s="214">
        <f>IF((monthly_mortgage_schedule[[#This Row],[Year (Range)]]&gt;=$C$7)*(monthly_mortgage_schedule[[#This Row],[Year (Range)]]&lt;=$C$9),AO29,NA())</f>
        <v>4.6775555555555002</v>
      </c>
      <c r="S29" s="214">
        <f>IF((monthly_mortgage_schedule[[#This Row],[Year (Range)]]&gt;=$C$7)*(monthly_mortgage_schedule[[#This Row],[Year (Range)]]&lt;=$C$9),AP29,NA())</f>
        <v>0</v>
      </c>
      <c r="T29" s="214">
        <f>IF((monthly_mortgage_schedule[[#This Row],[Year (Range)]]&gt;=$C$7)*(monthly_mortgage_schedule[[#This Row],[Year (Range)]]&lt;=$C$9),AR29,NA())</f>
        <v>10.066814814814677</v>
      </c>
      <c r="U29" s="214">
        <f>IF((monthly_mortgage_schedule[[#This Row],[Year (Range)]]&gt;=$C$7)*(monthly_mortgage_schedule[[#This Row],[Year (Range)]]&lt;=$C$9),AB29,NA())</f>
        <v>7646.4520313682042</v>
      </c>
      <c r="V29" s="214">
        <f>IF((monthly_mortgage_schedule[[#This Row],[Year (Range)]]&gt;=$C$7)*(monthly_mortgage_schedule[[#This Row],[Year (Range)]]&lt;=$C$9),AI29,NA())</f>
        <v>7141.7744758126501</v>
      </c>
      <c r="W29" s="187">
        <f t="shared" si="2"/>
        <v>532966.3979403734</v>
      </c>
      <c r="X29" s="4">
        <f t="shared" si="6"/>
        <v>2487.1765237217428</v>
      </c>
      <c r="Y29" s="4">
        <f t="shared" si="3"/>
        <v>612.84997174166529</v>
      </c>
      <c r="Z29" s="4">
        <f>_xlfn.IFNA(INDEX(additional_mortgage_payments[],MATCH(monthly_mortgage_schedule[[#This Row],[Month]],additional_mortgage_payments[Month],0),3),0)</f>
        <v>0</v>
      </c>
      <c r="AA29" s="4">
        <f>AA28+monthly_mortgage_schedule[[#This Row],[Extra Payments Towards Equity]]</f>
        <v>500</v>
      </c>
      <c r="AB29" s="4">
        <f>AB28+monthly_mortgage_schedule[[#This Row],[Principal With Extra Principal Payments]]+monthly_mortgage_schedule[[#This Row],[Extra Payments Towards Equity]]</f>
        <v>7646.4520313682042</v>
      </c>
      <c r="AC29" s="4">
        <f>monthly_mortgage_schedule[[#This Row],[Cumulative Principal With Extra Principal Payments]]+down_payment_dollars</f>
        <v>67646.452031368201</v>
      </c>
      <c r="AD29" s="200">
        <f t="shared" si="0"/>
        <v>90</v>
      </c>
      <c r="AE2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532353.54796863173</v>
      </c>
      <c r="AF29" s="187">
        <f t="shared" si="7"/>
        <v>533468.73127370677</v>
      </c>
      <c r="AG29" s="4">
        <f>IF(monthly_mortgage_schedule[[#This Row],[Loan Balance (BOY) Without Extra Principal Payments]]&gt;0,monthly_mortgage_schedule[[#This Row],[Loan Balance (BOY) Without Extra Principal Payments]]*monthly_interest_rate,0)</f>
        <v>2489.5207459439653</v>
      </c>
      <c r="AH29" s="4">
        <f>IF(monthly_mortgage_schedule[[#This Row],[Loan Balance (BOY) Without Extra Principal Payments]]&gt;1,monthly_principal_and_interest-monthly_mortgage_schedule[[#This Row],[Interest Without Extra Principal Payments]],0)</f>
        <v>610.50574951944282</v>
      </c>
      <c r="AI29" s="4">
        <f>AI28+monthly_mortgage_schedule[[#This Row],[Principal Without Extra Principal Payments]]</f>
        <v>7141.7744758126501</v>
      </c>
      <c r="AJ29" s="4">
        <f>monthly_mortgage_schedule[[#This Row],[Cumulative Principal Without Extra Principal Payments]]+down_payment_dollars</f>
        <v>67141.77447581265</v>
      </c>
      <c r="AK29" s="200">
        <f t="shared" si="1"/>
        <v>90</v>
      </c>
      <c r="AL2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532858.22552418732</v>
      </c>
      <c r="AN29" s="196">
        <f>monthly_mortgage_schedule[[#This Row],[Extra Payments Towards Equity]]+AN28+IF(monthly_mortgage_schedule[[#This Row],[Interest With Extra Principal Payments]]&gt;0,monthly_mortgage_schedule[[#This Row],[Interest Without Extra Principal Payments]]-monthly_mortgage_schedule[[#This Row],[Interest With Extra Principal Payments]],0)</f>
        <v>504.6775555555555</v>
      </c>
      <c r="AO29" s="4">
        <f>AO28+IF(monthly_mortgage_schedule[[#This Row],[Interest With Extra Principal Payments]]&gt;0,monthly_mortgage_schedule[[#This Row],[Interest Without Extra Principal Payments]]-monthly_mortgage_schedule[[#This Row],[Interest With Extra Principal Payments]],0)</f>
        <v>4.6775555555555002</v>
      </c>
      <c r="AP29" s="4">
        <f>AP28+monthly_mortgage_schedule[[#This Row],[PMI Without Extra Principal Payments]]-monthly_mortgage_schedule[[#This Row],[PMI with Additional Payments]]</f>
        <v>0</v>
      </c>
      <c r="AQ29" s="4">
        <f t="shared" si="4"/>
        <v>510.06681481481468</v>
      </c>
      <c r="AR29" s="4">
        <f>Table60[[#This Row],[Cumulative Investments]]-monthly_mortgage_schedule[[#This Row],[Cumulative Extra Payments Towards Equity]]</f>
        <v>10.066814814814677</v>
      </c>
    </row>
    <row r="30" spans="9:50" x14ac:dyDescent="0.25">
      <c r="I30">
        <v>13</v>
      </c>
      <c r="J30">
        <f>IF(MOD(ROWS($J$18:J29),12)=0,J29+1,J29)</f>
        <v>2023</v>
      </c>
      <c r="K30" s="198">
        <f>IF(M30="#N/A",NA(),monthly_mortgage_schedule[[#This Row],[Month]])</f>
        <v>13</v>
      </c>
      <c r="L30" s="198">
        <f>IF(monthly_mortgage_schedule[[#This Row],[Calendar Year]]&gt;=$C$7,monthly_mortgage_schedule[[#This Row],[Calendar Year]],NA())</f>
        <v>2023</v>
      </c>
      <c r="M30" s="199">
        <f>IF((monthly_mortgage_schedule[[#This Row],[Calendar Year]]&gt;=$C$7)*(monthly_mortgage_schedule[[#This Row],[Calendar Year]]&lt;=$C$9),monthly_mortgage_schedule[[#This Row],[Begin Year (Range)]],NA())</f>
        <v>2023</v>
      </c>
      <c r="N30" s="214">
        <f>IF((monthly_mortgage_schedule[[#This Row],[Year (Range)]]&gt;=$C$7)*(monthly_mortgage_schedule[[#This Row],[Year (Range)]]&lt;=$C$9),X30,NA())</f>
        <v>2484.3165571869481</v>
      </c>
      <c r="O30" s="214">
        <f>IF((monthly_mortgage_schedule[[#This Row],[Year (Range)]]&gt;=$C$7)*(monthly_mortgage_schedule[[#This Row],[Year (Range)]]&lt;=$C$9),Y30,NA())</f>
        <v>615.70993827645998</v>
      </c>
      <c r="P30" s="214">
        <f>IF((monthly_mortgage_schedule[[#This Row],[Year (Range)]]&gt;=$C$7)*(monthly_mortgage_schedule[[#This Row],[Year (Range)]]&lt;=$C$9),AG30,NA())</f>
        <v>2486.6717191128741</v>
      </c>
      <c r="Q30" s="214">
        <f>IF((monthly_mortgage_schedule[[#This Row],[Year (Range)]]&gt;=$C$7)*(monthly_mortgage_schedule[[#This Row],[Year (Range)]]&lt;=$C$9),AH30,NA())</f>
        <v>613.35477635053394</v>
      </c>
      <c r="R30" s="214">
        <f>IF((monthly_mortgage_schedule[[#This Row],[Year (Range)]]&gt;=$C$7)*(monthly_mortgage_schedule[[#This Row],[Year (Range)]]&lt;=$C$9),AO30,NA())</f>
        <v>7.0327174814815407</v>
      </c>
      <c r="S30" s="214">
        <f>IF((monthly_mortgage_schedule[[#This Row],[Year (Range)]]&gt;=$C$7)*(monthly_mortgage_schedule[[#This Row],[Year (Range)]]&lt;=$C$9),AP30,NA())</f>
        <v>0</v>
      </c>
      <c r="T30" s="214">
        <f>IF((monthly_mortgage_schedule[[#This Row],[Year (Range)]]&gt;=$C$7)*(monthly_mortgage_schedule[[#This Row],[Year (Range)]]&lt;=$C$9),AR30,NA())</f>
        <v>13.467260246913384</v>
      </c>
      <c r="U30" s="214">
        <f>IF((monthly_mortgage_schedule[[#This Row],[Year (Range)]]&gt;=$C$7)*(monthly_mortgage_schedule[[#This Row],[Year (Range)]]&lt;=$C$9),AB30,NA())</f>
        <v>8262.1619696446651</v>
      </c>
      <c r="V30" s="214">
        <f>IF((monthly_mortgage_schedule[[#This Row],[Year (Range)]]&gt;=$C$7)*(monthly_mortgage_schedule[[#This Row],[Year (Range)]]&lt;=$C$9),AI30,NA())</f>
        <v>7755.129252163184</v>
      </c>
      <c r="W30" s="187">
        <f t="shared" si="2"/>
        <v>532353.54796863173</v>
      </c>
      <c r="X30" s="4">
        <f t="shared" si="6"/>
        <v>2484.3165571869481</v>
      </c>
      <c r="Y30" s="4">
        <f t="shared" si="3"/>
        <v>615.70993827645998</v>
      </c>
      <c r="Z30" s="4">
        <f>_xlfn.IFNA(INDEX(additional_mortgage_payments[],MATCH(monthly_mortgage_schedule[[#This Row],[Month]],additional_mortgage_payments[Month],0),3),0)</f>
        <v>0</v>
      </c>
      <c r="AA30" s="4">
        <f>AA29+monthly_mortgage_schedule[[#This Row],[Extra Payments Towards Equity]]</f>
        <v>500</v>
      </c>
      <c r="AB30" s="4">
        <f>AB29+monthly_mortgage_schedule[[#This Row],[Principal With Extra Principal Payments]]+monthly_mortgage_schedule[[#This Row],[Extra Payments Towards Equity]]</f>
        <v>8262.1619696446651</v>
      </c>
      <c r="AC30" s="4">
        <f>monthly_mortgage_schedule[[#This Row],[Cumulative Principal With Extra Principal Payments]]+down_payment_dollars</f>
        <v>68262.161969644658</v>
      </c>
      <c r="AD30" s="200">
        <f t="shared" si="0"/>
        <v>90</v>
      </c>
      <c r="AE3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531737.83803035528</v>
      </c>
      <c r="AF30" s="187">
        <f t="shared" si="7"/>
        <v>532858.22552418732</v>
      </c>
      <c r="AG30" s="4">
        <f>IF(monthly_mortgage_schedule[[#This Row],[Loan Balance (BOY) Without Extra Principal Payments]]&gt;0,monthly_mortgage_schedule[[#This Row],[Loan Balance (BOY) Without Extra Principal Payments]]*monthly_interest_rate,0)</f>
        <v>2486.6717191128741</v>
      </c>
      <c r="AH30" s="4">
        <f>IF(monthly_mortgage_schedule[[#This Row],[Loan Balance (BOY) Without Extra Principal Payments]]&gt;1,monthly_principal_and_interest-monthly_mortgage_schedule[[#This Row],[Interest Without Extra Principal Payments]],0)</f>
        <v>613.35477635053394</v>
      </c>
      <c r="AI30" s="4">
        <f>AI29+monthly_mortgage_schedule[[#This Row],[Principal Without Extra Principal Payments]]</f>
        <v>7755.129252163184</v>
      </c>
      <c r="AJ30" s="4">
        <f>monthly_mortgage_schedule[[#This Row],[Cumulative Principal Without Extra Principal Payments]]+down_payment_dollars</f>
        <v>67755.129252163184</v>
      </c>
      <c r="AK30" s="200">
        <f t="shared" si="1"/>
        <v>90</v>
      </c>
      <c r="AL3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532244.87074783677</v>
      </c>
      <c r="AN30" s="196">
        <f>monthly_mortgage_schedule[[#This Row],[Extra Payments Towards Equity]]+AN29+IF(monthly_mortgage_schedule[[#This Row],[Interest With Extra Principal Payments]]&gt;0,monthly_mortgage_schedule[[#This Row],[Interest Without Extra Principal Payments]]-monthly_mortgage_schedule[[#This Row],[Interest With Extra Principal Payments]],0)</f>
        <v>507.03271748148154</v>
      </c>
      <c r="AO30" s="4">
        <f>AO29+IF(monthly_mortgage_schedule[[#This Row],[Interest With Extra Principal Payments]]&gt;0,monthly_mortgage_schedule[[#This Row],[Interest Without Extra Principal Payments]]-monthly_mortgage_schedule[[#This Row],[Interest With Extra Principal Payments]],0)</f>
        <v>7.0327174814815407</v>
      </c>
      <c r="AP30" s="4">
        <f>AP29+monthly_mortgage_schedule[[#This Row],[PMI Without Extra Principal Payments]]-monthly_mortgage_schedule[[#This Row],[PMI with Additional Payments]]</f>
        <v>0</v>
      </c>
      <c r="AQ30" s="4">
        <f t="shared" si="4"/>
        <v>513.46726024691338</v>
      </c>
      <c r="AR30" s="4">
        <f>Table60[[#This Row],[Cumulative Investments]]-monthly_mortgage_schedule[[#This Row],[Cumulative Extra Payments Towards Equity]]</f>
        <v>13.467260246913384</v>
      </c>
    </row>
    <row r="31" spans="9:50" x14ac:dyDescent="0.25">
      <c r="I31">
        <v>14</v>
      </c>
      <c r="J31">
        <f>IF(MOD(ROWS($J$18:J30),12)=0,J30+1,J30)</f>
        <v>2023</v>
      </c>
      <c r="K31" s="198">
        <f>IF(M31="#N/A",NA(),monthly_mortgage_schedule[[#This Row],[Month]])</f>
        <v>14</v>
      </c>
      <c r="L31" s="198">
        <f>IF(monthly_mortgage_schedule[[#This Row],[Calendar Year]]&gt;=$C$7,monthly_mortgage_schedule[[#This Row],[Calendar Year]],NA())</f>
        <v>2023</v>
      </c>
      <c r="M31" s="199">
        <f>IF((monthly_mortgage_schedule[[#This Row],[Calendar Year]]&gt;=$C$7)*(monthly_mortgage_schedule[[#This Row],[Calendar Year]]&lt;=$C$9),monthly_mortgage_schedule[[#This Row],[Begin Year (Range)]],NA())</f>
        <v>2023</v>
      </c>
      <c r="N31" s="214">
        <f>IF((monthly_mortgage_schedule[[#This Row],[Year (Range)]]&gt;=$C$7)*(monthly_mortgage_schedule[[#This Row],[Year (Range)]]&lt;=$C$9),X31,NA())</f>
        <v>2481.4432441416584</v>
      </c>
      <c r="O31" s="214">
        <f>IF((monthly_mortgage_schedule[[#This Row],[Year (Range)]]&gt;=$C$7)*(monthly_mortgage_schedule[[#This Row],[Year (Range)]]&lt;=$C$9),Y31,NA())</f>
        <v>618.58325132174969</v>
      </c>
      <c r="P31" s="214">
        <f>IF((monthly_mortgage_schedule[[#This Row],[Year (Range)]]&gt;=$C$7)*(monthly_mortgage_schedule[[#This Row],[Year (Range)]]&lt;=$C$9),AG31,NA())</f>
        <v>2483.8093968232383</v>
      </c>
      <c r="Q31" s="214">
        <f>IF((monthly_mortgage_schedule[[#This Row],[Year (Range)]]&gt;=$C$7)*(monthly_mortgage_schedule[[#This Row],[Year (Range)]]&lt;=$C$9),AH31,NA())</f>
        <v>616.21709864016975</v>
      </c>
      <c r="R31" s="214">
        <f>IF((monthly_mortgage_schedule[[#This Row],[Year (Range)]]&gt;=$C$7)*(monthly_mortgage_schedule[[#This Row],[Year (Range)]]&lt;=$C$9),AO31,NA())</f>
        <v>9.3988701630614742</v>
      </c>
      <c r="S31" s="214">
        <f>IF((monthly_mortgage_schedule[[#This Row],[Year (Range)]]&gt;=$C$7)*(monthly_mortgage_schedule[[#This Row],[Year (Range)]]&lt;=$C$9),AP31,NA())</f>
        <v>0</v>
      </c>
      <c r="T31" s="214">
        <f>IF((monthly_mortgage_schedule[[#This Row],[Year (Range)]]&gt;=$C$7)*(monthly_mortgage_schedule[[#This Row],[Year (Range)]]&lt;=$C$9),AR31,NA())</f>
        <v>16.890375315226152</v>
      </c>
      <c r="U31" s="214">
        <f>IF((monthly_mortgage_schedule[[#This Row],[Year (Range)]]&gt;=$C$7)*(monthly_mortgage_schedule[[#This Row],[Year (Range)]]&lt;=$C$9),AB31,NA())</f>
        <v>8880.7452209664152</v>
      </c>
      <c r="V31" s="214">
        <f>IF((monthly_mortgage_schedule[[#This Row],[Year (Range)]]&gt;=$C$7)*(monthly_mortgage_schedule[[#This Row],[Year (Range)]]&lt;=$C$9),AI31,NA())</f>
        <v>8371.3463508033528</v>
      </c>
      <c r="W31" s="187">
        <f t="shared" si="2"/>
        <v>531737.83803035528</v>
      </c>
      <c r="X31" s="4">
        <f t="shared" si="6"/>
        <v>2481.4432441416584</v>
      </c>
      <c r="Y31" s="4">
        <f t="shared" si="3"/>
        <v>618.58325132174969</v>
      </c>
      <c r="Z31" s="4">
        <f>_xlfn.IFNA(INDEX(additional_mortgage_payments[],MATCH(monthly_mortgage_schedule[[#This Row],[Month]],additional_mortgage_payments[Month],0),3),0)</f>
        <v>0</v>
      </c>
      <c r="AA31" s="4">
        <f>AA30+monthly_mortgage_schedule[[#This Row],[Extra Payments Towards Equity]]</f>
        <v>500</v>
      </c>
      <c r="AB31" s="4">
        <f>AB30+monthly_mortgage_schedule[[#This Row],[Principal With Extra Principal Payments]]+monthly_mortgage_schedule[[#This Row],[Extra Payments Towards Equity]]</f>
        <v>8880.7452209664152</v>
      </c>
      <c r="AC31" s="4">
        <f>monthly_mortgage_schedule[[#This Row],[Cumulative Principal With Extra Principal Payments]]+down_payment_dollars</f>
        <v>68880.745220966419</v>
      </c>
      <c r="AD31" s="200">
        <f t="shared" si="0"/>
        <v>90</v>
      </c>
      <c r="AE3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531119.25477903348</v>
      </c>
      <c r="AF31" s="187">
        <f t="shared" si="7"/>
        <v>532244.87074783677</v>
      </c>
      <c r="AG31" s="4">
        <f>IF(monthly_mortgage_schedule[[#This Row],[Loan Balance (BOY) Without Extra Principal Payments]]&gt;0,monthly_mortgage_schedule[[#This Row],[Loan Balance (BOY) Without Extra Principal Payments]]*monthly_interest_rate,0)</f>
        <v>2483.8093968232383</v>
      </c>
      <c r="AH31" s="4">
        <f>IF(monthly_mortgage_schedule[[#This Row],[Loan Balance (BOY) Without Extra Principal Payments]]&gt;1,monthly_principal_and_interest-monthly_mortgage_schedule[[#This Row],[Interest Without Extra Principal Payments]],0)</f>
        <v>616.21709864016975</v>
      </c>
      <c r="AI31" s="4">
        <f>AI30+monthly_mortgage_schedule[[#This Row],[Principal Without Extra Principal Payments]]</f>
        <v>8371.3463508033528</v>
      </c>
      <c r="AJ31" s="4">
        <f>monthly_mortgage_schedule[[#This Row],[Cumulative Principal Without Extra Principal Payments]]+down_payment_dollars</f>
        <v>68371.34635080336</v>
      </c>
      <c r="AK31" s="200">
        <f t="shared" si="1"/>
        <v>90</v>
      </c>
      <c r="AL3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531628.65364919661</v>
      </c>
      <c r="AN31" s="196">
        <f>monthly_mortgage_schedule[[#This Row],[Extra Payments Towards Equity]]+AN30+IF(monthly_mortgage_schedule[[#This Row],[Interest With Extra Principal Payments]]&gt;0,monthly_mortgage_schedule[[#This Row],[Interest Without Extra Principal Payments]]-monthly_mortgage_schedule[[#This Row],[Interest With Extra Principal Payments]],0)</f>
        <v>509.39887016306147</v>
      </c>
      <c r="AO31" s="4">
        <f>AO30+IF(monthly_mortgage_schedule[[#This Row],[Interest With Extra Principal Payments]]&gt;0,monthly_mortgage_schedule[[#This Row],[Interest Without Extra Principal Payments]]-monthly_mortgage_schedule[[#This Row],[Interest With Extra Principal Payments]],0)</f>
        <v>9.3988701630614742</v>
      </c>
      <c r="AP31" s="4">
        <f>AP30+monthly_mortgage_schedule[[#This Row],[PMI Without Extra Principal Payments]]-monthly_mortgage_schedule[[#This Row],[PMI with Additional Payments]]</f>
        <v>0</v>
      </c>
      <c r="AQ31" s="4">
        <f t="shared" si="4"/>
        <v>516.89037531522615</v>
      </c>
      <c r="AR31" s="4">
        <f>Table60[[#This Row],[Cumulative Investments]]-monthly_mortgage_schedule[[#This Row],[Cumulative Extra Payments Towards Equity]]</f>
        <v>16.890375315226152</v>
      </c>
    </row>
    <row r="32" spans="9:50" x14ac:dyDescent="0.25">
      <c r="I32">
        <v>15</v>
      </c>
      <c r="J32">
        <f>IF(MOD(ROWS($J$18:J31),12)=0,J31+1,J31)</f>
        <v>2023</v>
      </c>
      <c r="K32" s="198">
        <f>IF(M32="#N/A",NA(),monthly_mortgage_schedule[[#This Row],[Month]])</f>
        <v>15</v>
      </c>
      <c r="L32" s="198">
        <f>IF(monthly_mortgage_schedule[[#This Row],[Calendar Year]]&gt;=$C$7,monthly_mortgage_schedule[[#This Row],[Calendar Year]],NA())</f>
        <v>2023</v>
      </c>
      <c r="M32" s="199">
        <f>IF((monthly_mortgage_schedule[[#This Row],[Calendar Year]]&gt;=$C$7)*(monthly_mortgage_schedule[[#This Row],[Calendar Year]]&lt;=$C$9),monthly_mortgage_schedule[[#This Row],[Begin Year (Range)]],NA())</f>
        <v>2023</v>
      </c>
      <c r="N32" s="214">
        <f>IF((monthly_mortgage_schedule[[#This Row],[Year (Range)]]&gt;=$C$7)*(monthly_mortgage_schedule[[#This Row],[Year (Range)]]&lt;=$C$9),X32,NA())</f>
        <v>2478.5565223021563</v>
      </c>
      <c r="O32" s="214">
        <f>IF((monthly_mortgage_schedule[[#This Row],[Year (Range)]]&gt;=$C$7)*(monthly_mortgage_schedule[[#This Row],[Year (Range)]]&lt;=$C$9),Y32,NA())</f>
        <v>621.4699731612518</v>
      </c>
      <c r="P32" s="214">
        <f>IF((monthly_mortgage_schedule[[#This Row],[Year (Range)]]&gt;=$C$7)*(monthly_mortgage_schedule[[#This Row],[Year (Range)]]&lt;=$C$9),AG32,NA())</f>
        <v>2480.9337170295844</v>
      </c>
      <c r="Q32" s="214">
        <f>IF((monthly_mortgage_schedule[[#This Row],[Year (Range)]]&gt;=$C$7)*(monthly_mortgage_schedule[[#This Row],[Year (Range)]]&lt;=$C$9),AH32,NA())</f>
        <v>619.0927784338237</v>
      </c>
      <c r="R32" s="214">
        <f>IF((monthly_mortgage_schedule[[#This Row],[Year (Range)]]&gt;=$C$7)*(monthly_mortgage_schedule[[#This Row],[Year (Range)]]&lt;=$C$9),AO32,NA())</f>
        <v>11.776064890489579</v>
      </c>
      <c r="S32" s="214">
        <f>IF((monthly_mortgage_schedule[[#This Row],[Year (Range)]]&gt;=$C$7)*(monthly_mortgage_schedule[[#This Row],[Year (Range)]]&lt;=$C$9),AP32,NA())</f>
        <v>0</v>
      </c>
      <c r="T32" s="214">
        <f>IF((monthly_mortgage_schedule[[#This Row],[Year (Range)]]&gt;=$C$7)*(monthly_mortgage_schedule[[#This Row],[Year (Range)]]&lt;=$C$9),AR32,NA())</f>
        <v>20.336311150661004</v>
      </c>
      <c r="U32" s="214">
        <f>IF((monthly_mortgage_schedule[[#This Row],[Year (Range)]]&gt;=$C$7)*(monthly_mortgage_schedule[[#This Row],[Year (Range)]]&lt;=$C$9),AB32,NA())</f>
        <v>9502.2151941276679</v>
      </c>
      <c r="V32" s="214">
        <f>IF((monthly_mortgage_schedule[[#This Row],[Year (Range)]]&gt;=$C$7)*(monthly_mortgage_schedule[[#This Row],[Year (Range)]]&lt;=$C$9),AI32,NA())</f>
        <v>8990.4391292371765</v>
      </c>
      <c r="W32" s="187">
        <f t="shared" si="2"/>
        <v>531119.25477903348</v>
      </c>
      <c r="X32" s="4">
        <f t="shared" si="6"/>
        <v>2478.5565223021563</v>
      </c>
      <c r="Y32" s="4">
        <f t="shared" si="3"/>
        <v>621.4699731612518</v>
      </c>
      <c r="Z32" s="4">
        <f>_xlfn.IFNA(INDEX(additional_mortgage_payments[],MATCH(monthly_mortgage_schedule[[#This Row],[Month]],additional_mortgage_payments[Month],0),3),0)</f>
        <v>0</v>
      </c>
      <c r="AA32" s="4">
        <f>AA31+monthly_mortgage_schedule[[#This Row],[Extra Payments Towards Equity]]</f>
        <v>500</v>
      </c>
      <c r="AB32" s="4">
        <f>AB31+monthly_mortgage_schedule[[#This Row],[Principal With Extra Principal Payments]]+monthly_mortgage_schedule[[#This Row],[Extra Payments Towards Equity]]</f>
        <v>9502.2151941276679</v>
      </c>
      <c r="AC32" s="4">
        <f>monthly_mortgage_schedule[[#This Row],[Cumulative Principal With Extra Principal Payments]]+down_payment_dollars</f>
        <v>69502.215194127668</v>
      </c>
      <c r="AD32" s="200">
        <f t="shared" si="0"/>
        <v>90</v>
      </c>
      <c r="AE3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530497.78480587224</v>
      </c>
      <c r="AF32" s="187">
        <f t="shared" si="7"/>
        <v>531628.65364919661</v>
      </c>
      <c r="AG32" s="4">
        <f>IF(monthly_mortgage_schedule[[#This Row],[Loan Balance (BOY) Without Extra Principal Payments]]&gt;0,monthly_mortgage_schedule[[#This Row],[Loan Balance (BOY) Without Extra Principal Payments]]*monthly_interest_rate,0)</f>
        <v>2480.9337170295844</v>
      </c>
      <c r="AH32" s="4">
        <f>IF(monthly_mortgage_schedule[[#This Row],[Loan Balance (BOY) Without Extra Principal Payments]]&gt;1,monthly_principal_and_interest-monthly_mortgage_schedule[[#This Row],[Interest Without Extra Principal Payments]],0)</f>
        <v>619.0927784338237</v>
      </c>
      <c r="AI32" s="4">
        <f>AI31+monthly_mortgage_schedule[[#This Row],[Principal Without Extra Principal Payments]]</f>
        <v>8990.4391292371765</v>
      </c>
      <c r="AJ32" s="4">
        <f>monthly_mortgage_schedule[[#This Row],[Cumulative Principal Without Extra Principal Payments]]+down_payment_dollars</f>
        <v>68990.439129237173</v>
      </c>
      <c r="AK32" s="200">
        <f t="shared" si="1"/>
        <v>90</v>
      </c>
      <c r="AL3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531009.5608707628</v>
      </c>
      <c r="AN32" s="196">
        <f>monthly_mortgage_schedule[[#This Row],[Extra Payments Towards Equity]]+AN31+IF(monthly_mortgage_schedule[[#This Row],[Interest With Extra Principal Payments]]&gt;0,monthly_mortgage_schedule[[#This Row],[Interest Without Extra Principal Payments]]-monthly_mortgage_schedule[[#This Row],[Interest With Extra Principal Payments]],0)</f>
        <v>511.77606489048958</v>
      </c>
      <c r="AO32" s="4">
        <f>AO31+IF(monthly_mortgage_schedule[[#This Row],[Interest With Extra Principal Payments]]&gt;0,monthly_mortgage_schedule[[#This Row],[Interest Without Extra Principal Payments]]-monthly_mortgage_schedule[[#This Row],[Interest With Extra Principal Payments]],0)</f>
        <v>11.776064890489579</v>
      </c>
      <c r="AP32" s="4">
        <f>AP31+monthly_mortgage_schedule[[#This Row],[PMI Without Extra Principal Payments]]-monthly_mortgage_schedule[[#This Row],[PMI with Additional Payments]]</f>
        <v>0</v>
      </c>
      <c r="AQ32" s="4">
        <f t="shared" si="4"/>
        <v>520.336311150661</v>
      </c>
      <c r="AR32" s="4">
        <f>Table60[[#This Row],[Cumulative Investments]]-monthly_mortgage_schedule[[#This Row],[Cumulative Extra Payments Towards Equity]]</f>
        <v>20.336311150661004</v>
      </c>
    </row>
    <row r="33" spans="9:46" x14ac:dyDescent="0.25">
      <c r="I33">
        <v>16</v>
      </c>
      <c r="J33">
        <f>IF(MOD(ROWS($J$18:J32),12)=0,J32+1,J32)</f>
        <v>2023</v>
      </c>
      <c r="K33" s="198">
        <f>IF(M33="#N/A",NA(),monthly_mortgage_schedule[[#This Row],[Month]])</f>
        <v>16</v>
      </c>
      <c r="L33" s="198">
        <f>IF(monthly_mortgage_schedule[[#This Row],[Calendar Year]]&gt;=$C$7,monthly_mortgage_schedule[[#This Row],[Calendar Year]],NA())</f>
        <v>2023</v>
      </c>
      <c r="M33" s="199">
        <f>IF((monthly_mortgage_schedule[[#This Row],[Calendar Year]]&gt;=$C$7)*(monthly_mortgage_schedule[[#This Row],[Calendar Year]]&lt;=$C$9),monthly_mortgage_schedule[[#This Row],[Begin Year (Range)]],NA())</f>
        <v>2023</v>
      </c>
      <c r="N33" s="214">
        <f>IF((monthly_mortgage_schedule[[#This Row],[Year (Range)]]&gt;=$C$7)*(monthly_mortgage_schedule[[#This Row],[Year (Range)]]&lt;=$C$9),X33,NA())</f>
        <v>2475.6563290940708</v>
      </c>
      <c r="O33" s="214">
        <f>IF((monthly_mortgage_schedule[[#This Row],[Year (Range)]]&gt;=$C$7)*(monthly_mortgage_schedule[[#This Row],[Year (Range)]]&lt;=$C$9),Y33,NA())</f>
        <v>624.37016636933731</v>
      </c>
      <c r="P33" s="214">
        <f>IF((monthly_mortgage_schedule[[#This Row],[Year (Range)]]&gt;=$C$7)*(monthly_mortgage_schedule[[#This Row],[Year (Range)]]&lt;=$C$9),AG33,NA())</f>
        <v>2478.044617396893</v>
      </c>
      <c r="Q33" s="214">
        <f>IF((monthly_mortgage_schedule[[#This Row],[Year (Range)]]&gt;=$C$7)*(monthly_mortgage_schedule[[#This Row],[Year (Range)]]&lt;=$C$9),AH33,NA())</f>
        <v>621.98187806651504</v>
      </c>
      <c r="R33" s="214">
        <f>IF((monthly_mortgage_schedule[[#This Row],[Year (Range)]]&gt;=$C$7)*(monthly_mortgage_schedule[[#This Row],[Year (Range)]]&lt;=$C$9),AO33,NA())</f>
        <v>14.164353193311854</v>
      </c>
      <c r="S33" s="214">
        <f>IF((monthly_mortgage_schedule[[#This Row],[Year (Range)]]&gt;=$C$7)*(monthly_mortgage_schedule[[#This Row],[Year (Range)]]&lt;=$C$9),AP33,NA())</f>
        <v>0</v>
      </c>
      <c r="T33" s="214">
        <f>IF((monthly_mortgage_schedule[[#This Row],[Year (Range)]]&gt;=$C$7)*(monthly_mortgage_schedule[[#This Row],[Year (Range)]]&lt;=$C$9),AR33,NA())</f>
        <v>23.805219891665388</v>
      </c>
      <c r="U33" s="214">
        <f>IF((monthly_mortgage_schedule[[#This Row],[Year (Range)]]&gt;=$C$7)*(monthly_mortgage_schedule[[#This Row],[Year (Range)]]&lt;=$C$9),AB33,NA())</f>
        <v>10126.585360497005</v>
      </c>
      <c r="V33" s="214">
        <f>IF((monthly_mortgage_schedule[[#This Row],[Year (Range)]]&gt;=$C$7)*(monthly_mortgage_schedule[[#This Row],[Year (Range)]]&lt;=$C$9),AI33,NA())</f>
        <v>9612.421007303692</v>
      </c>
      <c r="W33" s="187">
        <f t="shared" si="2"/>
        <v>530497.78480587224</v>
      </c>
      <c r="X33" s="4">
        <f t="shared" si="6"/>
        <v>2475.6563290940708</v>
      </c>
      <c r="Y33" s="4">
        <f t="shared" si="3"/>
        <v>624.37016636933731</v>
      </c>
      <c r="Z33" s="4">
        <f>_xlfn.IFNA(INDEX(additional_mortgage_payments[],MATCH(monthly_mortgage_schedule[[#This Row],[Month]],additional_mortgage_payments[Month],0),3),0)</f>
        <v>0</v>
      </c>
      <c r="AA33" s="4">
        <f>AA32+monthly_mortgage_schedule[[#This Row],[Extra Payments Towards Equity]]</f>
        <v>500</v>
      </c>
      <c r="AB33" s="4">
        <f>AB32+monthly_mortgage_schedule[[#This Row],[Principal With Extra Principal Payments]]+monthly_mortgage_schedule[[#This Row],[Extra Payments Towards Equity]]</f>
        <v>10126.585360497005</v>
      </c>
      <c r="AC33" s="4">
        <f>monthly_mortgage_schedule[[#This Row],[Cumulative Principal With Extra Principal Payments]]+down_payment_dollars</f>
        <v>70126.585360497003</v>
      </c>
      <c r="AD33" s="200">
        <f t="shared" si="0"/>
        <v>90</v>
      </c>
      <c r="AE3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529873.41463950288</v>
      </c>
      <c r="AF33" s="187">
        <f t="shared" si="7"/>
        <v>531009.5608707628</v>
      </c>
      <c r="AG33" s="4">
        <f>IF(monthly_mortgage_schedule[[#This Row],[Loan Balance (BOY) Without Extra Principal Payments]]&gt;0,monthly_mortgage_schedule[[#This Row],[Loan Balance (BOY) Without Extra Principal Payments]]*monthly_interest_rate,0)</f>
        <v>2478.044617396893</v>
      </c>
      <c r="AH33" s="4">
        <f>IF(monthly_mortgage_schedule[[#This Row],[Loan Balance (BOY) Without Extra Principal Payments]]&gt;1,monthly_principal_and_interest-monthly_mortgage_schedule[[#This Row],[Interest Without Extra Principal Payments]],0)</f>
        <v>621.98187806651504</v>
      </c>
      <c r="AI33" s="4">
        <f>AI32+monthly_mortgage_schedule[[#This Row],[Principal Without Extra Principal Payments]]</f>
        <v>9612.421007303692</v>
      </c>
      <c r="AJ33" s="4">
        <f>monthly_mortgage_schedule[[#This Row],[Cumulative Principal Without Extra Principal Payments]]+down_payment_dollars</f>
        <v>69612.421007303696</v>
      </c>
      <c r="AK33" s="200">
        <f t="shared" si="1"/>
        <v>90</v>
      </c>
      <c r="AL3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530387.57899269625</v>
      </c>
      <c r="AN33" s="196">
        <f>monthly_mortgage_schedule[[#This Row],[Extra Payments Towards Equity]]+AN32+IF(monthly_mortgage_schedule[[#This Row],[Interest With Extra Principal Payments]]&gt;0,monthly_mortgage_schedule[[#This Row],[Interest Without Extra Principal Payments]]-monthly_mortgage_schedule[[#This Row],[Interest With Extra Principal Payments]],0)</f>
        <v>514.16435319331185</v>
      </c>
      <c r="AO33" s="4">
        <f>AO32+IF(monthly_mortgage_schedule[[#This Row],[Interest With Extra Principal Payments]]&gt;0,monthly_mortgage_schedule[[#This Row],[Interest Without Extra Principal Payments]]-monthly_mortgage_schedule[[#This Row],[Interest With Extra Principal Payments]],0)</f>
        <v>14.164353193311854</v>
      </c>
      <c r="AP33" s="4">
        <f>AP32+monthly_mortgage_schedule[[#This Row],[PMI Without Extra Principal Payments]]-monthly_mortgage_schedule[[#This Row],[PMI with Additional Payments]]</f>
        <v>0</v>
      </c>
      <c r="AQ33" s="4">
        <f t="shared" si="4"/>
        <v>523.80521989166539</v>
      </c>
      <c r="AR33" s="4">
        <f>Table60[[#This Row],[Cumulative Investments]]-monthly_mortgage_schedule[[#This Row],[Cumulative Extra Payments Towards Equity]]</f>
        <v>23.805219891665388</v>
      </c>
    </row>
    <row r="34" spans="9:46" x14ac:dyDescent="0.25">
      <c r="I34">
        <v>17</v>
      </c>
      <c r="J34">
        <f>IF(MOD(ROWS($J$18:J33),12)=0,J33+1,J33)</f>
        <v>2023</v>
      </c>
      <c r="K34" s="198">
        <f>IF(M34="#N/A",NA(),monthly_mortgage_schedule[[#This Row],[Month]])</f>
        <v>17</v>
      </c>
      <c r="L34" s="198">
        <f>IF(monthly_mortgage_schedule[[#This Row],[Calendar Year]]&gt;=$C$7,monthly_mortgage_schedule[[#This Row],[Calendar Year]],NA())</f>
        <v>2023</v>
      </c>
      <c r="M34" s="199">
        <f>IF((monthly_mortgage_schedule[[#This Row],[Calendar Year]]&gt;=$C$7)*(monthly_mortgage_schedule[[#This Row],[Calendar Year]]&lt;=$C$9),monthly_mortgage_schedule[[#This Row],[Begin Year (Range)]],NA())</f>
        <v>2023</v>
      </c>
      <c r="N34" s="214">
        <f>IF((monthly_mortgage_schedule[[#This Row],[Year (Range)]]&gt;=$C$7)*(monthly_mortgage_schedule[[#This Row],[Year (Range)]]&lt;=$C$9),X34,NA())</f>
        <v>2472.7426016510135</v>
      </c>
      <c r="O34" s="214">
        <f>IF((monthly_mortgage_schedule[[#This Row],[Year (Range)]]&gt;=$C$7)*(monthly_mortgage_schedule[[#This Row],[Year (Range)]]&lt;=$C$9),Y34,NA())</f>
        <v>627.28389381239458</v>
      </c>
      <c r="P34" s="214">
        <f>IF((monthly_mortgage_schedule[[#This Row],[Year (Range)]]&gt;=$C$7)*(monthly_mortgage_schedule[[#This Row],[Year (Range)]]&lt;=$C$9),AG34,NA())</f>
        <v>2475.1420352992495</v>
      </c>
      <c r="Q34" s="214">
        <f>IF((monthly_mortgage_schedule[[#This Row],[Year (Range)]]&gt;=$C$7)*(monthly_mortgage_schedule[[#This Row],[Year (Range)]]&lt;=$C$9),AH34,NA())</f>
        <v>624.88446016415855</v>
      </c>
      <c r="R34" s="214">
        <f>IF((monthly_mortgage_schedule[[#This Row],[Year (Range)]]&gt;=$C$7)*(monthly_mortgage_schedule[[#This Row],[Year (Range)]]&lt;=$C$9),AO34,NA())</f>
        <v>16.563786841547881</v>
      </c>
      <c r="S34" s="214">
        <f>IF((monthly_mortgage_schedule[[#This Row],[Year (Range)]]&gt;=$C$7)*(monthly_mortgage_schedule[[#This Row],[Year (Range)]]&lt;=$C$9),AP34,NA())</f>
        <v>0</v>
      </c>
      <c r="T34" s="214">
        <f>IF((monthly_mortgage_schedule[[#This Row],[Year (Range)]]&gt;=$C$7)*(monthly_mortgage_schedule[[#This Row],[Year (Range)]]&lt;=$C$9),AR34,NA())</f>
        <v>27.297254690943078</v>
      </c>
      <c r="U34" s="214">
        <f>IF((monthly_mortgage_schedule[[#This Row],[Year (Range)]]&gt;=$C$7)*(monthly_mortgage_schedule[[#This Row],[Year (Range)]]&lt;=$C$9),AB34,NA())</f>
        <v>10753.8692543094</v>
      </c>
      <c r="V34" s="214">
        <f>IF((monthly_mortgage_schedule[[#This Row],[Year (Range)]]&gt;=$C$7)*(monthly_mortgage_schedule[[#This Row],[Year (Range)]]&lt;=$C$9),AI34,NA())</f>
        <v>10237.30546746785</v>
      </c>
      <c r="W34" s="187">
        <f t="shared" si="2"/>
        <v>529873.41463950288</v>
      </c>
      <c r="X34" s="4">
        <f t="shared" si="6"/>
        <v>2472.7426016510135</v>
      </c>
      <c r="Y34" s="4">
        <f t="shared" si="3"/>
        <v>627.28389381239458</v>
      </c>
      <c r="Z34" s="4">
        <f>_xlfn.IFNA(INDEX(additional_mortgage_payments[],MATCH(monthly_mortgage_schedule[[#This Row],[Month]],additional_mortgage_payments[Month],0),3),0)</f>
        <v>0</v>
      </c>
      <c r="AA34" s="4">
        <f>AA33+monthly_mortgage_schedule[[#This Row],[Extra Payments Towards Equity]]</f>
        <v>500</v>
      </c>
      <c r="AB34" s="4">
        <f>AB33+monthly_mortgage_schedule[[#This Row],[Principal With Extra Principal Payments]]+monthly_mortgage_schedule[[#This Row],[Extra Payments Towards Equity]]</f>
        <v>10753.8692543094</v>
      </c>
      <c r="AC34" s="4">
        <f>monthly_mortgage_schedule[[#This Row],[Cumulative Principal With Extra Principal Payments]]+down_payment_dollars</f>
        <v>70753.869254309393</v>
      </c>
      <c r="AD34" s="200">
        <f t="shared" si="0"/>
        <v>90</v>
      </c>
      <c r="AE3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529246.13074569043</v>
      </c>
      <c r="AF34" s="187">
        <f t="shared" si="7"/>
        <v>530387.57899269625</v>
      </c>
      <c r="AG34" s="4">
        <f>IF(monthly_mortgage_schedule[[#This Row],[Loan Balance (BOY) Without Extra Principal Payments]]&gt;0,monthly_mortgage_schedule[[#This Row],[Loan Balance (BOY) Without Extra Principal Payments]]*monthly_interest_rate,0)</f>
        <v>2475.1420352992495</v>
      </c>
      <c r="AH34" s="4">
        <f>IF(monthly_mortgage_schedule[[#This Row],[Loan Balance (BOY) Without Extra Principal Payments]]&gt;1,monthly_principal_and_interest-monthly_mortgage_schedule[[#This Row],[Interest Without Extra Principal Payments]],0)</f>
        <v>624.88446016415855</v>
      </c>
      <c r="AI34" s="4">
        <f>AI33+monthly_mortgage_schedule[[#This Row],[Principal Without Extra Principal Payments]]</f>
        <v>10237.30546746785</v>
      </c>
      <c r="AJ34" s="4">
        <f>monthly_mortgage_schedule[[#This Row],[Cumulative Principal Without Extra Principal Payments]]+down_payment_dollars</f>
        <v>70237.305467467842</v>
      </c>
      <c r="AK34" s="200">
        <f t="shared" si="1"/>
        <v>90</v>
      </c>
      <c r="AL3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529762.69453253213</v>
      </c>
      <c r="AN34" s="196">
        <f>monthly_mortgage_schedule[[#This Row],[Extra Payments Towards Equity]]+AN33+IF(monthly_mortgage_schedule[[#This Row],[Interest With Extra Principal Payments]]&gt;0,monthly_mortgage_schedule[[#This Row],[Interest Without Extra Principal Payments]]-monthly_mortgage_schedule[[#This Row],[Interest With Extra Principal Payments]],0)</f>
        <v>516.56378684154788</v>
      </c>
      <c r="AO34" s="4">
        <f>AO33+IF(monthly_mortgage_schedule[[#This Row],[Interest With Extra Principal Payments]]&gt;0,monthly_mortgage_schedule[[#This Row],[Interest Without Extra Principal Payments]]-monthly_mortgage_schedule[[#This Row],[Interest With Extra Principal Payments]],0)</f>
        <v>16.563786841547881</v>
      </c>
      <c r="AP34" s="4">
        <f>AP33+monthly_mortgage_schedule[[#This Row],[PMI Without Extra Principal Payments]]-monthly_mortgage_schedule[[#This Row],[PMI with Additional Payments]]</f>
        <v>0</v>
      </c>
      <c r="AQ34" s="4">
        <f t="shared" si="4"/>
        <v>527.29725469094308</v>
      </c>
      <c r="AR34" s="4">
        <f>Table60[[#This Row],[Cumulative Investments]]-monthly_mortgage_schedule[[#This Row],[Cumulative Extra Payments Towards Equity]]</f>
        <v>27.297254690943078</v>
      </c>
    </row>
    <row r="35" spans="9:46" x14ac:dyDescent="0.25">
      <c r="I35">
        <v>18</v>
      </c>
      <c r="J35">
        <f>IF(MOD(ROWS($J$18:J34),12)=0,J34+1,J34)</f>
        <v>2023</v>
      </c>
      <c r="K35" s="198">
        <f>IF(M35="#N/A",NA(),monthly_mortgage_schedule[[#This Row],[Month]])</f>
        <v>18</v>
      </c>
      <c r="L35" s="198">
        <f>IF(monthly_mortgage_schedule[[#This Row],[Calendar Year]]&gt;=$C$7,monthly_mortgage_schedule[[#This Row],[Calendar Year]],NA())</f>
        <v>2023</v>
      </c>
      <c r="M35" s="199">
        <f>IF((monthly_mortgage_schedule[[#This Row],[Calendar Year]]&gt;=$C$7)*(monthly_mortgage_schedule[[#This Row],[Calendar Year]]&lt;=$C$9),monthly_mortgage_schedule[[#This Row],[Begin Year (Range)]],NA())</f>
        <v>2023</v>
      </c>
      <c r="N35" s="214">
        <f>IF((monthly_mortgage_schedule[[#This Row],[Year (Range)]]&gt;=$C$7)*(monthly_mortgage_schedule[[#This Row],[Year (Range)]]&lt;=$C$9),X35,NA())</f>
        <v>2469.8152768132222</v>
      </c>
      <c r="O35" s="214">
        <f>IF((monthly_mortgage_schedule[[#This Row],[Year (Range)]]&gt;=$C$7)*(monthly_mortgage_schedule[[#This Row],[Year (Range)]]&lt;=$C$9),Y35,NA())</f>
        <v>630.21121865018586</v>
      </c>
      <c r="P35" s="214">
        <f>IF((monthly_mortgage_schedule[[#This Row],[Year (Range)]]&gt;=$C$7)*(monthly_mortgage_schedule[[#This Row],[Year (Range)]]&lt;=$C$9),AG35,NA())</f>
        <v>2472.2259078184834</v>
      </c>
      <c r="Q35" s="214">
        <f>IF((monthly_mortgage_schedule[[#This Row],[Year (Range)]]&gt;=$C$7)*(monthly_mortgage_schedule[[#This Row],[Year (Range)]]&lt;=$C$9),AH35,NA())</f>
        <v>627.80058764492469</v>
      </c>
      <c r="R35" s="214">
        <f>IF((monthly_mortgage_schedule[[#This Row],[Year (Range)]]&gt;=$C$7)*(monthly_mortgage_schedule[[#This Row],[Year (Range)]]&lt;=$C$9),AO35,NA())</f>
        <v>18.974417846809047</v>
      </c>
      <c r="S35" s="214">
        <f>IF((monthly_mortgage_schedule[[#This Row],[Year (Range)]]&gt;=$C$7)*(monthly_mortgage_schedule[[#This Row],[Year (Range)]]&lt;=$C$9),AP35,NA())</f>
        <v>0</v>
      </c>
      <c r="T35" s="214">
        <f>IF((monthly_mortgage_schedule[[#This Row],[Year (Range)]]&gt;=$C$7)*(monthly_mortgage_schedule[[#This Row],[Year (Range)]]&lt;=$C$9),AR35,NA())</f>
        <v>30.81256972221604</v>
      </c>
      <c r="U35" s="214">
        <f>IF((monthly_mortgage_schedule[[#This Row],[Year (Range)]]&gt;=$C$7)*(monthly_mortgage_schedule[[#This Row],[Year (Range)]]&lt;=$C$9),AB35,NA())</f>
        <v>11384.080472959586</v>
      </c>
      <c r="V35" s="214">
        <f>IF((monthly_mortgage_schedule[[#This Row],[Year (Range)]]&gt;=$C$7)*(monthly_mortgage_schedule[[#This Row],[Year (Range)]]&lt;=$C$9),AI35,NA())</f>
        <v>10865.106055112774</v>
      </c>
      <c r="W35" s="187">
        <f t="shared" si="2"/>
        <v>529246.13074569043</v>
      </c>
      <c r="X35" s="4">
        <f t="shared" si="6"/>
        <v>2469.8152768132222</v>
      </c>
      <c r="Y35" s="4">
        <f t="shared" si="3"/>
        <v>630.21121865018586</v>
      </c>
      <c r="Z35" s="4">
        <f>_xlfn.IFNA(INDEX(additional_mortgage_payments[],MATCH(monthly_mortgage_schedule[[#This Row],[Month]],additional_mortgage_payments[Month],0),3),0)</f>
        <v>0</v>
      </c>
      <c r="AA35" s="4">
        <f>AA34+monthly_mortgage_schedule[[#This Row],[Extra Payments Towards Equity]]</f>
        <v>500</v>
      </c>
      <c r="AB35" s="4">
        <f>AB34+monthly_mortgage_schedule[[#This Row],[Principal With Extra Principal Payments]]+monthly_mortgage_schedule[[#This Row],[Extra Payments Towards Equity]]</f>
        <v>11384.080472959586</v>
      </c>
      <c r="AC35" s="4">
        <f>monthly_mortgage_schedule[[#This Row],[Cumulative Principal With Extra Principal Payments]]+down_payment_dollars</f>
        <v>71384.080472959584</v>
      </c>
      <c r="AD35" s="200">
        <f t="shared" si="0"/>
        <v>90</v>
      </c>
      <c r="AE3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528615.91952704021</v>
      </c>
      <c r="AF35" s="187">
        <f t="shared" si="7"/>
        <v>529762.69453253213</v>
      </c>
      <c r="AG35" s="4">
        <f>IF(monthly_mortgage_schedule[[#This Row],[Loan Balance (BOY) Without Extra Principal Payments]]&gt;0,monthly_mortgage_schedule[[#This Row],[Loan Balance (BOY) Without Extra Principal Payments]]*monthly_interest_rate,0)</f>
        <v>2472.2259078184834</v>
      </c>
      <c r="AH35" s="4">
        <f>IF(monthly_mortgage_schedule[[#This Row],[Loan Balance (BOY) Without Extra Principal Payments]]&gt;1,monthly_principal_and_interest-monthly_mortgage_schedule[[#This Row],[Interest Without Extra Principal Payments]],0)</f>
        <v>627.80058764492469</v>
      </c>
      <c r="AI35" s="4">
        <f>AI34+monthly_mortgage_schedule[[#This Row],[Principal Without Extra Principal Payments]]</f>
        <v>10865.106055112774</v>
      </c>
      <c r="AJ35" s="4">
        <f>monthly_mortgage_schedule[[#This Row],[Cumulative Principal Without Extra Principal Payments]]+down_payment_dollars</f>
        <v>70865.106055112774</v>
      </c>
      <c r="AK35" s="200">
        <f t="shared" si="1"/>
        <v>90</v>
      </c>
      <c r="AL3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529134.89394488721</v>
      </c>
      <c r="AN35" s="196">
        <f>monthly_mortgage_schedule[[#This Row],[Extra Payments Towards Equity]]+AN34+IF(monthly_mortgage_schedule[[#This Row],[Interest With Extra Principal Payments]]&gt;0,monthly_mortgage_schedule[[#This Row],[Interest Without Extra Principal Payments]]-monthly_mortgage_schedule[[#This Row],[Interest With Extra Principal Payments]],0)</f>
        <v>518.97441784680905</v>
      </c>
      <c r="AO35" s="4">
        <f>AO34+IF(monthly_mortgage_schedule[[#This Row],[Interest With Extra Principal Payments]]&gt;0,monthly_mortgage_schedule[[#This Row],[Interest Without Extra Principal Payments]]-monthly_mortgage_schedule[[#This Row],[Interest With Extra Principal Payments]],0)</f>
        <v>18.974417846809047</v>
      </c>
      <c r="AP35" s="4">
        <f>AP34+monthly_mortgage_schedule[[#This Row],[PMI Without Extra Principal Payments]]-monthly_mortgage_schedule[[#This Row],[PMI with Additional Payments]]</f>
        <v>0</v>
      </c>
      <c r="AQ35" s="4">
        <f t="shared" si="4"/>
        <v>530.81256972221604</v>
      </c>
      <c r="AR35" s="4">
        <f>Table60[[#This Row],[Cumulative Investments]]-monthly_mortgage_schedule[[#This Row],[Cumulative Extra Payments Towards Equity]]</f>
        <v>30.81256972221604</v>
      </c>
    </row>
    <row r="36" spans="9:46" x14ac:dyDescent="0.25">
      <c r="I36">
        <v>19</v>
      </c>
      <c r="J36">
        <f>IF(MOD(ROWS($J$18:J35),12)=0,J35+1,J35)</f>
        <v>2023</v>
      </c>
      <c r="K36" s="198">
        <f>IF(M36="#N/A",NA(),monthly_mortgage_schedule[[#This Row],[Month]])</f>
        <v>19</v>
      </c>
      <c r="L36" s="198">
        <f>IF(monthly_mortgage_schedule[[#This Row],[Calendar Year]]&gt;=$C$7,monthly_mortgage_schedule[[#This Row],[Calendar Year]],NA())</f>
        <v>2023</v>
      </c>
      <c r="M36" s="199">
        <f>IF((monthly_mortgage_schedule[[#This Row],[Calendar Year]]&gt;=$C$7)*(monthly_mortgage_schedule[[#This Row],[Calendar Year]]&lt;=$C$9),monthly_mortgage_schedule[[#This Row],[Begin Year (Range)]],NA())</f>
        <v>2023</v>
      </c>
      <c r="N36" s="214">
        <f>IF((monthly_mortgage_schedule[[#This Row],[Year (Range)]]&gt;=$C$7)*(monthly_mortgage_schedule[[#This Row],[Year (Range)]]&lt;=$C$9),X36,NA())</f>
        <v>2466.8742911261879</v>
      </c>
      <c r="O36" s="214">
        <f>IF((monthly_mortgage_schedule[[#This Row],[Year (Range)]]&gt;=$C$7)*(monthly_mortgage_schedule[[#This Row],[Year (Range)]]&lt;=$C$9),Y36,NA())</f>
        <v>633.15220433722016</v>
      </c>
      <c r="P36" s="214">
        <f>IF((monthly_mortgage_schedule[[#This Row],[Year (Range)]]&gt;=$C$7)*(monthly_mortgage_schedule[[#This Row],[Year (Range)]]&lt;=$C$9),AG36,NA())</f>
        <v>2469.296171742807</v>
      </c>
      <c r="Q36" s="214">
        <f>IF((monthly_mortgage_schedule[[#This Row],[Year (Range)]]&gt;=$C$7)*(monthly_mortgage_schedule[[#This Row],[Year (Range)]]&lt;=$C$9),AH36,NA())</f>
        <v>630.73032372060106</v>
      </c>
      <c r="R36" s="214">
        <f>IF((monthly_mortgage_schedule[[#This Row],[Year (Range)]]&gt;=$C$7)*(monthly_mortgage_schedule[[#This Row],[Year (Range)]]&lt;=$C$9),AO36,NA())</f>
        <v>21.396298463428138</v>
      </c>
      <c r="S36" s="214">
        <f>IF((monthly_mortgage_schedule[[#This Row],[Year (Range)]]&gt;=$C$7)*(monthly_mortgage_schedule[[#This Row],[Year (Range)]]&lt;=$C$9),AP36,NA())</f>
        <v>0</v>
      </c>
      <c r="T36" s="214">
        <f>IF((monthly_mortgage_schedule[[#This Row],[Year (Range)]]&gt;=$C$7)*(monthly_mortgage_schedule[[#This Row],[Year (Range)]]&lt;=$C$9),AR36,NA())</f>
        <v>34.351320187030751</v>
      </c>
      <c r="U36" s="214">
        <f>IF((monthly_mortgage_schedule[[#This Row],[Year (Range)]]&gt;=$C$7)*(monthly_mortgage_schedule[[#This Row],[Year (Range)]]&lt;=$C$9),AB36,NA())</f>
        <v>12017.232677296806</v>
      </c>
      <c r="V36" s="214">
        <f>IF((monthly_mortgage_schedule[[#This Row],[Year (Range)]]&gt;=$C$7)*(monthly_mortgage_schedule[[#This Row],[Year (Range)]]&lt;=$C$9),AI36,NA())</f>
        <v>11495.836378833375</v>
      </c>
      <c r="W36" s="187">
        <f t="shared" si="2"/>
        <v>528615.91952704021</v>
      </c>
      <c r="X36" s="4">
        <f t="shared" si="6"/>
        <v>2466.8742911261879</v>
      </c>
      <c r="Y36" s="4">
        <f t="shared" si="3"/>
        <v>633.15220433722016</v>
      </c>
      <c r="Z36" s="4">
        <f>_xlfn.IFNA(INDEX(additional_mortgage_payments[],MATCH(monthly_mortgage_schedule[[#This Row],[Month]],additional_mortgage_payments[Month],0),3),0)</f>
        <v>0</v>
      </c>
      <c r="AA36" s="4">
        <f>AA35+monthly_mortgage_schedule[[#This Row],[Extra Payments Towards Equity]]</f>
        <v>500</v>
      </c>
      <c r="AB36" s="4">
        <f>AB35+monthly_mortgage_schedule[[#This Row],[Principal With Extra Principal Payments]]+monthly_mortgage_schedule[[#This Row],[Extra Payments Towards Equity]]</f>
        <v>12017.232677296806</v>
      </c>
      <c r="AC36" s="4">
        <f>monthly_mortgage_schedule[[#This Row],[Cumulative Principal With Extra Principal Payments]]+down_payment_dollars</f>
        <v>72017.232677296808</v>
      </c>
      <c r="AD36" s="200">
        <f t="shared" si="0"/>
        <v>90</v>
      </c>
      <c r="AE3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527982.76732270303</v>
      </c>
      <c r="AF36" s="187">
        <f t="shared" si="7"/>
        <v>529134.89394488721</v>
      </c>
      <c r="AG36" s="4">
        <f>IF(monthly_mortgage_schedule[[#This Row],[Loan Balance (BOY) Without Extra Principal Payments]]&gt;0,monthly_mortgage_schedule[[#This Row],[Loan Balance (BOY) Without Extra Principal Payments]]*monthly_interest_rate,0)</f>
        <v>2469.296171742807</v>
      </c>
      <c r="AH36" s="4">
        <f>IF(monthly_mortgage_schedule[[#This Row],[Loan Balance (BOY) Without Extra Principal Payments]]&gt;1,monthly_principal_and_interest-monthly_mortgage_schedule[[#This Row],[Interest Without Extra Principal Payments]],0)</f>
        <v>630.73032372060106</v>
      </c>
      <c r="AI36" s="4">
        <f>AI35+monthly_mortgage_schedule[[#This Row],[Principal Without Extra Principal Payments]]</f>
        <v>11495.836378833375</v>
      </c>
      <c r="AJ36" s="4">
        <f>monthly_mortgage_schedule[[#This Row],[Cumulative Principal Without Extra Principal Payments]]+down_payment_dollars</f>
        <v>71495.836378833381</v>
      </c>
      <c r="AK36" s="200">
        <f t="shared" si="1"/>
        <v>90</v>
      </c>
      <c r="AL3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528504.1636211666</v>
      </c>
      <c r="AN36" s="196">
        <f>monthly_mortgage_schedule[[#This Row],[Extra Payments Towards Equity]]+AN35+IF(monthly_mortgage_schedule[[#This Row],[Interest With Extra Principal Payments]]&gt;0,monthly_mortgage_schedule[[#This Row],[Interest Without Extra Principal Payments]]-monthly_mortgage_schedule[[#This Row],[Interest With Extra Principal Payments]],0)</f>
        <v>521.39629846342814</v>
      </c>
      <c r="AO36" s="4">
        <f>AO35+IF(monthly_mortgage_schedule[[#This Row],[Interest With Extra Principal Payments]]&gt;0,monthly_mortgage_schedule[[#This Row],[Interest Without Extra Principal Payments]]-monthly_mortgage_schedule[[#This Row],[Interest With Extra Principal Payments]],0)</f>
        <v>21.396298463428138</v>
      </c>
      <c r="AP36" s="4">
        <f>AP35+monthly_mortgage_schedule[[#This Row],[PMI Without Extra Principal Payments]]-monthly_mortgage_schedule[[#This Row],[PMI with Additional Payments]]</f>
        <v>0</v>
      </c>
      <c r="AQ36" s="4">
        <f t="shared" si="4"/>
        <v>534.35132018703075</v>
      </c>
      <c r="AR36" s="4">
        <f>Table60[[#This Row],[Cumulative Investments]]-monthly_mortgage_schedule[[#This Row],[Cumulative Extra Payments Towards Equity]]</f>
        <v>34.351320187030751</v>
      </c>
    </row>
    <row r="37" spans="9:46" x14ac:dyDescent="0.25">
      <c r="I37">
        <v>20</v>
      </c>
      <c r="J37">
        <f>IF(MOD(ROWS($J$18:J36),12)=0,J36+1,J36)</f>
        <v>2023</v>
      </c>
      <c r="K37" s="198">
        <f>IF(M37="#N/A",NA(),monthly_mortgage_schedule[[#This Row],[Month]])</f>
        <v>20</v>
      </c>
      <c r="L37" s="198">
        <f>IF(monthly_mortgage_schedule[[#This Row],[Calendar Year]]&gt;=$C$7,monthly_mortgage_schedule[[#This Row],[Calendar Year]],NA())</f>
        <v>2023</v>
      </c>
      <c r="M37" s="199">
        <f>IF((monthly_mortgage_schedule[[#This Row],[Calendar Year]]&gt;=$C$7)*(monthly_mortgage_schedule[[#This Row],[Calendar Year]]&lt;=$C$9),monthly_mortgage_schedule[[#This Row],[Begin Year (Range)]],NA())</f>
        <v>2023</v>
      </c>
      <c r="N37" s="214">
        <f>IF((monthly_mortgage_schedule[[#This Row],[Year (Range)]]&gt;=$C$7)*(monthly_mortgage_schedule[[#This Row],[Year (Range)]]&lt;=$C$9),X37,NA())</f>
        <v>2463.919580839281</v>
      </c>
      <c r="O37" s="214">
        <f>IF((monthly_mortgage_schedule[[#This Row],[Year (Range)]]&gt;=$C$7)*(monthly_mortgage_schedule[[#This Row],[Year (Range)]]&lt;=$C$9),Y37,NA())</f>
        <v>636.10691462412706</v>
      </c>
      <c r="P37" s="214">
        <f>IF((monthly_mortgage_schedule[[#This Row],[Year (Range)]]&gt;=$C$7)*(monthly_mortgage_schedule[[#This Row],[Year (Range)]]&lt;=$C$9),AG37,NA())</f>
        <v>2466.3527635654445</v>
      </c>
      <c r="Q37" s="214">
        <f>IF((monthly_mortgage_schedule[[#This Row],[Year (Range)]]&gt;=$C$7)*(monthly_mortgage_schedule[[#This Row],[Year (Range)]]&lt;=$C$9),AH37,NA())</f>
        <v>633.67373189796353</v>
      </c>
      <c r="R37" s="214">
        <f>IF((monthly_mortgage_schedule[[#This Row],[Year (Range)]]&gt;=$C$7)*(monthly_mortgage_schedule[[#This Row],[Year (Range)]]&lt;=$C$9),AO37,NA())</f>
        <v>23.829481189591661</v>
      </c>
      <c r="S37" s="214">
        <f>IF((monthly_mortgage_schedule[[#This Row],[Year (Range)]]&gt;=$C$7)*(monthly_mortgage_schedule[[#This Row],[Year (Range)]]&lt;=$C$9),AP37,NA())</f>
        <v>0</v>
      </c>
      <c r="T37" s="214">
        <f>IF((monthly_mortgage_schedule[[#This Row],[Year (Range)]]&gt;=$C$7)*(monthly_mortgage_schedule[[#This Row],[Year (Range)]]&lt;=$C$9),AR37,NA())</f>
        <v>41.246995654944158</v>
      </c>
      <c r="U37" s="214">
        <f>IF((monthly_mortgage_schedule[[#This Row],[Year (Range)]]&gt;=$C$7)*(monthly_mortgage_schedule[[#This Row],[Year (Range)]]&lt;=$C$9),AB37,NA())</f>
        <v>13153.339591920932</v>
      </c>
      <c r="V37" s="214">
        <f>IF((monthly_mortgage_schedule[[#This Row],[Year (Range)]]&gt;=$C$7)*(monthly_mortgage_schedule[[#This Row],[Year (Range)]]&lt;=$C$9),AI37,NA())</f>
        <v>12129.510110731339</v>
      </c>
      <c r="W37" s="187">
        <f t="shared" si="2"/>
        <v>527982.76732270303</v>
      </c>
      <c r="X37" s="4">
        <f t="shared" si="6"/>
        <v>2463.919580839281</v>
      </c>
      <c r="Y37" s="4">
        <f t="shared" si="3"/>
        <v>636.10691462412706</v>
      </c>
      <c r="Z37" s="4">
        <f>_xlfn.IFNA(INDEX(additional_mortgage_payments[],MATCH(monthly_mortgage_schedule[[#This Row],[Month]],additional_mortgage_payments[Month],0),3),0)</f>
        <v>500</v>
      </c>
      <c r="AA37" s="4">
        <f>AA36+monthly_mortgage_schedule[[#This Row],[Extra Payments Towards Equity]]</f>
        <v>1000</v>
      </c>
      <c r="AB37" s="4">
        <f>AB36+monthly_mortgage_schedule[[#This Row],[Principal With Extra Principal Payments]]+monthly_mortgage_schedule[[#This Row],[Extra Payments Towards Equity]]</f>
        <v>13153.339591920932</v>
      </c>
      <c r="AC37" s="4">
        <f>monthly_mortgage_schedule[[#This Row],[Cumulative Principal With Extra Principal Payments]]+down_payment_dollars</f>
        <v>73153.339591920929</v>
      </c>
      <c r="AD37" s="200">
        <f t="shared" si="0"/>
        <v>90</v>
      </c>
      <c r="AE3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526846.66040807893</v>
      </c>
      <c r="AF37" s="187">
        <f t="shared" si="7"/>
        <v>528504.1636211666</v>
      </c>
      <c r="AG37" s="4">
        <f>IF(monthly_mortgage_schedule[[#This Row],[Loan Balance (BOY) Without Extra Principal Payments]]&gt;0,monthly_mortgage_schedule[[#This Row],[Loan Balance (BOY) Without Extra Principal Payments]]*monthly_interest_rate,0)</f>
        <v>2466.3527635654445</v>
      </c>
      <c r="AH37" s="4">
        <f>IF(monthly_mortgage_schedule[[#This Row],[Loan Balance (BOY) Without Extra Principal Payments]]&gt;1,monthly_principal_and_interest-monthly_mortgage_schedule[[#This Row],[Interest Without Extra Principal Payments]],0)</f>
        <v>633.67373189796353</v>
      </c>
      <c r="AI37" s="4">
        <f>AI36+monthly_mortgage_schedule[[#This Row],[Principal Without Extra Principal Payments]]</f>
        <v>12129.510110731339</v>
      </c>
      <c r="AJ37" s="4">
        <f>monthly_mortgage_schedule[[#This Row],[Cumulative Principal Without Extra Principal Payments]]+down_payment_dollars</f>
        <v>72129.510110731339</v>
      </c>
      <c r="AK37" s="200">
        <f t="shared" si="1"/>
        <v>90</v>
      </c>
      <c r="AL3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527870.48988926865</v>
      </c>
      <c r="AN37" s="196">
        <f>monthly_mortgage_schedule[[#This Row],[Extra Payments Towards Equity]]+AN36+IF(monthly_mortgage_schedule[[#This Row],[Interest With Extra Principal Payments]]&gt;0,monthly_mortgage_schedule[[#This Row],[Interest Without Extra Principal Payments]]-monthly_mortgage_schedule[[#This Row],[Interest With Extra Principal Payments]],0)</f>
        <v>1023.8294811895917</v>
      </c>
      <c r="AO37" s="4">
        <f>AO36+IF(monthly_mortgage_schedule[[#This Row],[Interest With Extra Principal Payments]]&gt;0,monthly_mortgage_schedule[[#This Row],[Interest Without Extra Principal Payments]]-monthly_mortgage_schedule[[#This Row],[Interest With Extra Principal Payments]],0)</f>
        <v>23.829481189591661</v>
      </c>
      <c r="AP37" s="4">
        <f>AP36+monthly_mortgage_schedule[[#This Row],[PMI Without Extra Principal Payments]]-monthly_mortgage_schedule[[#This Row],[PMI with Additional Payments]]</f>
        <v>0</v>
      </c>
      <c r="AQ37" s="4">
        <f t="shared" si="4"/>
        <v>1041.2469956549442</v>
      </c>
      <c r="AR37" s="4">
        <f>Table60[[#This Row],[Cumulative Investments]]-monthly_mortgage_schedule[[#This Row],[Cumulative Extra Payments Towards Equity]]</f>
        <v>41.246995654944158</v>
      </c>
    </row>
    <row r="38" spans="9:46" x14ac:dyDescent="0.25">
      <c r="I38">
        <v>21</v>
      </c>
      <c r="J38">
        <f>IF(MOD(ROWS($J$18:J37),12)=0,J37+1,J37)</f>
        <v>2023</v>
      </c>
      <c r="K38" s="198">
        <f>IF(M38="#N/A",NA(),monthly_mortgage_schedule[[#This Row],[Month]])</f>
        <v>21</v>
      </c>
      <c r="L38" s="198">
        <f>IF(monthly_mortgage_schedule[[#This Row],[Calendar Year]]&gt;=$C$7,monthly_mortgage_schedule[[#This Row],[Calendar Year]],NA())</f>
        <v>2023</v>
      </c>
      <c r="M38" s="199">
        <f>IF((monthly_mortgage_schedule[[#This Row],[Calendar Year]]&gt;=$C$7)*(monthly_mortgage_schedule[[#This Row],[Calendar Year]]&lt;=$C$9),monthly_mortgage_schedule[[#This Row],[Begin Year (Range)]],NA())</f>
        <v>2023</v>
      </c>
      <c r="N38" s="214">
        <f>IF((monthly_mortgage_schedule[[#This Row],[Year (Range)]]&gt;=$C$7)*(monthly_mortgage_schedule[[#This Row],[Year (Range)]]&lt;=$C$9),X38,NA())</f>
        <v>2458.617748571035</v>
      </c>
      <c r="O38" s="214">
        <f>IF((monthly_mortgage_schedule[[#This Row],[Year (Range)]]&gt;=$C$7)*(monthly_mortgage_schedule[[#This Row],[Year (Range)]]&lt;=$C$9),Y38,NA())</f>
        <v>641.40874689237307</v>
      </c>
      <c r="P38" s="214">
        <f>IF((monthly_mortgage_schedule[[#This Row],[Year (Range)]]&gt;=$C$7)*(monthly_mortgage_schedule[[#This Row],[Year (Range)]]&lt;=$C$9),AG38,NA())</f>
        <v>2463.395619483254</v>
      </c>
      <c r="Q38" s="214">
        <f>IF((monthly_mortgage_schedule[[#This Row],[Year (Range)]]&gt;=$C$7)*(monthly_mortgage_schedule[[#This Row],[Year (Range)]]&lt;=$C$9),AH38,NA())</f>
        <v>636.63087598015409</v>
      </c>
      <c r="R38" s="214">
        <f>IF((monthly_mortgage_schedule[[#This Row],[Year (Range)]]&gt;=$C$7)*(monthly_mortgage_schedule[[#This Row],[Year (Range)]]&lt;=$C$9),AO38,NA())</f>
        <v>28.607352101810648</v>
      </c>
      <c r="S38" s="214">
        <f>IF((monthly_mortgage_schedule[[#This Row],[Year (Range)]]&gt;=$C$7)*(monthly_mortgage_schedule[[#This Row],[Year (Range)]]&lt;=$C$9),AP38,NA())</f>
        <v>0</v>
      </c>
      <c r="T38" s="214">
        <f>IF((monthly_mortgage_schedule[[#This Row],[Year (Range)]]&gt;=$C$7)*(monthly_mortgage_schedule[[#This Row],[Year (Range)]]&lt;=$C$9),AR38,NA())</f>
        <v>48.188642292643635</v>
      </c>
      <c r="U38" s="214">
        <f>IF((monthly_mortgage_schedule[[#This Row],[Year (Range)]]&gt;=$C$7)*(monthly_mortgage_schedule[[#This Row],[Year (Range)]]&lt;=$C$9),AB38,NA())</f>
        <v>13794.748338813306</v>
      </c>
      <c r="V38" s="214">
        <f>IF((monthly_mortgage_schedule[[#This Row],[Year (Range)]]&gt;=$C$7)*(monthly_mortgage_schedule[[#This Row],[Year (Range)]]&lt;=$C$9),AI38,NA())</f>
        <v>12766.140986711493</v>
      </c>
      <c r="W38" s="187">
        <f t="shared" si="2"/>
        <v>526846.66040807893</v>
      </c>
      <c r="X38" s="4">
        <f t="shared" si="6"/>
        <v>2458.617748571035</v>
      </c>
      <c r="Y38" s="4">
        <f t="shared" si="3"/>
        <v>641.40874689237307</v>
      </c>
      <c r="Z38" s="4">
        <f>_xlfn.IFNA(INDEX(additional_mortgage_payments[],MATCH(monthly_mortgage_schedule[[#This Row],[Month]],additional_mortgage_payments[Month],0),3),0)</f>
        <v>0</v>
      </c>
      <c r="AA38" s="4">
        <f>AA37+monthly_mortgage_schedule[[#This Row],[Extra Payments Towards Equity]]</f>
        <v>1000</v>
      </c>
      <c r="AB38" s="4">
        <f>AB37+monthly_mortgage_schedule[[#This Row],[Principal With Extra Principal Payments]]+monthly_mortgage_schedule[[#This Row],[Extra Payments Towards Equity]]</f>
        <v>13794.748338813306</v>
      </c>
      <c r="AC38" s="4">
        <f>monthly_mortgage_schedule[[#This Row],[Cumulative Principal With Extra Principal Payments]]+down_payment_dollars</f>
        <v>73794.748338813311</v>
      </c>
      <c r="AD38" s="200">
        <f t="shared" si="0"/>
        <v>90</v>
      </c>
      <c r="AE3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526205.25166118657</v>
      </c>
      <c r="AF38" s="187">
        <f t="shared" si="7"/>
        <v>527870.48988926865</v>
      </c>
      <c r="AG38" s="4">
        <f>IF(monthly_mortgage_schedule[[#This Row],[Loan Balance (BOY) Without Extra Principal Payments]]&gt;0,monthly_mortgage_schedule[[#This Row],[Loan Balance (BOY) Without Extra Principal Payments]]*monthly_interest_rate,0)</f>
        <v>2463.395619483254</v>
      </c>
      <c r="AH38" s="4">
        <f>IF(monthly_mortgage_schedule[[#This Row],[Loan Balance (BOY) Without Extra Principal Payments]]&gt;1,monthly_principal_and_interest-monthly_mortgage_schedule[[#This Row],[Interest Without Extra Principal Payments]],0)</f>
        <v>636.63087598015409</v>
      </c>
      <c r="AI38" s="4">
        <f>AI37+monthly_mortgage_schedule[[#This Row],[Principal Without Extra Principal Payments]]</f>
        <v>12766.140986711493</v>
      </c>
      <c r="AJ38" s="4">
        <f>monthly_mortgage_schedule[[#This Row],[Cumulative Principal Without Extra Principal Payments]]+down_payment_dollars</f>
        <v>72766.140986711485</v>
      </c>
      <c r="AK38" s="200">
        <f t="shared" si="1"/>
        <v>90</v>
      </c>
      <c r="AL3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527233.85901328851</v>
      </c>
      <c r="AN38" s="196">
        <f>monthly_mortgage_schedule[[#This Row],[Extra Payments Towards Equity]]+AN37+IF(monthly_mortgage_schedule[[#This Row],[Interest With Extra Principal Payments]]&gt;0,monthly_mortgage_schedule[[#This Row],[Interest Without Extra Principal Payments]]-monthly_mortgage_schedule[[#This Row],[Interest With Extra Principal Payments]],0)</f>
        <v>1028.6073521018106</v>
      </c>
      <c r="AO38" s="4">
        <f>AO37+IF(monthly_mortgage_schedule[[#This Row],[Interest With Extra Principal Payments]]&gt;0,monthly_mortgage_schedule[[#This Row],[Interest Without Extra Principal Payments]]-monthly_mortgage_schedule[[#This Row],[Interest With Extra Principal Payments]],0)</f>
        <v>28.607352101810648</v>
      </c>
      <c r="AP38" s="4">
        <f>AP37+monthly_mortgage_schedule[[#This Row],[PMI Without Extra Principal Payments]]-monthly_mortgage_schedule[[#This Row],[PMI with Additional Payments]]</f>
        <v>0</v>
      </c>
      <c r="AQ38" s="4">
        <f t="shared" si="4"/>
        <v>1048.1886422926436</v>
      </c>
      <c r="AR38" s="4">
        <f>Table60[[#This Row],[Cumulative Investments]]-monthly_mortgage_schedule[[#This Row],[Cumulative Extra Payments Towards Equity]]</f>
        <v>48.188642292643635</v>
      </c>
    </row>
    <row r="39" spans="9:46" x14ac:dyDescent="0.25">
      <c r="I39">
        <v>22</v>
      </c>
      <c r="J39">
        <f>IF(MOD(ROWS($J$18:J38),12)=0,J38+1,J38)</f>
        <v>2023</v>
      </c>
      <c r="K39" s="198">
        <f>IF(M39="#N/A",NA(),monthly_mortgage_schedule[[#This Row],[Month]])</f>
        <v>22</v>
      </c>
      <c r="L39" s="198">
        <f>IF(monthly_mortgage_schedule[[#This Row],[Calendar Year]]&gt;=$C$7,monthly_mortgage_schedule[[#This Row],[Calendar Year]],NA())</f>
        <v>2023</v>
      </c>
      <c r="M39" s="199">
        <f>IF((monthly_mortgage_schedule[[#This Row],[Calendar Year]]&gt;=$C$7)*(monthly_mortgage_schedule[[#This Row],[Calendar Year]]&lt;=$C$9),monthly_mortgage_schedule[[#This Row],[Begin Year (Range)]],NA())</f>
        <v>2023</v>
      </c>
      <c r="N39" s="214">
        <f>IF((monthly_mortgage_schedule[[#This Row],[Year (Range)]]&gt;=$C$7)*(monthly_mortgage_schedule[[#This Row],[Year (Range)]]&lt;=$C$9),X39,NA())</f>
        <v>2455.6245077522044</v>
      </c>
      <c r="O39" s="214">
        <f>IF((monthly_mortgage_schedule[[#This Row],[Year (Range)]]&gt;=$C$7)*(monthly_mortgage_schedule[[#This Row],[Year (Range)]]&lt;=$C$9),Y39,NA())</f>
        <v>644.40198771120367</v>
      </c>
      <c r="P39" s="214">
        <f>IF((monthly_mortgage_schedule[[#This Row],[Year (Range)]]&gt;=$C$7)*(monthly_mortgage_schedule[[#This Row],[Year (Range)]]&lt;=$C$9),AG39,NA())</f>
        <v>2460.4246753953466</v>
      </c>
      <c r="Q39" s="214">
        <f>IF((monthly_mortgage_schedule[[#This Row],[Year (Range)]]&gt;=$C$7)*(monthly_mortgage_schedule[[#This Row],[Year (Range)]]&lt;=$C$9),AH39,NA())</f>
        <v>639.60182006806144</v>
      </c>
      <c r="R39" s="214">
        <f>IF((monthly_mortgage_schedule[[#This Row],[Year (Range)]]&gt;=$C$7)*(monthly_mortgage_schedule[[#This Row],[Year (Range)]]&lt;=$C$9),AO39,NA())</f>
        <v>33.407519744952879</v>
      </c>
      <c r="S39" s="214">
        <f>IF((monthly_mortgage_schedule[[#This Row],[Year (Range)]]&gt;=$C$7)*(monthly_mortgage_schedule[[#This Row],[Year (Range)]]&lt;=$C$9),AP39,NA())</f>
        <v>0</v>
      </c>
      <c r="T39" s="214">
        <f>IF((monthly_mortgage_schedule[[#This Row],[Year (Range)]]&gt;=$C$7)*(monthly_mortgage_schedule[[#This Row],[Year (Range)]]&lt;=$C$9),AR39,NA())</f>
        <v>55.176566574594517</v>
      </c>
      <c r="U39" s="214">
        <f>IF((monthly_mortgage_schedule[[#This Row],[Year (Range)]]&gt;=$C$7)*(monthly_mortgage_schedule[[#This Row],[Year (Range)]]&lt;=$C$9),AB39,NA())</f>
        <v>14439.15032652451</v>
      </c>
      <c r="V39" s="214">
        <f>IF((monthly_mortgage_schedule[[#This Row],[Year (Range)]]&gt;=$C$7)*(monthly_mortgage_schedule[[#This Row],[Year (Range)]]&lt;=$C$9),AI39,NA())</f>
        <v>13405.742806779554</v>
      </c>
      <c r="W39" s="187">
        <f t="shared" si="2"/>
        <v>526205.25166118657</v>
      </c>
      <c r="X39" s="4">
        <f t="shared" si="6"/>
        <v>2455.6245077522044</v>
      </c>
      <c r="Y39" s="4">
        <f t="shared" si="3"/>
        <v>644.40198771120367</v>
      </c>
      <c r="Z39" s="4">
        <f>_xlfn.IFNA(INDEX(additional_mortgage_payments[],MATCH(monthly_mortgage_schedule[[#This Row],[Month]],additional_mortgage_payments[Month],0),3),0)</f>
        <v>0</v>
      </c>
      <c r="AA39" s="4">
        <f>AA38+monthly_mortgage_schedule[[#This Row],[Extra Payments Towards Equity]]</f>
        <v>1000</v>
      </c>
      <c r="AB39" s="4">
        <f>AB38+monthly_mortgage_schedule[[#This Row],[Principal With Extra Principal Payments]]+monthly_mortgage_schedule[[#This Row],[Extra Payments Towards Equity]]</f>
        <v>14439.15032652451</v>
      </c>
      <c r="AC39" s="4">
        <f>monthly_mortgage_schedule[[#This Row],[Cumulative Principal With Extra Principal Payments]]+down_payment_dollars</f>
        <v>74439.150326524512</v>
      </c>
      <c r="AD39" s="200">
        <f t="shared" si="0"/>
        <v>90</v>
      </c>
      <c r="AE3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525560.84967347537</v>
      </c>
      <c r="AF39" s="187">
        <f t="shared" si="7"/>
        <v>527233.85901328851</v>
      </c>
      <c r="AG39" s="4">
        <f>IF(monthly_mortgage_schedule[[#This Row],[Loan Balance (BOY) Without Extra Principal Payments]]&gt;0,monthly_mortgage_schedule[[#This Row],[Loan Balance (BOY) Without Extra Principal Payments]]*monthly_interest_rate,0)</f>
        <v>2460.4246753953466</v>
      </c>
      <c r="AH39" s="4">
        <f>IF(monthly_mortgage_schedule[[#This Row],[Loan Balance (BOY) Without Extra Principal Payments]]&gt;1,monthly_principal_and_interest-monthly_mortgage_schedule[[#This Row],[Interest Without Extra Principal Payments]],0)</f>
        <v>639.60182006806144</v>
      </c>
      <c r="AI39" s="4">
        <f>AI38+monthly_mortgage_schedule[[#This Row],[Principal Without Extra Principal Payments]]</f>
        <v>13405.742806779554</v>
      </c>
      <c r="AJ39" s="4">
        <f>monthly_mortgage_schedule[[#This Row],[Cumulative Principal Without Extra Principal Payments]]+down_payment_dollars</f>
        <v>73405.742806779555</v>
      </c>
      <c r="AK39" s="200">
        <f t="shared" si="1"/>
        <v>90</v>
      </c>
      <c r="AL3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526594.25719322043</v>
      </c>
      <c r="AN39" s="196">
        <f>monthly_mortgage_schedule[[#This Row],[Extra Payments Towards Equity]]+AN38+IF(monthly_mortgage_schedule[[#This Row],[Interest With Extra Principal Payments]]&gt;0,monthly_mortgage_schedule[[#This Row],[Interest Without Extra Principal Payments]]-monthly_mortgage_schedule[[#This Row],[Interest With Extra Principal Payments]],0)</f>
        <v>1033.4075197449529</v>
      </c>
      <c r="AO39" s="4">
        <f>AO38+IF(monthly_mortgage_schedule[[#This Row],[Interest With Extra Principal Payments]]&gt;0,monthly_mortgage_schedule[[#This Row],[Interest Without Extra Principal Payments]]-monthly_mortgage_schedule[[#This Row],[Interest With Extra Principal Payments]],0)</f>
        <v>33.407519744952879</v>
      </c>
      <c r="AP39" s="4">
        <f>AP38+monthly_mortgage_schedule[[#This Row],[PMI Without Extra Principal Payments]]-monthly_mortgage_schedule[[#This Row],[PMI with Additional Payments]]</f>
        <v>0</v>
      </c>
      <c r="AQ39" s="4">
        <f t="shared" si="4"/>
        <v>1055.1765665745945</v>
      </c>
      <c r="AR39" s="4">
        <f>Table60[[#This Row],[Cumulative Investments]]-monthly_mortgage_schedule[[#This Row],[Cumulative Extra Payments Towards Equity]]</f>
        <v>55.176566574594517</v>
      </c>
    </row>
    <row r="40" spans="9:46" x14ac:dyDescent="0.25">
      <c r="I40">
        <v>23</v>
      </c>
      <c r="J40">
        <f>IF(MOD(ROWS($J$18:J39),12)=0,J39+1,J39)</f>
        <v>2023</v>
      </c>
      <c r="K40" s="198">
        <f>IF(M40="#N/A",NA(),monthly_mortgage_schedule[[#This Row],[Month]])</f>
        <v>23</v>
      </c>
      <c r="L40" s="198">
        <f>IF(monthly_mortgage_schedule[[#This Row],[Calendar Year]]&gt;=$C$7,monthly_mortgage_schedule[[#This Row],[Calendar Year]],NA())</f>
        <v>2023</v>
      </c>
      <c r="M40" s="199">
        <f>IF((monthly_mortgage_schedule[[#This Row],[Calendar Year]]&gt;=$C$7)*(monthly_mortgage_schedule[[#This Row],[Calendar Year]]&lt;=$C$9),monthly_mortgage_schedule[[#This Row],[Begin Year (Range)]],NA())</f>
        <v>2023</v>
      </c>
      <c r="N40" s="214">
        <f>IF((monthly_mortgage_schedule[[#This Row],[Year (Range)]]&gt;=$C$7)*(monthly_mortgage_schedule[[#This Row],[Year (Range)]]&lt;=$C$9),X40,NA())</f>
        <v>2452.6172984762188</v>
      </c>
      <c r="O40" s="214">
        <f>IF((monthly_mortgage_schedule[[#This Row],[Year (Range)]]&gt;=$C$7)*(monthly_mortgage_schedule[[#This Row],[Year (Range)]]&lt;=$C$9),Y40,NA())</f>
        <v>647.40919698718926</v>
      </c>
      <c r="P40" s="214">
        <f>IF((monthly_mortgage_schedule[[#This Row],[Year (Range)]]&gt;=$C$7)*(monthly_mortgage_schedule[[#This Row],[Year (Range)]]&lt;=$C$9),AG40,NA())</f>
        <v>2457.4398669016955</v>
      </c>
      <c r="Q40" s="214">
        <f>IF((monthly_mortgage_schedule[[#This Row],[Year (Range)]]&gt;=$C$7)*(monthly_mortgage_schedule[[#This Row],[Year (Range)]]&lt;=$C$9),AH40,NA())</f>
        <v>642.58662856171259</v>
      </c>
      <c r="R40" s="214">
        <f>IF((monthly_mortgage_schedule[[#This Row],[Year (Range)]]&gt;=$C$7)*(monthly_mortgage_schedule[[#This Row],[Year (Range)]]&lt;=$C$9),AO40,NA())</f>
        <v>38.230088170429553</v>
      </c>
      <c r="S40" s="214">
        <f>IF((monthly_mortgage_schedule[[#This Row],[Year (Range)]]&gt;=$C$7)*(monthly_mortgage_schedule[[#This Row],[Year (Range)]]&lt;=$C$9),AP40,NA())</f>
        <v>0</v>
      </c>
      <c r="T40" s="214">
        <f>IF((monthly_mortgage_schedule[[#This Row],[Year (Range)]]&gt;=$C$7)*(monthly_mortgage_schedule[[#This Row],[Year (Range)]]&lt;=$C$9),AR40,NA())</f>
        <v>62.211077018425158</v>
      </c>
      <c r="U40" s="214">
        <f>IF((monthly_mortgage_schedule[[#This Row],[Year (Range)]]&gt;=$C$7)*(monthly_mortgage_schedule[[#This Row],[Year (Range)]]&lt;=$C$9),AB40,NA())</f>
        <v>15086.5595235117</v>
      </c>
      <c r="V40" s="214">
        <f>IF((monthly_mortgage_schedule[[#This Row],[Year (Range)]]&gt;=$C$7)*(monthly_mortgage_schedule[[#This Row],[Year (Range)]]&lt;=$C$9),AI40,NA())</f>
        <v>14048.329435341266</v>
      </c>
      <c r="W40" s="187">
        <f t="shared" si="2"/>
        <v>525560.84967347537</v>
      </c>
      <c r="X40" s="4">
        <f t="shared" si="6"/>
        <v>2452.6172984762188</v>
      </c>
      <c r="Y40" s="4">
        <f t="shared" si="3"/>
        <v>647.40919698718926</v>
      </c>
      <c r="Z40" s="4">
        <f>_xlfn.IFNA(INDEX(additional_mortgage_payments[],MATCH(monthly_mortgage_schedule[[#This Row],[Month]],additional_mortgage_payments[Month],0),3),0)</f>
        <v>0</v>
      </c>
      <c r="AA40" s="4">
        <f>AA39+monthly_mortgage_schedule[[#This Row],[Extra Payments Towards Equity]]</f>
        <v>1000</v>
      </c>
      <c r="AB40" s="4">
        <f>AB39+monthly_mortgage_schedule[[#This Row],[Principal With Extra Principal Payments]]+monthly_mortgage_schedule[[#This Row],[Extra Payments Towards Equity]]</f>
        <v>15086.5595235117</v>
      </c>
      <c r="AC40" s="4">
        <f>monthly_mortgage_schedule[[#This Row],[Cumulative Principal With Extra Principal Payments]]+down_payment_dollars</f>
        <v>75086.559523511707</v>
      </c>
      <c r="AD40" s="200">
        <f t="shared" si="0"/>
        <v>90</v>
      </c>
      <c r="AE4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524913.44047648821</v>
      </c>
      <c r="AF40" s="187">
        <f t="shared" si="7"/>
        <v>526594.25719322043</v>
      </c>
      <c r="AG40" s="4">
        <f>IF(monthly_mortgage_schedule[[#This Row],[Loan Balance (BOY) Without Extra Principal Payments]]&gt;0,monthly_mortgage_schedule[[#This Row],[Loan Balance (BOY) Without Extra Principal Payments]]*monthly_interest_rate,0)</f>
        <v>2457.4398669016955</v>
      </c>
      <c r="AH40" s="4">
        <f>IF(monthly_mortgage_schedule[[#This Row],[Loan Balance (BOY) Without Extra Principal Payments]]&gt;1,monthly_principal_and_interest-monthly_mortgage_schedule[[#This Row],[Interest Without Extra Principal Payments]],0)</f>
        <v>642.58662856171259</v>
      </c>
      <c r="AI40" s="4">
        <f>AI39+monthly_mortgage_schedule[[#This Row],[Principal Without Extra Principal Payments]]</f>
        <v>14048.329435341266</v>
      </c>
      <c r="AJ40" s="4">
        <f>monthly_mortgage_schedule[[#This Row],[Cumulative Principal Without Extra Principal Payments]]+down_payment_dollars</f>
        <v>74048.329435341264</v>
      </c>
      <c r="AK40" s="200">
        <f t="shared" si="1"/>
        <v>90</v>
      </c>
      <c r="AL4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525951.67056465871</v>
      </c>
      <c r="AN40" s="196">
        <f>monthly_mortgage_schedule[[#This Row],[Extra Payments Towards Equity]]+AN39+IF(monthly_mortgage_schedule[[#This Row],[Interest With Extra Principal Payments]]&gt;0,monthly_mortgage_schedule[[#This Row],[Interest Without Extra Principal Payments]]-monthly_mortgage_schedule[[#This Row],[Interest With Extra Principal Payments]],0)</f>
        <v>1038.2300881704296</v>
      </c>
      <c r="AO40" s="4">
        <f>AO39+IF(monthly_mortgage_schedule[[#This Row],[Interest With Extra Principal Payments]]&gt;0,monthly_mortgage_schedule[[#This Row],[Interest Without Extra Principal Payments]]-monthly_mortgage_schedule[[#This Row],[Interest With Extra Principal Payments]],0)</f>
        <v>38.230088170429553</v>
      </c>
      <c r="AP40" s="4">
        <f>AP39+monthly_mortgage_schedule[[#This Row],[PMI Without Extra Principal Payments]]-monthly_mortgage_schedule[[#This Row],[PMI with Additional Payments]]</f>
        <v>0</v>
      </c>
      <c r="AQ40" s="4">
        <f t="shared" si="4"/>
        <v>1062.2110770184252</v>
      </c>
      <c r="AR40" s="4">
        <f>Table60[[#This Row],[Cumulative Investments]]-monthly_mortgage_schedule[[#This Row],[Cumulative Extra Payments Towards Equity]]</f>
        <v>62.211077018425158</v>
      </c>
      <c r="AT40" s="58"/>
    </row>
    <row r="41" spans="9:46" x14ac:dyDescent="0.25">
      <c r="I41">
        <v>24</v>
      </c>
      <c r="J41">
        <f>IF(MOD(ROWS($J$18:J40),12)=0,J40+1,J40)</f>
        <v>2023</v>
      </c>
      <c r="K41" s="198">
        <f>IF(M41="#N/A",NA(),monthly_mortgage_schedule[[#This Row],[Month]])</f>
        <v>24</v>
      </c>
      <c r="L41" s="198">
        <f>IF(monthly_mortgage_schedule[[#This Row],[Calendar Year]]&gt;=$C$7,monthly_mortgage_schedule[[#This Row],[Calendar Year]],NA())</f>
        <v>2023</v>
      </c>
      <c r="M41" s="199">
        <f>IF((monthly_mortgage_schedule[[#This Row],[Calendar Year]]&gt;=$C$7)*(monthly_mortgage_schedule[[#This Row],[Calendar Year]]&lt;=$C$9),monthly_mortgage_schedule[[#This Row],[Begin Year (Range)]],NA())</f>
        <v>2023</v>
      </c>
      <c r="N41" s="214">
        <f>IF((monthly_mortgage_schedule[[#This Row],[Year (Range)]]&gt;=$C$7)*(monthly_mortgage_schedule[[#This Row],[Year (Range)]]&lt;=$C$9),X41,NA())</f>
        <v>2449.596055556945</v>
      </c>
      <c r="O41" s="214">
        <f>IF((monthly_mortgage_schedule[[#This Row],[Year (Range)]]&gt;=$C$7)*(monthly_mortgage_schedule[[#This Row],[Year (Range)]]&lt;=$C$9),Y41,NA())</f>
        <v>650.43043990646311</v>
      </c>
      <c r="P41" s="214">
        <f>IF((monthly_mortgage_schedule[[#This Row],[Year (Range)]]&gt;=$C$7)*(monthly_mortgage_schedule[[#This Row],[Year (Range)]]&lt;=$C$9),AG41,NA())</f>
        <v>2454.4411293017411</v>
      </c>
      <c r="Q41" s="214">
        <f>IF((monthly_mortgage_schedule[[#This Row],[Year (Range)]]&gt;=$C$7)*(monthly_mortgage_schedule[[#This Row],[Year (Range)]]&lt;=$C$9),AH41,NA())</f>
        <v>645.58536616166703</v>
      </c>
      <c r="R41" s="214">
        <f>IF((monthly_mortgage_schedule[[#This Row],[Year (Range)]]&gt;=$C$7)*(monthly_mortgage_schedule[[#This Row],[Year (Range)]]&lt;=$C$9),AO41,NA())</f>
        <v>43.075161915225635</v>
      </c>
      <c r="S41" s="214">
        <f>IF((monthly_mortgage_schedule[[#This Row],[Year (Range)]]&gt;=$C$7)*(monthly_mortgage_schedule[[#This Row],[Year (Range)]]&lt;=$C$9),AP41,NA())</f>
        <v>0</v>
      </c>
      <c r="T41" s="214">
        <f>IF((monthly_mortgage_schedule[[#This Row],[Year (Range)]]&gt;=$C$7)*(monthly_mortgage_schedule[[#This Row],[Year (Range)]]&lt;=$C$9),AR41,NA())</f>
        <v>69.292484198547982</v>
      </c>
      <c r="U41" s="214">
        <f>IF((monthly_mortgage_schedule[[#This Row],[Year (Range)]]&gt;=$C$7)*(monthly_mortgage_schedule[[#This Row],[Year (Range)]]&lt;=$C$9),AB41,NA())</f>
        <v>15736.989963418164</v>
      </c>
      <c r="V41" s="214">
        <f>IF((monthly_mortgage_schedule[[#This Row],[Year (Range)]]&gt;=$C$7)*(monthly_mortgage_schedule[[#This Row],[Year (Range)]]&lt;=$C$9),AI41,NA())</f>
        <v>14693.914801502933</v>
      </c>
      <c r="W41" s="187">
        <f t="shared" si="2"/>
        <v>524913.44047648821</v>
      </c>
      <c r="X41" s="4">
        <f t="shared" si="6"/>
        <v>2449.596055556945</v>
      </c>
      <c r="Y41" s="4">
        <f t="shared" si="3"/>
        <v>650.43043990646311</v>
      </c>
      <c r="Z41" s="4">
        <f>_xlfn.IFNA(INDEX(additional_mortgage_payments[],MATCH(monthly_mortgage_schedule[[#This Row],[Month]],additional_mortgage_payments[Month],0),3),0)</f>
        <v>0</v>
      </c>
      <c r="AA41" s="4">
        <f>AA40+monthly_mortgage_schedule[[#This Row],[Extra Payments Towards Equity]]</f>
        <v>1000</v>
      </c>
      <c r="AB41" s="4">
        <f>AB40+monthly_mortgage_schedule[[#This Row],[Principal With Extra Principal Payments]]+monthly_mortgage_schedule[[#This Row],[Extra Payments Towards Equity]]</f>
        <v>15736.989963418164</v>
      </c>
      <c r="AC41" s="4">
        <f>monthly_mortgage_schedule[[#This Row],[Cumulative Principal With Extra Principal Payments]]+down_payment_dollars</f>
        <v>75736.989963418164</v>
      </c>
      <c r="AD41" s="200">
        <f t="shared" si="0"/>
        <v>90</v>
      </c>
      <c r="AE4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524263.01003658172</v>
      </c>
      <c r="AF41" s="187">
        <f t="shared" si="7"/>
        <v>525951.67056465871</v>
      </c>
      <c r="AG41" s="4">
        <f>IF(monthly_mortgage_schedule[[#This Row],[Loan Balance (BOY) Without Extra Principal Payments]]&gt;0,monthly_mortgage_schedule[[#This Row],[Loan Balance (BOY) Without Extra Principal Payments]]*monthly_interest_rate,0)</f>
        <v>2454.4411293017411</v>
      </c>
      <c r="AH41" s="4">
        <f>IF(monthly_mortgage_schedule[[#This Row],[Loan Balance (BOY) Without Extra Principal Payments]]&gt;1,monthly_principal_and_interest-monthly_mortgage_schedule[[#This Row],[Interest Without Extra Principal Payments]],0)</f>
        <v>645.58536616166703</v>
      </c>
      <c r="AI41" s="4">
        <f>AI40+monthly_mortgage_schedule[[#This Row],[Principal Without Extra Principal Payments]]</f>
        <v>14693.914801502933</v>
      </c>
      <c r="AJ41" s="4">
        <f>monthly_mortgage_schedule[[#This Row],[Cumulative Principal Without Extra Principal Payments]]+down_payment_dollars</f>
        <v>74693.914801502935</v>
      </c>
      <c r="AK41" s="200">
        <f t="shared" si="1"/>
        <v>90</v>
      </c>
      <c r="AL4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525306.08519849705</v>
      </c>
      <c r="AN41" s="196">
        <f>monthly_mortgage_schedule[[#This Row],[Extra Payments Towards Equity]]+AN40+IF(monthly_mortgage_schedule[[#This Row],[Interest With Extra Principal Payments]]&gt;0,monthly_mortgage_schedule[[#This Row],[Interest Without Extra Principal Payments]]-monthly_mortgage_schedule[[#This Row],[Interest With Extra Principal Payments]],0)</f>
        <v>1043.0751619152256</v>
      </c>
      <c r="AO41" s="4">
        <f>AO40+IF(monthly_mortgage_schedule[[#This Row],[Interest With Extra Principal Payments]]&gt;0,monthly_mortgage_schedule[[#This Row],[Interest Without Extra Principal Payments]]-monthly_mortgage_schedule[[#This Row],[Interest With Extra Principal Payments]],0)</f>
        <v>43.075161915225635</v>
      </c>
      <c r="AP41" s="4">
        <f>AP40+monthly_mortgage_schedule[[#This Row],[PMI Without Extra Principal Payments]]-monthly_mortgage_schedule[[#This Row],[PMI with Additional Payments]]</f>
        <v>0</v>
      </c>
      <c r="AQ41" s="4">
        <f t="shared" si="4"/>
        <v>1069.292484198548</v>
      </c>
      <c r="AR41" s="4">
        <f>Table60[[#This Row],[Cumulative Investments]]-monthly_mortgage_schedule[[#This Row],[Cumulative Extra Payments Towards Equity]]</f>
        <v>69.292484198547982</v>
      </c>
    </row>
    <row r="42" spans="9:46" x14ac:dyDescent="0.25">
      <c r="I42">
        <v>25</v>
      </c>
      <c r="J42">
        <f>IF(MOD(ROWS($J$18:J41),12)=0,J41+1,J41)</f>
        <v>2024</v>
      </c>
      <c r="K42" s="198">
        <f>IF(M42="#N/A",NA(),monthly_mortgage_schedule[[#This Row],[Month]])</f>
        <v>25</v>
      </c>
      <c r="L42" s="198">
        <f>IF(monthly_mortgage_schedule[[#This Row],[Calendar Year]]&gt;=$C$7,monthly_mortgage_schedule[[#This Row],[Calendar Year]],NA())</f>
        <v>2024</v>
      </c>
      <c r="M42" s="199">
        <f>IF((monthly_mortgage_schedule[[#This Row],[Calendar Year]]&gt;=$C$7)*(monthly_mortgage_schedule[[#This Row],[Calendar Year]]&lt;=$C$9),monthly_mortgage_schedule[[#This Row],[Begin Year (Range)]],NA())</f>
        <v>2024</v>
      </c>
      <c r="N42" s="214">
        <f>IF((monthly_mortgage_schedule[[#This Row],[Year (Range)]]&gt;=$C$7)*(monthly_mortgage_schedule[[#This Row],[Year (Range)]]&lt;=$C$9),X42,NA())</f>
        <v>2446.5607135040482</v>
      </c>
      <c r="O42" s="214">
        <f>IF((monthly_mortgage_schedule[[#This Row],[Year (Range)]]&gt;=$C$7)*(monthly_mortgage_schedule[[#This Row],[Year (Range)]]&lt;=$C$9),Y42,NA())</f>
        <v>653.4657819593599</v>
      </c>
      <c r="P42" s="214">
        <f>IF((monthly_mortgage_schedule[[#This Row],[Year (Range)]]&gt;=$C$7)*(monthly_mortgage_schedule[[#This Row],[Year (Range)]]&lt;=$C$9),AG42,NA())</f>
        <v>2451.4283975929866</v>
      </c>
      <c r="Q42" s="214">
        <f>IF((monthly_mortgage_schedule[[#This Row],[Year (Range)]]&gt;=$C$7)*(monthly_mortgage_schedule[[#This Row],[Year (Range)]]&lt;=$C$9),AH42,NA())</f>
        <v>648.5980978704215</v>
      </c>
      <c r="R42" s="214">
        <f>IF((monthly_mortgage_schedule[[#This Row],[Year (Range)]]&gt;=$C$7)*(monthly_mortgage_schedule[[#This Row],[Year (Range)]]&lt;=$C$9),AO42,NA())</f>
        <v>47.942846004164039</v>
      </c>
      <c r="S42" s="214">
        <f>IF((monthly_mortgage_schedule[[#This Row],[Year (Range)]]&gt;=$C$7)*(monthly_mortgage_schedule[[#This Row],[Year (Range)]]&lt;=$C$9),AP42,NA())</f>
        <v>0</v>
      </c>
      <c r="T42" s="214">
        <f>IF((monthly_mortgage_schedule[[#This Row],[Year (Range)]]&gt;=$C$7)*(monthly_mortgage_schedule[[#This Row],[Year (Range)]]&lt;=$C$9),AR42,NA())</f>
        <v>76.421100759871479</v>
      </c>
      <c r="U42" s="214">
        <f>IF((monthly_mortgage_schedule[[#This Row],[Year (Range)]]&gt;=$C$7)*(monthly_mortgage_schedule[[#This Row],[Year (Range)]]&lt;=$C$9),AB42,NA())</f>
        <v>16390.455745377523</v>
      </c>
      <c r="V42" s="214">
        <f>IF((monthly_mortgage_schedule[[#This Row],[Year (Range)]]&gt;=$C$7)*(monthly_mortgage_schedule[[#This Row],[Year (Range)]]&lt;=$C$9),AI42,NA())</f>
        <v>15342.512899373354</v>
      </c>
      <c r="W42" s="187">
        <f t="shared" si="2"/>
        <v>524263.01003658172</v>
      </c>
      <c r="X42" s="4">
        <f t="shared" si="6"/>
        <v>2446.5607135040482</v>
      </c>
      <c r="Y42" s="4">
        <f t="shared" si="3"/>
        <v>653.4657819593599</v>
      </c>
      <c r="Z42" s="4">
        <f>_xlfn.IFNA(INDEX(additional_mortgage_payments[],MATCH(monthly_mortgage_schedule[[#This Row],[Month]],additional_mortgage_payments[Month],0),3),0)</f>
        <v>0</v>
      </c>
      <c r="AA42" s="4">
        <f>AA41+monthly_mortgage_schedule[[#This Row],[Extra Payments Towards Equity]]</f>
        <v>1000</v>
      </c>
      <c r="AB42" s="4">
        <f>AB41+monthly_mortgage_schedule[[#This Row],[Principal With Extra Principal Payments]]+monthly_mortgage_schedule[[#This Row],[Extra Payments Towards Equity]]</f>
        <v>16390.455745377523</v>
      </c>
      <c r="AC42" s="4">
        <f>monthly_mortgage_schedule[[#This Row],[Cumulative Principal With Extra Principal Payments]]+down_payment_dollars</f>
        <v>76390.45574537752</v>
      </c>
      <c r="AD42" s="200">
        <f t="shared" si="0"/>
        <v>90</v>
      </c>
      <c r="AE4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523609.54425462236</v>
      </c>
      <c r="AF42" s="187">
        <f t="shared" si="7"/>
        <v>525306.08519849705</v>
      </c>
      <c r="AG42" s="4">
        <f>IF(monthly_mortgage_schedule[[#This Row],[Loan Balance (BOY) Without Extra Principal Payments]]&gt;0,monthly_mortgage_schedule[[#This Row],[Loan Balance (BOY) Without Extra Principal Payments]]*monthly_interest_rate,0)</f>
        <v>2451.4283975929866</v>
      </c>
      <c r="AH42" s="4">
        <f>IF(monthly_mortgage_schedule[[#This Row],[Loan Balance (BOY) Without Extra Principal Payments]]&gt;1,monthly_principal_and_interest-monthly_mortgage_schedule[[#This Row],[Interest Without Extra Principal Payments]],0)</f>
        <v>648.5980978704215</v>
      </c>
      <c r="AI42" s="4">
        <f>AI41+monthly_mortgage_schedule[[#This Row],[Principal Without Extra Principal Payments]]</f>
        <v>15342.512899373354</v>
      </c>
      <c r="AJ42" s="4">
        <f>monthly_mortgage_schedule[[#This Row],[Cumulative Principal Without Extra Principal Payments]]+down_payment_dollars</f>
        <v>75342.512899373352</v>
      </c>
      <c r="AK42" s="200">
        <f t="shared" si="1"/>
        <v>90</v>
      </c>
      <c r="AL4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524657.48710062657</v>
      </c>
      <c r="AN42" s="196">
        <f>monthly_mortgage_schedule[[#This Row],[Extra Payments Towards Equity]]+AN41+IF(monthly_mortgage_schedule[[#This Row],[Interest With Extra Principal Payments]]&gt;0,monthly_mortgage_schedule[[#This Row],[Interest Without Extra Principal Payments]]-monthly_mortgage_schedule[[#This Row],[Interest With Extra Principal Payments]],0)</f>
        <v>1047.942846004164</v>
      </c>
      <c r="AO42" s="4">
        <f>AO41+IF(monthly_mortgage_schedule[[#This Row],[Interest With Extra Principal Payments]]&gt;0,monthly_mortgage_schedule[[#This Row],[Interest Without Extra Principal Payments]]-monthly_mortgage_schedule[[#This Row],[Interest With Extra Principal Payments]],0)</f>
        <v>47.942846004164039</v>
      </c>
      <c r="AP42" s="4">
        <f>AP41+monthly_mortgage_schedule[[#This Row],[PMI Without Extra Principal Payments]]-monthly_mortgage_schedule[[#This Row],[PMI with Additional Payments]]</f>
        <v>0</v>
      </c>
      <c r="AQ42" s="4">
        <f t="shared" si="4"/>
        <v>1076.4211007598715</v>
      </c>
      <c r="AR42" s="4">
        <f>Table60[[#This Row],[Cumulative Investments]]-monthly_mortgage_schedule[[#This Row],[Cumulative Extra Payments Towards Equity]]</f>
        <v>76.421100759871479</v>
      </c>
    </row>
    <row r="43" spans="9:46" x14ac:dyDescent="0.25">
      <c r="I43">
        <v>26</v>
      </c>
      <c r="J43">
        <f>IF(MOD(ROWS($J$18:J42),12)=0,J42+1,J42)</f>
        <v>2024</v>
      </c>
      <c r="K43" s="198">
        <f>IF(M43="#N/A",NA(),monthly_mortgage_schedule[[#This Row],[Month]])</f>
        <v>26</v>
      </c>
      <c r="L43" s="198">
        <f>IF(monthly_mortgage_schedule[[#This Row],[Calendar Year]]&gt;=$C$7,monthly_mortgage_schedule[[#This Row],[Calendar Year]],NA())</f>
        <v>2024</v>
      </c>
      <c r="M43" s="199">
        <f>IF((monthly_mortgage_schedule[[#This Row],[Calendar Year]]&gt;=$C$7)*(monthly_mortgage_schedule[[#This Row],[Calendar Year]]&lt;=$C$9),monthly_mortgage_schedule[[#This Row],[Begin Year (Range)]],NA())</f>
        <v>2024</v>
      </c>
      <c r="N43" s="214">
        <f>IF((monthly_mortgage_schedule[[#This Row],[Year (Range)]]&gt;=$C$7)*(monthly_mortgage_schedule[[#This Row],[Year (Range)]]&lt;=$C$9),X43,NA())</f>
        <v>2443.5112065215712</v>
      </c>
      <c r="O43" s="214">
        <f>IF((monthly_mortgage_schedule[[#This Row],[Year (Range)]]&gt;=$C$7)*(monthly_mortgage_schedule[[#This Row],[Year (Range)]]&lt;=$C$9),Y43,NA())</f>
        <v>656.51528894183684</v>
      </c>
      <c r="P43" s="214">
        <f>IF((monthly_mortgage_schedule[[#This Row],[Year (Range)]]&gt;=$C$7)*(monthly_mortgage_schedule[[#This Row],[Year (Range)]]&lt;=$C$9),AG43,NA())</f>
        <v>2448.4016064695907</v>
      </c>
      <c r="Q43" s="214">
        <f>IF((monthly_mortgage_schedule[[#This Row],[Year (Range)]]&gt;=$C$7)*(monthly_mortgage_schedule[[#This Row],[Year (Range)]]&lt;=$C$9),AH43,NA())</f>
        <v>651.62488899381742</v>
      </c>
      <c r="R43" s="214">
        <f>IF((monthly_mortgage_schedule[[#This Row],[Year (Range)]]&gt;=$C$7)*(monthly_mortgage_schedule[[#This Row],[Year (Range)]]&lt;=$C$9),AO43,NA())</f>
        <v>52.833245952183461</v>
      </c>
      <c r="S43" s="214">
        <f>IF((monthly_mortgage_schedule[[#This Row],[Year (Range)]]&gt;=$C$7)*(monthly_mortgage_schedule[[#This Row],[Year (Range)]]&lt;=$C$9),AP43,NA())</f>
        <v>0</v>
      </c>
      <c r="T43" s="214">
        <f>IF((monthly_mortgage_schedule[[#This Row],[Year (Range)]]&gt;=$C$7)*(monthly_mortgage_schedule[[#This Row],[Year (Range)]]&lt;=$C$9),AR43,NA())</f>
        <v>83.597241431603834</v>
      </c>
      <c r="U43" s="214">
        <f>IF((monthly_mortgage_schedule[[#This Row],[Year (Range)]]&gt;=$C$7)*(monthly_mortgage_schedule[[#This Row],[Year (Range)]]&lt;=$C$9),AB43,NA())</f>
        <v>17046.971034319358</v>
      </c>
      <c r="V43" s="214">
        <f>IF((monthly_mortgage_schedule[[#This Row],[Year (Range)]]&gt;=$C$7)*(monthly_mortgage_schedule[[#This Row],[Year (Range)]]&lt;=$C$9),AI43,NA())</f>
        <v>15994.137788367172</v>
      </c>
      <c r="W43" s="187">
        <f t="shared" si="2"/>
        <v>523609.54425462236</v>
      </c>
      <c r="X43" s="4">
        <f t="shared" si="6"/>
        <v>2443.5112065215712</v>
      </c>
      <c r="Y43" s="4">
        <f t="shared" si="3"/>
        <v>656.51528894183684</v>
      </c>
      <c r="Z43" s="4">
        <f>_xlfn.IFNA(INDEX(additional_mortgage_payments[],MATCH(monthly_mortgage_schedule[[#This Row],[Month]],additional_mortgage_payments[Month],0),3),0)</f>
        <v>0</v>
      </c>
      <c r="AA43" s="4">
        <f>AA42+monthly_mortgage_schedule[[#This Row],[Extra Payments Towards Equity]]</f>
        <v>1000</v>
      </c>
      <c r="AB43" s="4">
        <f>AB42+monthly_mortgage_schedule[[#This Row],[Principal With Extra Principal Payments]]+monthly_mortgage_schedule[[#This Row],[Extra Payments Towards Equity]]</f>
        <v>17046.971034319358</v>
      </c>
      <c r="AC43" s="4">
        <f>monthly_mortgage_schedule[[#This Row],[Cumulative Principal With Extra Principal Payments]]+down_payment_dollars</f>
        <v>77046.971034319358</v>
      </c>
      <c r="AD43" s="200">
        <f t="shared" si="0"/>
        <v>90</v>
      </c>
      <c r="AE4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522953.02896568051</v>
      </c>
      <c r="AF43" s="187">
        <f t="shared" si="7"/>
        <v>524657.48710062657</v>
      </c>
      <c r="AG43" s="4">
        <f>IF(monthly_mortgage_schedule[[#This Row],[Loan Balance (BOY) Without Extra Principal Payments]]&gt;0,monthly_mortgage_schedule[[#This Row],[Loan Balance (BOY) Without Extra Principal Payments]]*monthly_interest_rate,0)</f>
        <v>2448.4016064695907</v>
      </c>
      <c r="AH43" s="4">
        <f>IF(monthly_mortgage_schedule[[#This Row],[Loan Balance (BOY) Without Extra Principal Payments]]&gt;1,monthly_principal_and_interest-monthly_mortgage_schedule[[#This Row],[Interest Without Extra Principal Payments]],0)</f>
        <v>651.62488899381742</v>
      </c>
      <c r="AI43" s="4">
        <f>AI42+monthly_mortgage_schedule[[#This Row],[Principal Without Extra Principal Payments]]</f>
        <v>15994.137788367172</v>
      </c>
      <c r="AJ43" s="4">
        <f>monthly_mortgage_schedule[[#This Row],[Cumulative Principal Without Extra Principal Payments]]+down_payment_dollars</f>
        <v>75994.137788367167</v>
      </c>
      <c r="AK43" s="200">
        <f t="shared" si="1"/>
        <v>90</v>
      </c>
      <c r="AL4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524005.86221163278</v>
      </c>
      <c r="AN43" s="196">
        <f>monthly_mortgage_schedule[[#This Row],[Extra Payments Towards Equity]]+AN42+IF(monthly_mortgage_schedule[[#This Row],[Interest With Extra Principal Payments]]&gt;0,monthly_mortgage_schedule[[#This Row],[Interest Without Extra Principal Payments]]-monthly_mortgage_schedule[[#This Row],[Interest With Extra Principal Payments]],0)</f>
        <v>1052.8332459521835</v>
      </c>
      <c r="AO43" s="4">
        <f>AO42+IF(monthly_mortgage_schedule[[#This Row],[Interest With Extra Principal Payments]]&gt;0,monthly_mortgage_schedule[[#This Row],[Interest Without Extra Principal Payments]]-monthly_mortgage_schedule[[#This Row],[Interest With Extra Principal Payments]],0)</f>
        <v>52.833245952183461</v>
      </c>
      <c r="AP43" s="4">
        <f>AP42+monthly_mortgage_schedule[[#This Row],[PMI Without Extra Principal Payments]]-monthly_mortgage_schedule[[#This Row],[PMI with Additional Payments]]</f>
        <v>0</v>
      </c>
      <c r="AQ43" s="4">
        <f t="shared" si="4"/>
        <v>1083.5972414316038</v>
      </c>
      <c r="AR43" s="4">
        <f>Table60[[#This Row],[Cumulative Investments]]-monthly_mortgage_schedule[[#This Row],[Cumulative Extra Payments Towards Equity]]</f>
        <v>83.597241431603834</v>
      </c>
    </row>
    <row r="44" spans="9:46" x14ac:dyDescent="0.25">
      <c r="I44">
        <v>27</v>
      </c>
      <c r="J44">
        <f>IF(MOD(ROWS($J$18:J43),12)=0,J43+1,J43)</f>
        <v>2024</v>
      </c>
      <c r="K44" s="198">
        <f>IF(M44="#N/A",NA(),monthly_mortgage_schedule[[#This Row],[Month]])</f>
        <v>27</v>
      </c>
      <c r="L44" s="198">
        <f>IF(monthly_mortgage_schedule[[#This Row],[Calendar Year]]&gt;=$C$7,monthly_mortgage_schedule[[#This Row],[Calendar Year]],NA())</f>
        <v>2024</v>
      </c>
      <c r="M44" s="199">
        <f>IF((monthly_mortgage_schedule[[#This Row],[Calendar Year]]&gt;=$C$7)*(monthly_mortgage_schedule[[#This Row],[Calendar Year]]&lt;=$C$9),monthly_mortgage_schedule[[#This Row],[Begin Year (Range)]],NA())</f>
        <v>2024</v>
      </c>
      <c r="N44" s="214">
        <f>IF((monthly_mortgage_schedule[[#This Row],[Year (Range)]]&gt;=$C$7)*(monthly_mortgage_schedule[[#This Row],[Year (Range)]]&lt;=$C$9),X44,NA())</f>
        <v>2440.4474685065093</v>
      </c>
      <c r="O44" s="214">
        <f>IF((monthly_mortgage_schedule[[#This Row],[Year (Range)]]&gt;=$C$7)*(monthly_mortgage_schedule[[#This Row],[Year (Range)]]&lt;=$C$9),Y44,NA())</f>
        <v>659.57902695689882</v>
      </c>
      <c r="P44" s="214">
        <f>IF((monthly_mortgage_schedule[[#This Row],[Year (Range)]]&gt;=$C$7)*(monthly_mortgage_schedule[[#This Row],[Year (Range)]]&lt;=$C$9),AG44,NA())</f>
        <v>2445.3606903209529</v>
      </c>
      <c r="Q44" s="214">
        <f>IF((monthly_mortgage_schedule[[#This Row],[Year (Range)]]&gt;=$C$7)*(monthly_mortgage_schedule[[#This Row],[Year (Range)]]&lt;=$C$9),AH44,NA())</f>
        <v>654.66580514245516</v>
      </c>
      <c r="R44" s="214">
        <f>IF((monthly_mortgage_schedule[[#This Row],[Year (Range)]]&gt;=$C$7)*(monthly_mortgage_schedule[[#This Row],[Year (Range)]]&lt;=$C$9),AO44,NA())</f>
        <v>57.74646776662712</v>
      </c>
      <c r="S44" s="214">
        <f>IF((monthly_mortgage_schedule[[#This Row],[Year (Range)]]&gt;=$C$7)*(monthly_mortgage_schedule[[#This Row],[Year (Range)]]&lt;=$C$9),AP44,NA())</f>
        <v>0</v>
      </c>
      <c r="T44" s="214">
        <f>IF((monthly_mortgage_schedule[[#This Row],[Year (Range)]]&gt;=$C$7)*(monthly_mortgage_schedule[[#This Row],[Year (Range)]]&lt;=$C$9),AR44,NA())</f>
        <v>90.821223041147732</v>
      </c>
      <c r="U44" s="214">
        <f>IF((monthly_mortgage_schedule[[#This Row],[Year (Range)]]&gt;=$C$7)*(monthly_mortgage_schedule[[#This Row],[Year (Range)]]&lt;=$C$9),AB44,NA())</f>
        <v>17706.550061276255</v>
      </c>
      <c r="V44" s="214">
        <f>IF((monthly_mortgage_schedule[[#This Row],[Year (Range)]]&gt;=$C$7)*(monthly_mortgage_schedule[[#This Row],[Year (Range)]]&lt;=$C$9),AI44,NA())</f>
        <v>16648.803593509627</v>
      </c>
      <c r="W44" s="187">
        <f t="shared" si="2"/>
        <v>522953.02896568051</v>
      </c>
      <c r="X44" s="4">
        <f t="shared" si="6"/>
        <v>2440.4474685065093</v>
      </c>
      <c r="Y44" s="4">
        <f t="shared" si="3"/>
        <v>659.57902695689882</v>
      </c>
      <c r="Z44" s="4">
        <f>_xlfn.IFNA(INDEX(additional_mortgage_payments[],MATCH(monthly_mortgage_schedule[[#This Row],[Month]],additional_mortgage_payments[Month],0),3),0)</f>
        <v>0</v>
      </c>
      <c r="AA44" s="4">
        <f>AA43+monthly_mortgage_schedule[[#This Row],[Extra Payments Towards Equity]]</f>
        <v>1000</v>
      </c>
      <c r="AB44" s="4">
        <f>AB43+monthly_mortgage_schedule[[#This Row],[Principal With Extra Principal Payments]]+monthly_mortgage_schedule[[#This Row],[Extra Payments Towards Equity]]</f>
        <v>17706.550061276255</v>
      </c>
      <c r="AC44" s="4">
        <f>monthly_mortgage_schedule[[#This Row],[Cumulative Principal With Extra Principal Payments]]+down_payment_dollars</f>
        <v>77706.550061276255</v>
      </c>
      <c r="AD44" s="200">
        <f t="shared" si="0"/>
        <v>90</v>
      </c>
      <c r="AE4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522293.44993872358</v>
      </c>
      <c r="AF44" s="187">
        <f t="shared" si="7"/>
        <v>524005.86221163278</v>
      </c>
      <c r="AG44" s="4">
        <f>IF(monthly_mortgage_schedule[[#This Row],[Loan Balance (BOY) Without Extra Principal Payments]]&gt;0,monthly_mortgage_schedule[[#This Row],[Loan Balance (BOY) Without Extra Principal Payments]]*monthly_interest_rate,0)</f>
        <v>2445.3606903209529</v>
      </c>
      <c r="AH44" s="4">
        <f>IF(monthly_mortgage_schedule[[#This Row],[Loan Balance (BOY) Without Extra Principal Payments]]&gt;1,monthly_principal_and_interest-monthly_mortgage_schedule[[#This Row],[Interest Without Extra Principal Payments]],0)</f>
        <v>654.66580514245516</v>
      </c>
      <c r="AI44" s="4">
        <f>AI43+monthly_mortgage_schedule[[#This Row],[Principal Without Extra Principal Payments]]</f>
        <v>16648.803593509627</v>
      </c>
      <c r="AJ44" s="4">
        <f>monthly_mortgage_schedule[[#This Row],[Cumulative Principal Without Extra Principal Payments]]+down_payment_dollars</f>
        <v>76648.803593509627</v>
      </c>
      <c r="AK44" s="200">
        <f t="shared" si="1"/>
        <v>90</v>
      </c>
      <c r="AL4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523351.19640649034</v>
      </c>
      <c r="AN44" s="196">
        <f>monthly_mortgage_schedule[[#This Row],[Extra Payments Towards Equity]]+AN43+IF(monthly_mortgage_schedule[[#This Row],[Interest With Extra Principal Payments]]&gt;0,monthly_mortgage_schedule[[#This Row],[Interest Without Extra Principal Payments]]-monthly_mortgage_schedule[[#This Row],[Interest With Extra Principal Payments]],0)</f>
        <v>1057.7464677666271</v>
      </c>
      <c r="AO44" s="4">
        <f>AO43+IF(monthly_mortgage_schedule[[#This Row],[Interest With Extra Principal Payments]]&gt;0,monthly_mortgage_schedule[[#This Row],[Interest Without Extra Principal Payments]]-monthly_mortgage_schedule[[#This Row],[Interest With Extra Principal Payments]],0)</f>
        <v>57.74646776662712</v>
      </c>
      <c r="AP44" s="4">
        <f>AP43+monthly_mortgage_schedule[[#This Row],[PMI Without Extra Principal Payments]]-monthly_mortgage_schedule[[#This Row],[PMI with Additional Payments]]</f>
        <v>0</v>
      </c>
      <c r="AQ44" s="4">
        <f t="shared" si="4"/>
        <v>1090.8212230411477</v>
      </c>
      <c r="AR44" s="4">
        <f>Table60[[#This Row],[Cumulative Investments]]-monthly_mortgage_schedule[[#This Row],[Cumulative Extra Payments Towards Equity]]</f>
        <v>90.821223041147732</v>
      </c>
    </row>
    <row r="45" spans="9:46" x14ac:dyDescent="0.25">
      <c r="I45">
        <v>28</v>
      </c>
      <c r="J45">
        <f>IF(MOD(ROWS($J$18:J44),12)=0,J44+1,J44)</f>
        <v>2024</v>
      </c>
      <c r="K45" s="198">
        <f>IF(M45="#N/A",NA(),monthly_mortgage_schedule[[#This Row],[Month]])</f>
        <v>28</v>
      </c>
      <c r="L45" s="198">
        <f>IF(monthly_mortgage_schedule[[#This Row],[Calendar Year]]&gt;=$C$7,monthly_mortgage_schedule[[#This Row],[Calendar Year]],NA())</f>
        <v>2024</v>
      </c>
      <c r="M45" s="199">
        <f>IF((monthly_mortgage_schedule[[#This Row],[Calendar Year]]&gt;=$C$7)*(monthly_mortgage_schedule[[#This Row],[Calendar Year]]&lt;=$C$9),monthly_mortgage_schedule[[#This Row],[Begin Year (Range)]],NA())</f>
        <v>2024</v>
      </c>
      <c r="N45" s="214">
        <f>IF((monthly_mortgage_schedule[[#This Row],[Year (Range)]]&gt;=$C$7)*(monthly_mortgage_schedule[[#This Row],[Year (Range)]]&lt;=$C$9),X45,NA())</f>
        <v>2437.3694330473768</v>
      </c>
      <c r="O45" s="214">
        <f>IF((monthly_mortgage_schedule[[#This Row],[Year (Range)]]&gt;=$C$7)*(monthly_mortgage_schedule[[#This Row],[Year (Range)]]&lt;=$C$9),Y45,NA())</f>
        <v>662.65706241603129</v>
      </c>
      <c r="P45" s="214">
        <f>IF((monthly_mortgage_schedule[[#This Row],[Year (Range)]]&gt;=$C$7)*(monthly_mortgage_schedule[[#This Row],[Year (Range)]]&lt;=$C$9),AG45,NA())</f>
        <v>2442.3055832302884</v>
      </c>
      <c r="Q45" s="214">
        <f>IF((monthly_mortgage_schedule[[#This Row],[Year (Range)]]&gt;=$C$7)*(monthly_mortgage_schedule[[#This Row],[Year (Range)]]&lt;=$C$9),AH45,NA())</f>
        <v>657.72091223311963</v>
      </c>
      <c r="R45" s="214">
        <f>IF((monthly_mortgage_schedule[[#This Row],[Year (Range)]]&gt;=$C$7)*(monthly_mortgage_schedule[[#This Row],[Year (Range)]]&lt;=$C$9),AO45,NA())</f>
        <v>62.682617949538781</v>
      </c>
      <c r="S45" s="214">
        <f>IF((monthly_mortgage_schedule[[#This Row],[Year (Range)]]&gt;=$C$7)*(monthly_mortgage_schedule[[#This Row],[Year (Range)]]&lt;=$C$9),AP45,NA())</f>
        <v>0</v>
      </c>
      <c r="T45" s="214">
        <f>IF((monthly_mortgage_schedule[[#This Row],[Year (Range)]]&gt;=$C$7)*(monthly_mortgage_schedule[[#This Row],[Year (Range)]]&lt;=$C$9),AR45,NA())</f>
        <v>98.093364528088614</v>
      </c>
      <c r="U45" s="214">
        <f>IF((monthly_mortgage_schedule[[#This Row],[Year (Range)]]&gt;=$C$7)*(monthly_mortgage_schedule[[#This Row],[Year (Range)]]&lt;=$C$9),AB45,NA())</f>
        <v>18369.207123692286</v>
      </c>
      <c r="V45" s="214">
        <f>IF((monthly_mortgage_schedule[[#This Row],[Year (Range)]]&gt;=$C$7)*(monthly_mortgage_schedule[[#This Row],[Year (Range)]]&lt;=$C$9),AI45,NA())</f>
        <v>17306.524505742746</v>
      </c>
      <c r="W45" s="187">
        <f t="shared" si="2"/>
        <v>522293.44993872358</v>
      </c>
      <c r="X45" s="4">
        <f t="shared" si="6"/>
        <v>2437.3694330473768</v>
      </c>
      <c r="Y45" s="4">
        <f t="shared" si="3"/>
        <v>662.65706241603129</v>
      </c>
      <c r="Z45" s="4">
        <f>_xlfn.IFNA(INDEX(additional_mortgage_payments[],MATCH(monthly_mortgage_schedule[[#This Row],[Month]],additional_mortgage_payments[Month],0),3),0)</f>
        <v>0</v>
      </c>
      <c r="AA45" s="4">
        <f>AA44+monthly_mortgage_schedule[[#This Row],[Extra Payments Towards Equity]]</f>
        <v>1000</v>
      </c>
      <c r="AB45" s="4">
        <f>AB44+monthly_mortgage_schedule[[#This Row],[Principal With Extra Principal Payments]]+monthly_mortgage_schedule[[#This Row],[Extra Payments Towards Equity]]</f>
        <v>18369.207123692286</v>
      </c>
      <c r="AC45" s="4">
        <f>monthly_mortgage_schedule[[#This Row],[Cumulative Principal With Extra Principal Payments]]+down_payment_dollars</f>
        <v>78369.207123692293</v>
      </c>
      <c r="AD45" s="200">
        <f t="shared" si="0"/>
        <v>90</v>
      </c>
      <c r="AE4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521630.79287630756</v>
      </c>
      <c r="AF45" s="187">
        <f t="shared" si="7"/>
        <v>523351.19640649034</v>
      </c>
      <c r="AG45" s="4">
        <f>IF(monthly_mortgage_schedule[[#This Row],[Loan Balance (BOY) Without Extra Principal Payments]]&gt;0,monthly_mortgage_schedule[[#This Row],[Loan Balance (BOY) Without Extra Principal Payments]]*monthly_interest_rate,0)</f>
        <v>2442.3055832302884</v>
      </c>
      <c r="AH45" s="4">
        <f>IF(monthly_mortgage_schedule[[#This Row],[Loan Balance (BOY) Without Extra Principal Payments]]&gt;1,monthly_principal_and_interest-monthly_mortgage_schedule[[#This Row],[Interest Without Extra Principal Payments]],0)</f>
        <v>657.72091223311963</v>
      </c>
      <c r="AI45" s="4">
        <f>AI44+monthly_mortgage_schedule[[#This Row],[Principal Without Extra Principal Payments]]</f>
        <v>17306.524505742746</v>
      </c>
      <c r="AJ45" s="4">
        <f>monthly_mortgage_schedule[[#This Row],[Cumulative Principal Without Extra Principal Payments]]+down_payment_dollars</f>
        <v>77306.524505742738</v>
      </c>
      <c r="AK45" s="200">
        <f t="shared" si="1"/>
        <v>90</v>
      </c>
      <c r="AL4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522693.47549425723</v>
      </c>
      <c r="AN45" s="196">
        <f>monthly_mortgage_schedule[[#This Row],[Extra Payments Towards Equity]]+AN44+IF(monthly_mortgage_schedule[[#This Row],[Interest With Extra Principal Payments]]&gt;0,monthly_mortgage_schedule[[#This Row],[Interest Without Extra Principal Payments]]-monthly_mortgage_schedule[[#This Row],[Interest With Extra Principal Payments]],0)</f>
        <v>1062.6826179495388</v>
      </c>
      <c r="AO45" s="4">
        <f>AO44+IF(monthly_mortgage_schedule[[#This Row],[Interest With Extra Principal Payments]]&gt;0,monthly_mortgage_schedule[[#This Row],[Interest Without Extra Principal Payments]]-monthly_mortgage_schedule[[#This Row],[Interest With Extra Principal Payments]],0)</f>
        <v>62.682617949538781</v>
      </c>
      <c r="AP45" s="4">
        <f>AP44+monthly_mortgage_schedule[[#This Row],[PMI Without Extra Principal Payments]]-monthly_mortgage_schedule[[#This Row],[PMI with Additional Payments]]</f>
        <v>0</v>
      </c>
      <c r="AQ45" s="4">
        <f t="shared" si="4"/>
        <v>1098.0933645280886</v>
      </c>
      <c r="AR45" s="4">
        <f>Table60[[#This Row],[Cumulative Investments]]-monthly_mortgage_schedule[[#This Row],[Cumulative Extra Payments Towards Equity]]</f>
        <v>98.093364528088614</v>
      </c>
    </row>
    <row r="46" spans="9:46" x14ac:dyDescent="0.25">
      <c r="I46">
        <v>29</v>
      </c>
      <c r="J46">
        <f>IF(MOD(ROWS($J$18:J45),12)=0,J45+1,J45)</f>
        <v>2024</v>
      </c>
      <c r="K46" s="198">
        <f>IF(M46="#N/A",NA(),monthly_mortgage_schedule[[#This Row],[Month]])</f>
        <v>29</v>
      </c>
      <c r="L46" s="198">
        <f>IF(monthly_mortgage_schedule[[#This Row],[Calendar Year]]&gt;=$C$7,monthly_mortgage_schedule[[#This Row],[Calendar Year]],NA())</f>
        <v>2024</v>
      </c>
      <c r="M46" s="199">
        <f>IF((monthly_mortgage_schedule[[#This Row],[Calendar Year]]&gt;=$C$7)*(monthly_mortgage_schedule[[#This Row],[Calendar Year]]&lt;=$C$9),monthly_mortgage_schedule[[#This Row],[Begin Year (Range)]],NA())</f>
        <v>2024</v>
      </c>
      <c r="N46" s="214">
        <f>IF((monthly_mortgage_schedule[[#This Row],[Year (Range)]]&gt;=$C$7)*(monthly_mortgage_schedule[[#This Row],[Year (Range)]]&lt;=$C$9),X46,NA())</f>
        <v>2434.2770334227689</v>
      </c>
      <c r="O46" s="214">
        <f>IF((monthly_mortgage_schedule[[#This Row],[Year (Range)]]&gt;=$C$7)*(monthly_mortgage_schedule[[#This Row],[Year (Range)]]&lt;=$C$9),Y46,NA())</f>
        <v>665.74946204063917</v>
      </c>
      <c r="P46" s="214">
        <f>IF((monthly_mortgage_schedule[[#This Row],[Year (Range)]]&gt;=$C$7)*(monthly_mortgage_schedule[[#This Row],[Year (Range)]]&lt;=$C$9),AG46,NA())</f>
        <v>2439.2362189732007</v>
      </c>
      <c r="Q46" s="214">
        <f>IF((monthly_mortgage_schedule[[#This Row],[Year (Range)]]&gt;=$C$7)*(monthly_mortgage_schedule[[#This Row],[Year (Range)]]&lt;=$C$9),AH46,NA())</f>
        <v>660.79027649020736</v>
      </c>
      <c r="R46" s="214">
        <f>IF((monthly_mortgage_schedule[[#This Row],[Year (Range)]]&gt;=$C$7)*(monthly_mortgage_schedule[[#This Row],[Year (Range)]]&lt;=$C$9),AO46,NA())</f>
        <v>67.641803499970592</v>
      </c>
      <c r="S46" s="214">
        <f>IF((monthly_mortgage_schedule[[#This Row],[Year (Range)]]&gt;=$C$7)*(monthly_mortgage_schedule[[#This Row],[Year (Range)]]&lt;=$C$9),AP46,NA())</f>
        <v>0</v>
      </c>
      <c r="T46" s="214">
        <f>IF((monthly_mortgage_schedule[[#This Row],[Year (Range)]]&gt;=$C$7)*(monthly_mortgage_schedule[[#This Row],[Year (Range)]]&lt;=$C$9),AR46,NA())</f>
        <v>105.4139869582757</v>
      </c>
      <c r="U46" s="214">
        <f>IF((monthly_mortgage_schedule[[#This Row],[Year (Range)]]&gt;=$C$7)*(monthly_mortgage_schedule[[#This Row],[Year (Range)]]&lt;=$C$9),AB46,NA())</f>
        <v>19034.956585732925</v>
      </c>
      <c r="V46" s="214">
        <f>IF((monthly_mortgage_schedule[[#This Row],[Year (Range)]]&gt;=$C$7)*(monthly_mortgage_schedule[[#This Row],[Year (Range)]]&lt;=$C$9),AI46,NA())</f>
        <v>17967.314782232952</v>
      </c>
      <c r="W46" s="187">
        <f t="shared" si="2"/>
        <v>521630.79287630756</v>
      </c>
      <c r="X46" s="4">
        <f t="shared" si="6"/>
        <v>2434.2770334227689</v>
      </c>
      <c r="Y46" s="4">
        <f t="shared" si="3"/>
        <v>665.74946204063917</v>
      </c>
      <c r="Z46" s="4">
        <f>_xlfn.IFNA(INDEX(additional_mortgage_payments[],MATCH(monthly_mortgage_schedule[[#This Row],[Month]],additional_mortgage_payments[Month],0),3),0)</f>
        <v>0</v>
      </c>
      <c r="AA46" s="4">
        <f>AA45+monthly_mortgage_schedule[[#This Row],[Extra Payments Towards Equity]]</f>
        <v>1000</v>
      </c>
      <c r="AB46" s="4">
        <f>AB45+monthly_mortgage_schedule[[#This Row],[Principal With Extra Principal Payments]]+monthly_mortgage_schedule[[#This Row],[Extra Payments Towards Equity]]</f>
        <v>19034.956585732925</v>
      </c>
      <c r="AC46" s="4">
        <f>monthly_mortgage_schedule[[#This Row],[Cumulative Principal With Extra Principal Payments]]+down_payment_dollars</f>
        <v>79034.956585732929</v>
      </c>
      <c r="AD46" s="200">
        <f t="shared" si="0"/>
        <v>90</v>
      </c>
      <c r="AE4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520965.0434142669</v>
      </c>
      <c r="AF46" s="187">
        <f t="shared" si="7"/>
        <v>522693.47549425723</v>
      </c>
      <c r="AG46" s="4">
        <f>IF(monthly_mortgage_schedule[[#This Row],[Loan Balance (BOY) Without Extra Principal Payments]]&gt;0,monthly_mortgage_schedule[[#This Row],[Loan Balance (BOY) Without Extra Principal Payments]]*monthly_interest_rate,0)</f>
        <v>2439.2362189732007</v>
      </c>
      <c r="AH46" s="4">
        <f>IF(monthly_mortgage_schedule[[#This Row],[Loan Balance (BOY) Without Extra Principal Payments]]&gt;1,monthly_principal_and_interest-monthly_mortgage_schedule[[#This Row],[Interest Without Extra Principal Payments]],0)</f>
        <v>660.79027649020736</v>
      </c>
      <c r="AI46" s="4">
        <f>AI45+monthly_mortgage_schedule[[#This Row],[Principal Without Extra Principal Payments]]</f>
        <v>17967.314782232952</v>
      </c>
      <c r="AJ46" s="4">
        <f>monthly_mortgage_schedule[[#This Row],[Cumulative Principal Without Extra Principal Payments]]+down_payment_dollars</f>
        <v>77967.314782232948</v>
      </c>
      <c r="AK46" s="200">
        <f t="shared" si="1"/>
        <v>90</v>
      </c>
      <c r="AL4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522032.68521776702</v>
      </c>
      <c r="AN46" s="196">
        <f>monthly_mortgage_schedule[[#This Row],[Extra Payments Towards Equity]]+AN45+IF(monthly_mortgage_schedule[[#This Row],[Interest With Extra Principal Payments]]&gt;0,monthly_mortgage_schedule[[#This Row],[Interest Without Extra Principal Payments]]-monthly_mortgage_schedule[[#This Row],[Interest With Extra Principal Payments]],0)</f>
        <v>1067.6418034999706</v>
      </c>
      <c r="AO46" s="4">
        <f>AO45+IF(monthly_mortgage_schedule[[#This Row],[Interest With Extra Principal Payments]]&gt;0,monthly_mortgage_schedule[[#This Row],[Interest Without Extra Principal Payments]]-monthly_mortgage_schedule[[#This Row],[Interest With Extra Principal Payments]],0)</f>
        <v>67.641803499970592</v>
      </c>
      <c r="AP46" s="4">
        <f>AP45+monthly_mortgage_schedule[[#This Row],[PMI Without Extra Principal Payments]]-monthly_mortgage_schedule[[#This Row],[PMI with Additional Payments]]</f>
        <v>0</v>
      </c>
      <c r="AQ46" s="4">
        <f t="shared" si="4"/>
        <v>1105.4139869582757</v>
      </c>
      <c r="AR46" s="4">
        <f>Table60[[#This Row],[Cumulative Investments]]-monthly_mortgage_schedule[[#This Row],[Cumulative Extra Payments Towards Equity]]</f>
        <v>105.4139869582757</v>
      </c>
    </row>
    <row r="47" spans="9:46" x14ac:dyDescent="0.25">
      <c r="I47">
        <v>30</v>
      </c>
      <c r="J47">
        <f>IF(MOD(ROWS($J$18:J46),12)=0,J46+1,J46)</f>
        <v>2024</v>
      </c>
      <c r="K47" s="198">
        <f>IF(M47="#N/A",NA(),monthly_mortgage_schedule[[#This Row],[Month]])</f>
        <v>30</v>
      </c>
      <c r="L47" s="198">
        <f>IF(monthly_mortgage_schedule[[#This Row],[Calendar Year]]&gt;=$C$7,monthly_mortgage_schedule[[#This Row],[Calendar Year]],NA())</f>
        <v>2024</v>
      </c>
      <c r="M47" s="199">
        <f>IF((monthly_mortgage_schedule[[#This Row],[Calendar Year]]&gt;=$C$7)*(monthly_mortgage_schedule[[#This Row],[Calendar Year]]&lt;=$C$9),monthly_mortgage_schedule[[#This Row],[Begin Year (Range)]],NA())</f>
        <v>2024</v>
      </c>
      <c r="N47" s="214">
        <f>IF((monthly_mortgage_schedule[[#This Row],[Year (Range)]]&gt;=$C$7)*(monthly_mortgage_schedule[[#This Row],[Year (Range)]]&lt;=$C$9),X47,NA())</f>
        <v>2431.1702025999125</v>
      </c>
      <c r="O47" s="214">
        <f>IF((monthly_mortgage_schedule[[#This Row],[Year (Range)]]&gt;=$C$7)*(monthly_mortgage_schedule[[#This Row],[Year (Range)]]&lt;=$C$9),Y47,NA())</f>
        <v>668.85629286349558</v>
      </c>
      <c r="P47" s="214">
        <f>IF((monthly_mortgage_schedule[[#This Row],[Year (Range)]]&gt;=$C$7)*(monthly_mortgage_schedule[[#This Row],[Year (Range)]]&lt;=$C$9),AG47,NA())</f>
        <v>2436.1525310162465</v>
      </c>
      <c r="Q47" s="214">
        <f>IF((monthly_mortgage_schedule[[#This Row],[Year (Range)]]&gt;=$C$7)*(monthly_mortgage_schedule[[#This Row],[Year (Range)]]&lt;=$C$9),AH47,NA())</f>
        <v>663.8739644471616</v>
      </c>
      <c r="R47" s="214">
        <f>IF((monthly_mortgage_schedule[[#This Row],[Year (Range)]]&gt;=$C$7)*(monthly_mortgage_schedule[[#This Row],[Year (Range)]]&lt;=$C$9),AO47,NA())</f>
        <v>72.624131916304577</v>
      </c>
      <c r="S47" s="214">
        <f>IF((monthly_mortgage_schedule[[#This Row],[Year (Range)]]&gt;=$C$7)*(monthly_mortgage_schedule[[#This Row],[Year (Range)]]&lt;=$C$9),AP47,NA())</f>
        <v>0</v>
      </c>
      <c r="T47" s="214">
        <f>IF((monthly_mortgage_schedule[[#This Row],[Year (Range)]]&gt;=$C$7)*(monthly_mortgage_schedule[[#This Row],[Year (Range)]]&lt;=$C$9),AR47,NA())</f>
        <v>116.11674687133086</v>
      </c>
      <c r="U47" s="214">
        <f>IF((monthly_mortgage_schedule[[#This Row],[Year (Range)]]&gt;=$C$7)*(monthly_mortgage_schedule[[#This Row],[Year (Range)]]&lt;=$C$9),AB47,NA())</f>
        <v>20203.812878596422</v>
      </c>
      <c r="V47" s="214">
        <f>IF((monthly_mortgage_schedule[[#This Row],[Year (Range)]]&gt;=$C$7)*(monthly_mortgage_schedule[[#This Row],[Year (Range)]]&lt;=$C$9),AI47,NA())</f>
        <v>18631.188746680113</v>
      </c>
      <c r="W47" s="187">
        <f t="shared" si="2"/>
        <v>520965.0434142669</v>
      </c>
      <c r="X47" s="4">
        <f t="shared" si="6"/>
        <v>2431.1702025999125</v>
      </c>
      <c r="Y47" s="4">
        <f t="shared" si="3"/>
        <v>668.85629286349558</v>
      </c>
      <c r="Z47" s="4">
        <f>_xlfn.IFNA(INDEX(additional_mortgage_payments[],MATCH(monthly_mortgage_schedule[[#This Row],[Month]],additional_mortgage_payments[Month],0),3),0)</f>
        <v>500</v>
      </c>
      <c r="AA47" s="4">
        <f>AA46+monthly_mortgage_schedule[[#This Row],[Extra Payments Towards Equity]]</f>
        <v>1500</v>
      </c>
      <c r="AB47" s="4">
        <f>AB46+monthly_mortgage_schedule[[#This Row],[Principal With Extra Principal Payments]]+monthly_mortgage_schedule[[#This Row],[Extra Payments Towards Equity]]</f>
        <v>20203.812878596422</v>
      </c>
      <c r="AC47" s="4">
        <f>monthly_mortgage_schedule[[#This Row],[Cumulative Principal With Extra Principal Payments]]+down_payment_dollars</f>
        <v>80203.812878596422</v>
      </c>
      <c r="AD47" s="200">
        <f t="shared" si="0"/>
        <v>90</v>
      </c>
      <c r="AE4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519796.1871214034</v>
      </c>
      <c r="AF47" s="187">
        <f t="shared" si="7"/>
        <v>522032.68521776702</v>
      </c>
      <c r="AG47" s="4">
        <f>IF(monthly_mortgage_schedule[[#This Row],[Loan Balance (BOY) Without Extra Principal Payments]]&gt;0,monthly_mortgage_schedule[[#This Row],[Loan Balance (BOY) Without Extra Principal Payments]]*monthly_interest_rate,0)</f>
        <v>2436.1525310162465</v>
      </c>
      <c r="AH47" s="4">
        <f>IF(monthly_mortgage_schedule[[#This Row],[Loan Balance (BOY) Without Extra Principal Payments]]&gt;1,monthly_principal_and_interest-monthly_mortgage_schedule[[#This Row],[Interest Without Extra Principal Payments]],0)</f>
        <v>663.8739644471616</v>
      </c>
      <c r="AI47" s="4">
        <f>AI46+monthly_mortgage_schedule[[#This Row],[Principal Without Extra Principal Payments]]</f>
        <v>18631.188746680113</v>
      </c>
      <c r="AJ47" s="4">
        <f>monthly_mortgage_schedule[[#This Row],[Cumulative Principal Without Extra Principal Payments]]+down_payment_dollars</f>
        <v>78631.188746680113</v>
      </c>
      <c r="AK47" s="200">
        <f t="shared" si="1"/>
        <v>90</v>
      </c>
      <c r="AL4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521368.81125331984</v>
      </c>
      <c r="AN47" s="196">
        <f>monthly_mortgage_schedule[[#This Row],[Extra Payments Towards Equity]]+AN46+IF(monthly_mortgage_schedule[[#This Row],[Interest With Extra Principal Payments]]&gt;0,monthly_mortgage_schedule[[#This Row],[Interest Without Extra Principal Payments]]-monthly_mortgage_schedule[[#This Row],[Interest With Extra Principal Payments]],0)</f>
        <v>1572.6241319163046</v>
      </c>
      <c r="AO47" s="4">
        <f>AO46+IF(monthly_mortgage_schedule[[#This Row],[Interest With Extra Principal Payments]]&gt;0,monthly_mortgage_schedule[[#This Row],[Interest Without Extra Principal Payments]]-monthly_mortgage_schedule[[#This Row],[Interest With Extra Principal Payments]],0)</f>
        <v>72.624131916304577</v>
      </c>
      <c r="AP47" s="4">
        <f>AP46+monthly_mortgage_schedule[[#This Row],[PMI Without Extra Principal Payments]]-monthly_mortgage_schedule[[#This Row],[PMI with Additional Payments]]</f>
        <v>0</v>
      </c>
      <c r="AQ47" s="4">
        <f t="shared" si="4"/>
        <v>1616.1167468713309</v>
      </c>
      <c r="AR47" s="4">
        <f>Table60[[#This Row],[Cumulative Investments]]-monthly_mortgage_schedule[[#This Row],[Cumulative Extra Payments Towards Equity]]</f>
        <v>116.11674687133086</v>
      </c>
    </row>
    <row r="48" spans="9:46" x14ac:dyDescent="0.25">
      <c r="I48">
        <v>31</v>
      </c>
      <c r="J48">
        <f>IF(MOD(ROWS($J$18:J47),12)=0,J47+1,J47)</f>
        <v>2024</v>
      </c>
      <c r="K48" s="198">
        <f>IF(M48="#N/A",NA(),monthly_mortgage_schedule[[#This Row],[Month]])</f>
        <v>31</v>
      </c>
      <c r="L48" s="198">
        <f>IF(monthly_mortgage_schedule[[#This Row],[Calendar Year]]&gt;=$C$7,monthly_mortgage_schedule[[#This Row],[Calendar Year]],NA())</f>
        <v>2024</v>
      </c>
      <c r="M48" s="199">
        <f>IF((monthly_mortgage_schedule[[#This Row],[Calendar Year]]&gt;=$C$7)*(monthly_mortgage_schedule[[#This Row],[Calendar Year]]&lt;=$C$9),monthly_mortgage_schedule[[#This Row],[Begin Year (Range)]],NA())</f>
        <v>2024</v>
      </c>
      <c r="N48" s="214">
        <f>IF((monthly_mortgage_schedule[[#This Row],[Year (Range)]]&gt;=$C$7)*(monthly_mortgage_schedule[[#This Row],[Year (Range)]]&lt;=$C$9),X48,NA())</f>
        <v>2425.715539899883</v>
      </c>
      <c r="O48" s="214">
        <f>IF((monthly_mortgage_schedule[[#This Row],[Year (Range)]]&gt;=$C$7)*(monthly_mortgage_schedule[[#This Row],[Year (Range)]]&lt;=$C$9),Y48,NA())</f>
        <v>674.31095556352511</v>
      </c>
      <c r="P48" s="214">
        <f>IF((monthly_mortgage_schedule[[#This Row],[Year (Range)]]&gt;=$C$7)*(monthly_mortgage_schedule[[#This Row],[Year (Range)]]&lt;=$C$9),AG48,NA())</f>
        <v>2433.0544525154928</v>
      </c>
      <c r="Q48" s="214">
        <f>IF((monthly_mortgage_schedule[[#This Row],[Year (Range)]]&gt;=$C$7)*(monthly_mortgage_schedule[[#This Row],[Year (Range)]]&lt;=$C$9),AH48,NA())</f>
        <v>666.97204294791527</v>
      </c>
      <c r="R48" s="214">
        <f>IF((monthly_mortgage_schedule[[#This Row],[Year (Range)]]&gt;=$C$7)*(monthly_mortgage_schedule[[#This Row],[Year (Range)]]&lt;=$C$9),AO48,NA())</f>
        <v>79.96304453191442</v>
      </c>
      <c r="S48" s="214">
        <f>IF((monthly_mortgage_schedule[[#This Row],[Year (Range)]]&gt;=$C$7)*(monthly_mortgage_schedule[[#This Row],[Year (Range)]]&lt;=$C$9),AP48,NA())</f>
        <v>0</v>
      </c>
      <c r="T48" s="214">
        <f>IF((monthly_mortgage_schedule[[#This Row],[Year (Range)]]&gt;=$C$7)*(monthly_mortgage_schedule[[#This Row],[Year (Range)]]&lt;=$C$9),AR48,NA())</f>
        <v>126.89085851713958</v>
      </c>
      <c r="U48" s="214">
        <f>IF((monthly_mortgage_schedule[[#This Row],[Year (Range)]]&gt;=$C$7)*(monthly_mortgage_schedule[[#This Row],[Year (Range)]]&lt;=$C$9),AB48,NA())</f>
        <v>20878.123834159946</v>
      </c>
      <c r="V48" s="214">
        <f>IF((monthly_mortgage_schedule[[#This Row],[Year (Range)]]&gt;=$C$7)*(monthly_mortgage_schedule[[#This Row],[Year (Range)]]&lt;=$C$9),AI48,NA())</f>
        <v>19298.160789628029</v>
      </c>
      <c r="W48" s="187">
        <f t="shared" si="2"/>
        <v>519796.1871214034</v>
      </c>
      <c r="X48" s="4">
        <f t="shared" si="6"/>
        <v>2425.715539899883</v>
      </c>
      <c r="Y48" s="4">
        <f t="shared" si="3"/>
        <v>674.31095556352511</v>
      </c>
      <c r="Z48" s="4">
        <f>_xlfn.IFNA(INDEX(additional_mortgage_payments[],MATCH(monthly_mortgage_schedule[[#This Row],[Month]],additional_mortgage_payments[Month],0),3),0)</f>
        <v>0</v>
      </c>
      <c r="AA48" s="4">
        <f>AA47+monthly_mortgage_schedule[[#This Row],[Extra Payments Towards Equity]]</f>
        <v>1500</v>
      </c>
      <c r="AB48" s="4">
        <f>AB47+monthly_mortgage_schedule[[#This Row],[Principal With Extra Principal Payments]]+monthly_mortgage_schedule[[#This Row],[Extra Payments Towards Equity]]</f>
        <v>20878.123834159946</v>
      </c>
      <c r="AC48" s="4">
        <f>monthly_mortgage_schedule[[#This Row],[Cumulative Principal With Extra Principal Payments]]+down_payment_dollars</f>
        <v>80878.123834159953</v>
      </c>
      <c r="AD48" s="200">
        <f t="shared" si="0"/>
        <v>90</v>
      </c>
      <c r="AE4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519121.8761658399</v>
      </c>
      <c r="AF48" s="187">
        <f t="shared" si="7"/>
        <v>521368.81125331984</v>
      </c>
      <c r="AG48" s="4">
        <f>IF(monthly_mortgage_schedule[[#This Row],[Loan Balance (BOY) Without Extra Principal Payments]]&gt;0,monthly_mortgage_schedule[[#This Row],[Loan Balance (BOY) Without Extra Principal Payments]]*monthly_interest_rate,0)</f>
        <v>2433.0544525154928</v>
      </c>
      <c r="AH48" s="4">
        <f>IF(monthly_mortgage_schedule[[#This Row],[Loan Balance (BOY) Without Extra Principal Payments]]&gt;1,monthly_principal_and_interest-monthly_mortgage_schedule[[#This Row],[Interest Without Extra Principal Payments]],0)</f>
        <v>666.97204294791527</v>
      </c>
      <c r="AI48" s="4">
        <f>AI47+monthly_mortgage_schedule[[#This Row],[Principal Without Extra Principal Payments]]</f>
        <v>19298.160789628029</v>
      </c>
      <c r="AJ48" s="4">
        <f>monthly_mortgage_schedule[[#This Row],[Cumulative Principal Without Extra Principal Payments]]+down_payment_dollars</f>
        <v>79298.160789628033</v>
      </c>
      <c r="AK48" s="200">
        <f t="shared" si="1"/>
        <v>90</v>
      </c>
      <c r="AL4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520701.83921037195</v>
      </c>
      <c r="AN48" s="196">
        <f>monthly_mortgage_schedule[[#This Row],[Extra Payments Towards Equity]]+AN47+IF(monthly_mortgage_schedule[[#This Row],[Interest With Extra Principal Payments]]&gt;0,monthly_mortgage_schedule[[#This Row],[Interest Without Extra Principal Payments]]-monthly_mortgage_schedule[[#This Row],[Interest With Extra Principal Payments]],0)</f>
        <v>1579.9630445319144</v>
      </c>
      <c r="AO48" s="4">
        <f>AO47+IF(monthly_mortgage_schedule[[#This Row],[Interest With Extra Principal Payments]]&gt;0,monthly_mortgage_schedule[[#This Row],[Interest Without Extra Principal Payments]]-monthly_mortgage_schedule[[#This Row],[Interest With Extra Principal Payments]],0)</f>
        <v>79.96304453191442</v>
      </c>
      <c r="AP48" s="4">
        <f>AP47+monthly_mortgage_schedule[[#This Row],[PMI Without Extra Principal Payments]]-monthly_mortgage_schedule[[#This Row],[PMI with Additional Payments]]</f>
        <v>0</v>
      </c>
      <c r="AQ48" s="4">
        <f t="shared" si="4"/>
        <v>1626.8908585171396</v>
      </c>
      <c r="AR48" s="4">
        <f>Table60[[#This Row],[Cumulative Investments]]-monthly_mortgage_schedule[[#This Row],[Cumulative Extra Payments Towards Equity]]</f>
        <v>126.89085851713958</v>
      </c>
    </row>
    <row r="49" spans="9:47" x14ac:dyDescent="0.25">
      <c r="I49">
        <v>32</v>
      </c>
      <c r="J49">
        <f>IF(MOD(ROWS($J$18:J48),12)=0,J48+1,J48)</f>
        <v>2024</v>
      </c>
      <c r="K49" s="198">
        <f>IF(M49="#N/A",NA(),monthly_mortgage_schedule[[#This Row],[Month]])</f>
        <v>32</v>
      </c>
      <c r="L49" s="198">
        <f>IF(monthly_mortgage_schedule[[#This Row],[Calendar Year]]&gt;=$C$7,monthly_mortgage_schedule[[#This Row],[Calendar Year]],NA())</f>
        <v>2024</v>
      </c>
      <c r="M49" s="199">
        <f>IF((monthly_mortgage_schedule[[#This Row],[Calendar Year]]&gt;=$C$7)*(monthly_mortgage_schedule[[#This Row],[Calendar Year]]&lt;=$C$9),monthly_mortgage_schedule[[#This Row],[Begin Year (Range)]],NA())</f>
        <v>2024</v>
      </c>
      <c r="N49" s="214">
        <f>IF((monthly_mortgage_schedule[[#This Row],[Year (Range)]]&gt;=$C$7)*(monthly_mortgage_schedule[[#This Row],[Year (Range)]]&lt;=$C$9),X49,NA())</f>
        <v>2422.5687554405863</v>
      </c>
      <c r="O49" s="214">
        <f>IF((monthly_mortgage_schedule[[#This Row],[Year (Range)]]&gt;=$C$7)*(monthly_mortgage_schedule[[#This Row],[Year (Range)]]&lt;=$C$9),Y49,NA())</f>
        <v>677.45774002282178</v>
      </c>
      <c r="P49" s="214">
        <f>IF((monthly_mortgage_schedule[[#This Row],[Year (Range)]]&gt;=$C$7)*(monthly_mortgage_schedule[[#This Row],[Year (Range)]]&lt;=$C$9),AG49,NA())</f>
        <v>2429.9419163150692</v>
      </c>
      <c r="Q49" s="214">
        <f>IF((monthly_mortgage_schedule[[#This Row],[Year (Range)]]&gt;=$C$7)*(monthly_mortgage_schedule[[#This Row],[Year (Range)]]&lt;=$C$9),AH49,NA())</f>
        <v>670.08457914833889</v>
      </c>
      <c r="R49" s="214">
        <f>IF((monthly_mortgage_schedule[[#This Row],[Year (Range)]]&gt;=$C$7)*(monthly_mortgage_schedule[[#This Row],[Year (Range)]]&lt;=$C$9),AO49,NA())</f>
        <v>87.336205406397312</v>
      </c>
      <c r="S49" s="214">
        <f>IF((monthly_mortgage_schedule[[#This Row],[Year (Range)]]&gt;=$C$7)*(monthly_mortgage_schedule[[#This Row],[Year (Range)]]&lt;=$C$9),AP49,NA())</f>
        <v>0</v>
      </c>
      <c r="T49" s="214">
        <f>IF((monthly_mortgage_schedule[[#This Row],[Year (Range)]]&gt;=$C$7)*(monthly_mortgage_schedule[[#This Row],[Year (Range)]]&lt;=$C$9),AR49,NA())</f>
        <v>137.73679757392028</v>
      </c>
      <c r="U49" s="214">
        <f>IF((monthly_mortgage_schedule[[#This Row],[Year (Range)]]&gt;=$C$7)*(monthly_mortgage_schedule[[#This Row],[Year (Range)]]&lt;=$C$9),AB49,NA())</f>
        <v>21555.581574182768</v>
      </c>
      <c r="V49" s="214">
        <f>IF((monthly_mortgage_schedule[[#This Row],[Year (Range)]]&gt;=$C$7)*(monthly_mortgage_schedule[[#This Row],[Year (Range)]]&lt;=$C$9),AI49,NA())</f>
        <v>19968.24536877637</v>
      </c>
      <c r="W49" s="187">
        <f t="shared" si="2"/>
        <v>519121.8761658399</v>
      </c>
      <c r="X49" s="4">
        <f t="shared" si="6"/>
        <v>2422.5687554405863</v>
      </c>
      <c r="Y49" s="4">
        <f t="shared" si="3"/>
        <v>677.45774002282178</v>
      </c>
      <c r="Z49" s="4">
        <f>_xlfn.IFNA(INDEX(additional_mortgage_payments[],MATCH(monthly_mortgage_schedule[[#This Row],[Month]],additional_mortgage_payments[Month],0),3),0)</f>
        <v>0</v>
      </c>
      <c r="AA49" s="4">
        <f>AA48+monthly_mortgage_schedule[[#This Row],[Extra Payments Towards Equity]]</f>
        <v>1500</v>
      </c>
      <c r="AB49" s="4">
        <f>AB48+monthly_mortgage_schedule[[#This Row],[Principal With Extra Principal Payments]]+monthly_mortgage_schedule[[#This Row],[Extra Payments Towards Equity]]</f>
        <v>21555.581574182768</v>
      </c>
      <c r="AC49" s="4">
        <f>monthly_mortgage_schedule[[#This Row],[Cumulative Principal With Extra Principal Payments]]+down_payment_dollars</f>
        <v>81555.581574182768</v>
      </c>
      <c r="AD49" s="200">
        <f t="shared" si="0"/>
        <v>90</v>
      </c>
      <c r="AE4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518444.4184258171</v>
      </c>
      <c r="AF49" s="187">
        <f t="shared" si="7"/>
        <v>520701.83921037195</v>
      </c>
      <c r="AG49" s="4">
        <f>IF(monthly_mortgage_schedule[[#This Row],[Loan Balance (BOY) Without Extra Principal Payments]]&gt;0,monthly_mortgage_schedule[[#This Row],[Loan Balance (BOY) Without Extra Principal Payments]]*monthly_interest_rate,0)</f>
        <v>2429.9419163150692</v>
      </c>
      <c r="AH49" s="4">
        <f>IF(monthly_mortgage_schedule[[#This Row],[Loan Balance (BOY) Without Extra Principal Payments]]&gt;1,monthly_principal_and_interest-monthly_mortgage_schedule[[#This Row],[Interest Without Extra Principal Payments]],0)</f>
        <v>670.08457914833889</v>
      </c>
      <c r="AI49" s="4">
        <f>AI48+monthly_mortgage_schedule[[#This Row],[Principal Without Extra Principal Payments]]</f>
        <v>19968.24536877637</v>
      </c>
      <c r="AJ49" s="4">
        <f>monthly_mortgage_schedule[[#This Row],[Cumulative Principal Without Extra Principal Payments]]+down_payment_dollars</f>
        <v>79968.245368776377</v>
      </c>
      <c r="AK49" s="200">
        <f t="shared" si="1"/>
        <v>90</v>
      </c>
      <c r="AL4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520031.75463122362</v>
      </c>
      <c r="AN49" s="196">
        <f>monthly_mortgage_schedule[[#This Row],[Extra Payments Towards Equity]]+AN48+IF(monthly_mortgage_schedule[[#This Row],[Interest With Extra Principal Payments]]&gt;0,monthly_mortgage_schedule[[#This Row],[Interest Without Extra Principal Payments]]-monthly_mortgage_schedule[[#This Row],[Interest With Extra Principal Payments]],0)</f>
        <v>1587.3362054063973</v>
      </c>
      <c r="AO49" s="4">
        <f>AO48+IF(monthly_mortgage_schedule[[#This Row],[Interest With Extra Principal Payments]]&gt;0,monthly_mortgage_schedule[[#This Row],[Interest Without Extra Principal Payments]]-monthly_mortgage_schedule[[#This Row],[Interest With Extra Principal Payments]],0)</f>
        <v>87.336205406397312</v>
      </c>
      <c r="AP49" s="4">
        <f>AP48+monthly_mortgage_schedule[[#This Row],[PMI Without Extra Principal Payments]]-monthly_mortgage_schedule[[#This Row],[PMI with Additional Payments]]</f>
        <v>0</v>
      </c>
      <c r="AQ49" s="4">
        <f t="shared" si="4"/>
        <v>1637.7367975739203</v>
      </c>
      <c r="AR49" s="4">
        <f>Table60[[#This Row],[Cumulative Investments]]-monthly_mortgage_schedule[[#This Row],[Cumulative Extra Payments Towards Equity]]</f>
        <v>137.73679757392028</v>
      </c>
    </row>
    <row r="50" spans="9:47" x14ac:dyDescent="0.25">
      <c r="I50">
        <v>33</v>
      </c>
      <c r="J50">
        <f>IF(MOD(ROWS($J$18:J49),12)=0,J49+1,J49)</f>
        <v>2024</v>
      </c>
      <c r="K50" s="198">
        <f>IF(M50="#N/A",NA(),monthly_mortgage_schedule[[#This Row],[Month]])</f>
        <v>33</v>
      </c>
      <c r="L50" s="198">
        <f>IF(monthly_mortgage_schedule[[#This Row],[Calendar Year]]&gt;=$C$7,monthly_mortgage_schedule[[#This Row],[Calendar Year]],NA())</f>
        <v>2024</v>
      </c>
      <c r="M50" s="199">
        <f>IF((monthly_mortgage_schedule[[#This Row],[Calendar Year]]&gt;=$C$7)*(monthly_mortgage_schedule[[#This Row],[Calendar Year]]&lt;=$C$9),monthly_mortgage_schedule[[#This Row],[Begin Year (Range)]],NA())</f>
        <v>2024</v>
      </c>
      <c r="N50" s="214">
        <f>IF((monthly_mortgage_schedule[[#This Row],[Year (Range)]]&gt;=$C$7)*(monthly_mortgage_schedule[[#This Row],[Year (Range)]]&lt;=$C$9),X50,NA())</f>
        <v>2419.4072859871467</v>
      </c>
      <c r="O50" s="214">
        <f>IF((monthly_mortgage_schedule[[#This Row],[Year (Range)]]&gt;=$C$7)*(monthly_mortgage_schedule[[#This Row],[Year (Range)]]&lt;=$C$9),Y50,NA())</f>
        <v>680.6192094762614</v>
      </c>
      <c r="P50" s="214">
        <f>IF((monthly_mortgage_schedule[[#This Row],[Year (Range)]]&gt;=$C$7)*(monthly_mortgage_schedule[[#This Row],[Year (Range)]]&lt;=$C$9),AG50,NA())</f>
        <v>2426.8148549457105</v>
      </c>
      <c r="Q50" s="214">
        <f>IF((monthly_mortgage_schedule[[#This Row],[Year (Range)]]&gt;=$C$7)*(monthly_mortgage_schedule[[#This Row],[Year (Range)]]&lt;=$C$9),AH50,NA())</f>
        <v>673.21164051769756</v>
      </c>
      <c r="R50" s="214">
        <f>IF((monthly_mortgage_schedule[[#This Row],[Year (Range)]]&gt;=$C$7)*(monthly_mortgage_schedule[[#This Row],[Year (Range)]]&lt;=$C$9),AO50,NA())</f>
        <v>94.743774364961155</v>
      </c>
      <c r="S50" s="214">
        <f>IF((monthly_mortgage_schedule[[#This Row],[Year (Range)]]&gt;=$C$7)*(monthly_mortgage_schedule[[#This Row],[Year (Range)]]&lt;=$C$9),AP50,NA())</f>
        <v>0</v>
      </c>
      <c r="T50" s="214">
        <f>IF((monthly_mortgage_schedule[[#This Row],[Year (Range)]]&gt;=$C$7)*(monthly_mortgage_schedule[[#This Row],[Year (Range)]]&lt;=$C$9),AR50,NA())</f>
        <v>148.65504289107957</v>
      </c>
      <c r="U50" s="214">
        <f>IF((monthly_mortgage_schedule[[#This Row],[Year (Range)]]&gt;=$C$7)*(monthly_mortgage_schedule[[#This Row],[Year (Range)]]&lt;=$C$9),AB50,NA())</f>
        <v>22236.200783659031</v>
      </c>
      <c r="V50" s="214">
        <f>IF((monthly_mortgage_schedule[[#This Row],[Year (Range)]]&gt;=$C$7)*(monthly_mortgage_schedule[[#This Row],[Year (Range)]]&lt;=$C$9),AI50,NA())</f>
        <v>20641.457009294067</v>
      </c>
      <c r="W50" s="187">
        <f t="shared" si="2"/>
        <v>518444.4184258171</v>
      </c>
      <c r="X50" s="4">
        <f t="shared" si="6"/>
        <v>2419.4072859871467</v>
      </c>
      <c r="Y50" s="4">
        <f t="shared" si="3"/>
        <v>680.6192094762614</v>
      </c>
      <c r="Z50" s="4">
        <f>_xlfn.IFNA(INDEX(additional_mortgage_payments[],MATCH(monthly_mortgage_schedule[[#This Row],[Month]],additional_mortgage_payments[Month],0),3),0)</f>
        <v>0</v>
      </c>
      <c r="AA50" s="4">
        <f>AA49+monthly_mortgage_schedule[[#This Row],[Extra Payments Towards Equity]]</f>
        <v>1500</v>
      </c>
      <c r="AB50" s="4">
        <f>AB49+monthly_mortgage_schedule[[#This Row],[Principal With Extra Principal Payments]]+monthly_mortgage_schedule[[#This Row],[Extra Payments Towards Equity]]</f>
        <v>22236.200783659031</v>
      </c>
      <c r="AC50" s="4">
        <f>monthly_mortgage_schedule[[#This Row],[Cumulative Principal With Extra Principal Payments]]+down_payment_dollars</f>
        <v>82236.200783659035</v>
      </c>
      <c r="AD50" s="200">
        <f t="shared" si="0"/>
        <v>90</v>
      </c>
      <c r="AE5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517763.79921634082</v>
      </c>
      <c r="AF50" s="187">
        <f t="shared" si="7"/>
        <v>520031.75463122362</v>
      </c>
      <c r="AG50" s="4">
        <f>IF(monthly_mortgage_schedule[[#This Row],[Loan Balance (BOY) Without Extra Principal Payments]]&gt;0,monthly_mortgage_schedule[[#This Row],[Loan Balance (BOY) Without Extra Principal Payments]]*monthly_interest_rate,0)</f>
        <v>2426.8148549457105</v>
      </c>
      <c r="AH50" s="4">
        <f>IF(monthly_mortgage_schedule[[#This Row],[Loan Balance (BOY) Without Extra Principal Payments]]&gt;1,monthly_principal_and_interest-monthly_mortgage_schedule[[#This Row],[Interest Without Extra Principal Payments]],0)</f>
        <v>673.21164051769756</v>
      </c>
      <c r="AI50" s="4">
        <f>AI49+monthly_mortgage_schedule[[#This Row],[Principal Without Extra Principal Payments]]</f>
        <v>20641.457009294067</v>
      </c>
      <c r="AJ50" s="4">
        <f>monthly_mortgage_schedule[[#This Row],[Cumulative Principal Without Extra Principal Payments]]+down_payment_dollars</f>
        <v>80641.45700929407</v>
      </c>
      <c r="AK50" s="200">
        <f t="shared" si="1"/>
        <v>90</v>
      </c>
      <c r="AL5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519358.54299070593</v>
      </c>
      <c r="AN50" s="196">
        <f>monthly_mortgage_schedule[[#This Row],[Extra Payments Towards Equity]]+AN49+IF(monthly_mortgage_schedule[[#This Row],[Interest With Extra Principal Payments]]&gt;0,monthly_mortgage_schedule[[#This Row],[Interest Without Extra Principal Payments]]-monthly_mortgage_schedule[[#This Row],[Interest With Extra Principal Payments]],0)</f>
        <v>1594.7437743649612</v>
      </c>
      <c r="AO50" s="4">
        <f>AO49+IF(monthly_mortgage_schedule[[#This Row],[Interest With Extra Principal Payments]]&gt;0,monthly_mortgage_schedule[[#This Row],[Interest Without Extra Principal Payments]]-monthly_mortgage_schedule[[#This Row],[Interest With Extra Principal Payments]],0)</f>
        <v>94.743774364961155</v>
      </c>
      <c r="AP50" s="4">
        <f>AP49+monthly_mortgage_schedule[[#This Row],[PMI Without Extra Principal Payments]]-monthly_mortgage_schedule[[#This Row],[PMI with Additional Payments]]</f>
        <v>0</v>
      </c>
      <c r="AQ50" s="4">
        <f t="shared" si="4"/>
        <v>1648.6550428910796</v>
      </c>
      <c r="AR50" s="4">
        <f>Table60[[#This Row],[Cumulative Investments]]-monthly_mortgage_schedule[[#This Row],[Cumulative Extra Payments Towards Equity]]</f>
        <v>148.65504289107957</v>
      </c>
    </row>
    <row r="51" spans="9:47" x14ac:dyDescent="0.25">
      <c r="I51">
        <v>34</v>
      </c>
      <c r="J51">
        <f>IF(MOD(ROWS($J$18:J50),12)=0,J50+1,J50)</f>
        <v>2024</v>
      </c>
      <c r="K51" s="198">
        <f>IF(M51="#N/A",NA(),monthly_mortgage_schedule[[#This Row],[Month]])</f>
        <v>34</v>
      </c>
      <c r="L51" s="198">
        <f>IF(monthly_mortgage_schedule[[#This Row],[Calendar Year]]&gt;=$C$7,monthly_mortgage_schedule[[#This Row],[Calendar Year]],NA())</f>
        <v>2024</v>
      </c>
      <c r="M51" s="199">
        <f>IF((monthly_mortgage_schedule[[#This Row],[Calendar Year]]&gt;=$C$7)*(monthly_mortgage_schedule[[#This Row],[Calendar Year]]&lt;=$C$9),monthly_mortgage_schedule[[#This Row],[Begin Year (Range)]],NA())</f>
        <v>2024</v>
      </c>
      <c r="N51" s="214">
        <f>IF((monthly_mortgage_schedule[[#This Row],[Year (Range)]]&gt;=$C$7)*(monthly_mortgage_schedule[[#This Row],[Year (Range)]]&lt;=$C$9),X51,NA())</f>
        <v>2416.2310630095908</v>
      </c>
      <c r="O51" s="214">
        <f>IF((monthly_mortgage_schedule[[#This Row],[Year (Range)]]&gt;=$C$7)*(monthly_mortgage_schedule[[#This Row],[Year (Range)]]&lt;=$C$9),Y51,NA())</f>
        <v>683.79543245381728</v>
      </c>
      <c r="P51" s="214">
        <f>IF((monthly_mortgage_schedule[[#This Row],[Year (Range)]]&gt;=$C$7)*(monthly_mortgage_schedule[[#This Row],[Year (Range)]]&lt;=$C$9),AG51,NA())</f>
        <v>2423.6732006232946</v>
      </c>
      <c r="Q51" s="214">
        <f>IF((monthly_mortgage_schedule[[#This Row],[Year (Range)]]&gt;=$C$7)*(monthly_mortgage_schedule[[#This Row],[Year (Range)]]&lt;=$C$9),AH51,NA())</f>
        <v>676.35329484011345</v>
      </c>
      <c r="R51" s="214">
        <f>IF((monthly_mortgage_schedule[[#This Row],[Year (Range)]]&gt;=$C$7)*(monthly_mortgage_schedule[[#This Row],[Year (Range)]]&lt;=$C$9),AO51,NA())</f>
        <v>102.18591197866499</v>
      </c>
      <c r="S51" s="214">
        <f>IF((monthly_mortgage_schedule[[#This Row],[Year (Range)]]&gt;=$C$7)*(monthly_mortgage_schedule[[#This Row],[Year (Range)]]&lt;=$C$9),AP51,NA())</f>
        <v>0</v>
      </c>
      <c r="T51" s="214">
        <f>IF((monthly_mortgage_schedule[[#This Row],[Year (Range)]]&gt;=$C$7)*(monthly_mortgage_schedule[[#This Row],[Year (Range)]]&lt;=$C$9),AR51,NA())</f>
        <v>159.6460765103534</v>
      </c>
      <c r="U51" s="214">
        <f>IF((monthly_mortgage_schedule[[#This Row],[Year (Range)]]&gt;=$C$7)*(monthly_mortgage_schedule[[#This Row],[Year (Range)]]&lt;=$C$9),AB51,NA())</f>
        <v>22919.99621611285</v>
      </c>
      <c r="V51" s="214">
        <f>IF((monthly_mortgage_schedule[[#This Row],[Year (Range)]]&gt;=$C$7)*(monthly_mortgage_schedule[[#This Row],[Year (Range)]]&lt;=$C$9),AI51,NA())</f>
        <v>21317.810304134182</v>
      </c>
      <c r="W51" s="187">
        <f t="shared" si="2"/>
        <v>517763.79921634082</v>
      </c>
      <c r="X51" s="4">
        <f t="shared" si="6"/>
        <v>2416.2310630095908</v>
      </c>
      <c r="Y51" s="4">
        <f t="shared" si="3"/>
        <v>683.79543245381728</v>
      </c>
      <c r="Z51" s="4">
        <f>_xlfn.IFNA(INDEX(additional_mortgage_payments[],MATCH(monthly_mortgage_schedule[[#This Row],[Month]],additional_mortgage_payments[Month],0),3),0)</f>
        <v>0</v>
      </c>
      <c r="AA51" s="4">
        <f>AA50+monthly_mortgage_schedule[[#This Row],[Extra Payments Towards Equity]]</f>
        <v>1500</v>
      </c>
      <c r="AB51" s="4">
        <f>AB50+monthly_mortgage_schedule[[#This Row],[Principal With Extra Principal Payments]]+monthly_mortgage_schedule[[#This Row],[Extra Payments Towards Equity]]</f>
        <v>22919.99621611285</v>
      </c>
      <c r="AC51" s="4">
        <f>monthly_mortgage_schedule[[#This Row],[Cumulative Principal With Extra Principal Payments]]+down_payment_dollars</f>
        <v>82919.99621611285</v>
      </c>
      <c r="AD51" s="200">
        <f t="shared" si="0"/>
        <v>90</v>
      </c>
      <c r="AE5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517080.00378388702</v>
      </c>
      <c r="AF51" s="187">
        <f t="shared" si="7"/>
        <v>519358.54299070593</v>
      </c>
      <c r="AG51" s="4">
        <f>IF(monthly_mortgage_schedule[[#This Row],[Loan Balance (BOY) Without Extra Principal Payments]]&gt;0,monthly_mortgage_schedule[[#This Row],[Loan Balance (BOY) Without Extra Principal Payments]]*monthly_interest_rate,0)</f>
        <v>2423.6732006232946</v>
      </c>
      <c r="AH51" s="4">
        <f>IF(monthly_mortgage_schedule[[#This Row],[Loan Balance (BOY) Without Extra Principal Payments]]&gt;1,monthly_principal_and_interest-monthly_mortgage_schedule[[#This Row],[Interest Without Extra Principal Payments]],0)</f>
        <v>676.35329484011345</v>
      </c>
      <c r="AI51" s="4">
        <f>AI50+monthly_mortgage_schedule[[#This Row],[Principal Without Extra Principal Payments]]</f>
        <v>21317.810304134182</v>
      </c>
      <c r="AJ51" s="4">
        <f>monthly_mortgage_schedule[[#This Row],[Cumulative Principal Without Extra Principal Payments]]+down_payment_dollars</f>
        <v>81317.810304134182</v>
      </c>
      <c r="AK51" s="200">
        <f t="shared" si="1"/>
        <v>90</v>
      </c>
      <c r="AL5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518682.18969586579</v>
      </c>
      <c r="AN51" s="196">
        <f>monthly_mortgage_schedule[[#This Row],[Extra Payments Towards Equity]]+AN50+IF(monthly_mortgage_schedule[[#This Row],[Interest With Extra Principal Payments]]&gt;0,monthly_mortgage_schedule[[#This Row],[Interest Without Extra Principal Payments]]-monthly_mortgage_schedule[[#This Row],[Interest With Extra Principal Payments]],0)</f>
        <v>1602.185911978665</v>
      </c>
      <c r="AO51" s="4">
        <f>AO50+IF(monthly_mortgage_schedule[[#This Row],[Interest With Extra Principal Payments]]&gt;0,monthly_mortgage_schedule[[#This Row],[Interest Without Extra Principal Payments]]-monthly_mortgage_schedule[[#This Row],[Interest With Extra Principal Payments]],0)</f>
        <v>102.18591197866499</v>
      </c>
      <c r="AP51" s="4">
        <f>AP50+monthly_mortgage_schedule[[#This Row],[PMI Without Extra Principal Payments]]-monthly_mortgage_schedule[[#This Row],[PMI with Additional Payments]]</f>
        <v>0</v>
      </c>
      <c r="AQ51" s="4">
        <f t="shared" si="4"/>
        <v>1659.6460765103534</v>
      </c>
      <c r="AR51" s="4">
        <f>Table60[[#This Row],[Cumulative Investments]]-monthly_mortgage_schedule[[#This Row],[Cumulative Extra Payments Towards Equity]]</f>
        <v>159.6460765103534</v>
      </c>
    </row>
    <row r="52" spans="9:47" x14ac:dyDescent="0.25">
      <c r="I52">
        <v>35</v>
      </c>
      <c r="J52">
        <f>IF(MOD(ROWS($J$18:J51),12)=0,J51+1,J51)</f>
        <v>2024</v>
      </c>
      <c r="K52" s="198">
        <f>IF(M52="#N/A",NA(),monthly_mortgage_schedule[[#This Row],[Month]])</f>
        <v>35</v>
      </c>
      <c r="L52" s="198">
        <f>IF(monthly_mortgage_schedule[[#This Row],[Calendar Year]]&gt;=$C$7,monthly_mortgage_schedule[[#This Row],[Calendar Year]],NA())</f>
        <v>2024</v>
      </c>
      <c r="M52" s="199">
        <f>IF((monthly_mortgage_schedule[[#This Row],[Calendar Year]]&gt;=$C$7)*(monthly_mortgage_schedule[[#This Row],[Calendar Year]]&lt;=$C$9),monthly_mortgage_schedule[[#This Row],[Begin Year (Range)]],NA())</f>
        <v>2024</v>
      </c>
      <c r="N52" s="214">
        <f>IF((monthly_mortgage_schedule[[#This Row],[Year (Range)]]&gt;=$C$7)*(monthly_mortgage_schedule[[#This Row],[Year (Range)]]&lt;=$C$9),X52,NA())</f>
        <v>2413.0400176581397</v>
      </c>
      <c r="O52" s="214">
        <f>IF((monthly_mortgage_schedule[[#This Row],[Year (Range)]]&gt;=$C$7)*(monthly_mortgage_schedule[[#This Row],[Year (Range)]]&lt;=$C$9),Y52,NA())</f>
        <v>686.98647780526835</v>
      </c>
      <c r="P52" s="214">
        <f>IF((monthly_mortgage_schedule[[#This Row],[Year (Range)]]&gt;=$C$7)*(monthly_mortgage_schedule[[#This Row],[Year (Range)]]&lt;=$C$9),AG52,NA())</f>
        <v>2420.5168852473739</v>
      </c>
      <c r="Q52" s="214">
        <f>IF((monthly_mortgage_schedule[[#This Row],[Year (Range)]]&gt;=$C$7)*(monthly_mortgage_schedule[[#This Row],[Year (Range)]]&lt;=$C$9),AH52,NA())</f>
        <v>679.50961021603416</v>
      </c>
      <c r="R52" s="214">
        <f>IF((monthly_mortgage_schedule[[#This Row],[Year (Range)]]&gt;=$C$7)*(monthly_mortgage_schedule[[#This Row],[Year (Range)]]&lt;=$C$9),AO52,NA())</f>
        <v>109.66277956789918</v>
      </c>
      <c r="S52" s="214">
        <f>IF((monthly_mortgage_schedule[[#This Row],[Year (Range)]]&gt;=$C$7)*(monthly_mortgage_schedule[[#This Row],[Year (Range)]]&lt;=$C$9),AP52,NA())</f>
        <v>0</v>
      </c>
      <c r="T52" s="214">
        <f>IF((monthly_mortgage_schedule[[#This Row],[Year (Range)]]&gt;=$C$7)*(monthly_mortgage_schedule[[#This Row],[Year (Range)]]&lt;=$C$9),AR52,NA())</f>
        <v>170.71038368708901</v>
      </c>
      <c r="U52" s="214">
        <f>IF((monthly_mortgage_schedule[[#This Row],[Year (Range)]]&gt;=$C$7)*(monthly_mortgage_schedule[[#This Row],[Year (Range)]]&lt;=$C$9),AB52,NA())</f>
        <v>23606.982693918118</v>
      </c>
      <c r="V52" s="214">
        <f>IF((monthly_mortgage_schedule[[#This Row],[Year (Range)]]&gt;=$C$7)*(monthly_mortgage_schedule[[#This Row],[Year (Range)]]&lt;=$C$9),AI52,NA())</f>
        <v>21997.319914350217</v>
      </c>
      <c r="W52" s="187">
        <f t="shared" si="2"/>
        <v>517080.00378388702</v>
      </c>
      <c r="X52" s="4">
        <f t="shared" si="6"/>
        <v>2413.0400176581397</v>
      </c>
      <c r="Y52" s="4">
        <f t="shared" si="3"/>
        <v>686.98647780526835</v>
      </c>
      <c r="Z52" s="4">
        <f>_xlfn.IFNA(INDEX(additional_mortgage_payments[],MATCH(monthly_mortgage_schedule[[#This Row],[Month]],additional_mortgage_payments[Month],0),3),0)</f>
        <v>0</v>
      </c>
      <c r="AA52" s="4">
        <f>AA51+monthly_mortgage_schedule[[#This Row],[Extra Payments Towards Equity]]</f>
        <v>1500</v>
      </c>
      <c r="AB52" s="4">
        <f>AB51+monthly_mortgage_schedule[[#This Row],[Principal With Extra Principal Payments]]+monthly_mortgage_schedule[[#This Row],[Extra Payments Towards Equity]]</f>
        <v>23606.982693918118</v>
      </c>
      <c r="AC52" s="4">
        <f>monthly_mortgage_schedule[[#This Row],[Cumulative Principal With Extra Principal Payments]]+down_payment_dollars</f>
        <v>83606.982693918122</v>
      </c>
      <c r="AD52" s="200">
        <f t="shared" si="0"/>
        <v>90</v>
      </c>
      <c r="AE5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516393.01730608178</v>
      </c>
      <c r="AF52" s="187">
        <f t="shared" si="7"/>
        <v>518682.18969586579</v>
      </c>
      <c r="AG52" s="4">
        <f>IF(monthly_mortgage_schedule[[#This Row],[Loan Balance (BOY) Without Extra Principal Payments]]&gt;0,monthly_mortgage_schedule[[#This Row],[Loan Balance (BOY) Without Extra Principal Payments]]*monthly_interest_rate,0)</f>
        <v>2420.5168852473739</v>
      </c>
      <c r="AH52" s="4">
        <f>IF(monthly_mortgage_schedule[[#This Row],[Loan Balance (BOY) Without Extra Principal Payments]]&gt;1,monthly_principal_and_interest-monthly_mortgage_schedule[[#This Row],[Interest Without Extra Principal Payments]],0)</f>
        <v>679.50961021603416</v>
      </c>
      <c r="AI52" s="4">
        <f>AI51+monthly_mortgage_schedule[[#This Row],[Principal Without Extra Principal Payments]]</f>
        <v>21997.319914350217</v>
      </c>
      <c r="AJ52" s="4">
        <f>monthly_mortgage_schedule[[#This Row],[Cumulative Principal Without Extra Principal Payments]]+down_payment_dollars</f>
        <v>81997.319914350213</v>
      </c>
      <c r="AK52" s="200">
        <f t="shared" si="1"/>
        <v>90</v>
      </c>
      <c r="AL5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518002.68008564977</v>
      </c>
      <c r="AN52" s="196">
        <f>monthly_mortgage_schedule[[#This Row],[Extra Payments Towards Equity]]+AN51+IF(monthly_mortgage_schedule[[#This Row],[Interest With Extra Principal Payments]]&gt;0,monthly_mortgage_schedule[[#This Row],[Interest Without Extra Principal Payments]]-monthly_mortgage_schedule[[#This Row],[Interest With Extra Principal Payments]],0)</f>
        <v>1609.6627795678992</v>
      </c>
      <c r="AO52" s="4">
        <f>AO51+IF(monthly_mortgage_schedule[[#This Row],[Interest With Extra Principal Payments]]&gt;0,monthly_mortgage_schedule[[#This Row],[Interest Without Extra Principal Payments]]-monthly_mortgage_schedule[[#This Row],[Interest With Extra Principal Payments]],0)</f>
        <v>109.66277956789918</v>
      </c>
      <c r="AP52" s="4">
        <f>AP51+monthly_mortgage_schedule[[#This Row],[PMI Without Extra Principal Payments]]-monthly_mortgage_schedule[[#This Row],[PMI with Additional Payments]]</f>
        <v>0</v>
      </c>
      <c r="AQ52" s="4">
        <f t="shared" si="4"/>
        <v>1670.710383687089</v>
      </c>
      <c r="AR52" s="4">
        <f>Table60[[#This Row],[Cumulative Investments]]-monthly_mortgage_schedule[[#This Row],[Cumulative Extra Payments Towards Equity]]</f>
        <v>170.71038368708901</v>
      </c>
    </row>
    <row r="53" spans="9:47" x14ac:dyDescent="0.25">
      <c r="I53">
        <v>36</v>
      </c>
      <c r="J53">
        <f>IF(MOD(ROWS($J$18:J52),12)=0,J52+1,J52)</f>
        <v>2024</v>
      </c>
      <c r="K53" s="198">
        <f>IF(M53="#N/A",NA(),monthly_mortgage_schedule[[#This Row],[Month]])</f>
        <v>36</v>
      </c>
      <c r="L53" s="198">
        <f>IF(monthly_mortgage_schedule[[#This Row],[Calendar Year]]&gt;=$C$7,monthly_mortgage_schedule[[#This Row],[Calendar Year]],NA())</f>
        <v>2024</v>
      </c>
      <c r="M53" s="199">
        <f>IF((monthly_mortgage_schedule[[#This Row],[Calendar Year]]&gt;=$C$7)*(monthly_mortgage_schedule[[#This Row],[Calendar Year]]&lt;=$C$9),monthly_mortgage_schedule[[#This Row],[Begin Year (Range)]],NA())</f>
        <v>2024</v>
      </c>
      <c r="N53" s="214">
        <f>IF((monthly_mortgage_schedule[[#This Row],[Year (Range)]]&gt;=$C$7)*(monthly_mortgage_schedule[[#This Row],[Year (Range)]]&lt;=$C$9),X53,NA())</f>
        <v>2409.8340807617151</v>
      </c>
      <c r="O53" s="214">
        <f>IF((monthly_mortgage_schedule[[#This Row],[Year (Range)]]&gt;=$C$7)*(monthly_mortgage_schedule[[#This Row],[Year (Range)]]&lt;=$C$9),Y53,NA())</f>
        <v>690.192414701693</v>
      </c>
      <c r="P53" s="214">
        <f>IF((monthly_mortgage_schedule[[#This Row],[Year (Range)]]&gt;=$C$7)*(monthly_mortgage_schedule[[#This Row],[Year (Range)]]&lt;=$C$9),AG53,NA())</f>
        <v>2417.3458403996992</v>
      </c>
      <c r="Q53" s="214">
        <f>IF((monthly_mortgage_schedule[[#This Row],[Year (Range)]]&gt;=$C$7)*(monthly_mortgage_schedule[[#This Row],[Year (Range)]]&lt;=$C$9),AH53,NA())</f>
        <v>682.68065506370885</v>
      </c>
      <c r="R53" s="214">
        <f>IF((monthly_mortgage_schedule[[#This Row],[Year (Range)]]&gt;=$C$7)*(monthly_mortgage_schedule[[#This Row],[Year (Range)]]&lt;=$C$9),AO53,NA())</f>
        <v>117.17453920588332</v>
      </c>
      <c r="S53" s="214">
        <f>IF((monthly_mortgage_schedule[[#This Row],[Year (Range)]]&gt;=$C$7)*(monthly_mortgage_schedule[[#This Row],[Year (Range)]]&lt;=$C$9),AP53,NA())</f>
        <v>0</v>
      </c>
      <c r="T53" s="214">
        <f>IF((monthly_mortgage_schedule[[#This Row],[Year (Range)]]&gt;=$C$7)*(monthly_mortgage_schedule[[#This Row],[Year (Range)]]&lt;=$C$9),AR53,NA())</f>
        <v>181.84845291166948</v>
      </c>
      <c r="U53" s="214">
        <f>IF((monthly_mortgage_schedule[[#This Row],[Year (Range)]]&gt;=$C$7)*(monthly_mortgage_schedule[[#This Row],[Year (Range)]]&lt;=$C$9),AB53,NA())</f>
        <v>24297.175108619813</v>
      </c>
      <c r="V53" s="214">
        <f>IF((monthly_mortgage_schedule[[#This Row],[Year (Range)]]&gt;=$C$7)*(monthly_mortgage_schedule[[#This Row],[Year (Range)]]&lt;=$C$9),AI53,NA())</f>
        <v>22680.000569413925</v>
      </c>
      <c r="W53" s="187">
        <f t="shared" si="2"/>
        <v>516393.01730608178</v>
      </c>
      <c r="X53" s="4">
        <f t="shared" si="6"/>
        <v>2409.8340807617151</v>
      </c>
      <c r="Y53" s="4">
        <f t="shared" si="3"/>
        <v>690.192414701693</v>
      </c>
      <c r="Z53" s="4">
        <f>_xlfn.IFNA(INDEX(additional_mortgage_payments[],MATCH(monthly_mortgage_schedule[[#This Row],[Month]],additional_mortgage_payments[Month],0),3),0)</f>
        <v>0</v>
      </c>
      <c r="AA53" s="4">
        <f>AA52+monthly_mortgage_schedule[[#This Row],[Extra Payments Towards Equity]]</f>
        <v>1500</v>
      </c>
      <c r="AB53" s="4">
        <f>AB52+monthly_mortgage_schedule[[#This Row],[Principal With Extra Principal Payments]]+monthly_mortgage_schedule[[#This Row],[Extra Payments Towards Equity]]</f>
        <v>24297.175108619813</v>
      </c>
      <c r="AC53" s="4">
        <f>monthly_mortgage_schedule[[#This Row],[Cumulative Principal With Extra Principal Payments]]+down_payment_dollars</f>
        <v>84297.17510861982</v>
      </c>
      <c r="AD53" s="200">
        <f t="shared" si="0"/>
        <v>90</v>
      </c>
      <c r="AE5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515702.82489138009</v>
      </c>
      <c r="AF53" s="187">
        <f t="shared" si="7"/>
        <v>518002.68008564977</v>
      </c>
      <c r="AG53" s="4">
        <f>IF(monthly_mortgage_schedule[[#This Row],[Loan Balance (BOY) Without Extra Principal Payments]]&gt;0,monthly_mortgage_schedule[[#This Row],[Loan Balance (BOY) Without Extra Principal Payments]]*monthly_interest_rate,0)</f>
        <v>2417.3458403996992</v>
      </c>
      <c r="AH53" s="4">
        <f>IF(monthly_mortgage_schedule[[#This Row],[Loan Balance (BOY) Without Extra Principal Payments]]&gt;1,monthly_principal_and_interest-monthly_mortgage_schedule[[#This Row],[Interest Without Extra Principal Payments]],0)</f>
        <v>682.68065506370885</v>
      </c>
      <c r="AI53" s="4">
        <f>AI52+monthly_mortgage_schedule[[#This Row],[Principal Without Extra Principal Payments]]</f>
        <v>22680.000569413925</v>
      </c>
      <c r="AJ53" s="4">
        <f>monthly_mortgage_schedule[[#This Row],[Cumulative Principal Without Extra Principal Payments]]+down_payment_dollars</f>
        <v>82680.000569413925</v>
      </c>
      <c r="AK53" s="200">
        <f t="shared" si="1"/>
        <v>90</v>
      </c>
      <c r="AL5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517319.99943058606</v>
      </c>
      <c r="AN53" s="196">
        <f>monthly_mortgage_schedule[[#This Row],[Extra Payments Towards Equity]]+AN52+IF(monthly_mortgage_schedule[[#This Row],[Interest With Extra Principal Payments]]&gt;0,monthly_mortgage_schedule[[#This Row],[Interest Without Extra Principal Payments]]-monthly_mortgage_schedule[[#This Row],[Interest With Extra Principal Payments]],0)</f>
        <v>1617.1745392058833</v>
      </c>
      <c r="AO53" s="4">
        <f>AO52+IF(monthly_mortgage_schedule[[#This Row],[Interest With Extra Principal Payments]]&gt;0,monthly_mortgage_schedule[[#This Row],[Interest Without Extra Principal Payments]]-monthly_mortgage_schedule[[#This Row],[Interest With Extra Principal Payments]],0)</f>
        <v>117.17453920588332</v>
      </c>
      <c r="AP53" s="4">
        <f>AP52+monthly_mortgage_schedule[[#This Row],[PMI Without Extra Principal Payments]]-monthly_mortgage_schedule[[#This Row],[PMI with Additional Payments]]</f>
        <v>0</v>
      </c>
      <c r="AQ53" s="4">
        <f t="shared" si="4"/>
        <v>1681.8484529116695</v>
      </c>
      <c r="AR53" s="4">
        <f>Table60[[#This Row],[Cumulative Investments]]-monthly_mortgage_schedule[[#This Row],[Cumulative Extra Payments Towards Equity]]</f>
        <v>181.84845291166948</v>
      </c>
    </row>
    <row r="54" spans="9:47" x14ac:dyDescent="0.25">
      <c r="I54">
        <v>37</v>
      </c>
      <c r="J54">
        <f>IF(MOD(ROWS($J$18:J53),12)=0,J53+1,J53)</f>
        <v>2025</v>
      </c>
      <c r="K54" s="198">
        <f>IF(M54="#N/A",NA(),monthly_mortgage_schedule[[#This Row],[Month]])</f>
        <v>37</v>
      </c>
      <c r="L54" s="198">
        <f>IF(monthly_mortgage_schedule[[#This Row],[Calendar Year]]&gt;=$C$7,monthly_mortgage_schedule[[#This Row],[Calendar Year]],NA())</f>
        <v>2025</v>
      </c>
      <c r="M54" s="199">
        <f>IF((monthly_mortgage_schedule[[#This Row],[Calendar Year]]&gt;=$C$7)*(monthly_mortgage_schedule[[#This Row],[Calendar Year]]&lt;=$C$9),monthly_mortgage_schedule[[#This Row],[Begin Year (Range)]],NA())</f>
        <v>2025</v>
      </c>
      <c r="N54" s="214">
        <f>IF((monthly_mortgage_schedule[[#This Row],[Year (Range)]]&gt;=$C$7)*(monthly_mortgage_schedule[[#This Row],[Year (Range)]]&lt;=$C$9),X54,NA())</f>
        <v>2406.6131828264406</v>
      </c>
      <c r="O54" s="214">
        <f>IF((monthly_mortgage_schedule[[#This Row],[Year (Range)]]&gt;=$C$7)*(monthly_mortgage_schedule[[#This Row],[Year (Range)]]&lt;=$C$9),Y54,NA())</f>
        <v>693.41331263696748</v>
      </c>
      <c r="P54" s="214">
        <f>IF((monthly_mortgage_schedule[[#This Row],[Year (Range)]]&gt;=$C$7)*(monthly_mortgage_schedule[[#This Row],[Year (Range)]]&lt;=$C$9),AG54,NA())</f>
        <v>2414.1599973427351</v>
      </c>
      <c r="Q54" s="214">
        <f>IF((monthly_mortgage_schedule[[#This Row],[Year (Range)]]&gt;=$C$7)*(monthly_mortgage_schedule[[#This Row],[Year (Range)]]&lt;=$C$9),AH54,NA())</f>
        <v>685.86649812067299</v>
      </c>
      <c r="R54" s="214">
        <f>IF((monthly_mortgage_schedule[[#This Row],[Year (Range)]]&gt;=$C$7)*(monthly_mortgage_schedule[[#This Row],[Year (Range)]]&lt;=$C$9),AO54,NA())</f>
        <v>124.72135372217781</v>
      </c>
      <c r="S54" s="214">
        <f>IF((monthly_mortgage_schedule[[#This Row],[Year (Range)]]&gt;=$C$7)*(monthly_mortgage_schedule[[#This Row],[Year (Range)]]&lt;=$C$9),AP54,NA())</f>
        <v>0</v>
      </c>
      <c r="T54" s="214">
        <f>IF((monthly_mortgage_schedule[[#This Row],[Year (Range)]]&gt;=$C$7)*(monthly_mortgage_schedule[[#This Row],[Year (Range)]]&lt;=$C$9),AR54,NA())</f>
        <v>193.06077593108057</v>
      </c>
      <c r="U54" s="214">
        <f>IF((monthly_mortgage_schedule[[#This Row],[Year (Range)]]&gt;=$C$7)*(monthly_mortgage_schedule[[#This Row],[Year (Range)]]&lt;=$C$9),AB54,NA())</f>
        <v>24990.58842125678</v>
      </c>
      <c r="V54" s="214">
        <f>IF((monthly_mortgage_schedule[[#This Row],[Year (Range)]]&gt;=$C$7)*(monthly_mortgage_schedule[[#This Row],[Year (Range)]]&lt;=$C$9),AI54,NA())</f>
        <v>23365.8670675346</v>
      </c>
      <c r="W54" s="187">
        <f t="shared" si="2"/>
        <v>515702.82489138009</v>
      </c>
      <c r="X54" s="4">
        <f t="shared" si="6"/>
        <v>2406.6131828264406</v>
      </c>
      <c r="Y54" s="4">
        <f t="shared" si="3"/>
        <v>693.41331263696748</v>
      </c>
      <c r="Z54" s="4">
        <f>_xlfn.IFNA(INDEX(additional_mortgage_payments[],MATCH(monthly_mortgage_schedule[[#This Row],[Month]],additional_mortgage_payments[Month],0),3),0)</f>
        <v>0</v>
      </c>
      <c r="AA54" s="4">
        <f>AA53+monthly_mortgage_schedule[[#This Row],[Extra Payments Towards Equity]]</f>
        <v>1500</v>
      </c>
      <c r="AB54" s="4">
        <f>AB53+monthly_mortgage_schedule[[#This Row],[Principal With Extra Principal Payments]]+monthly_mortgage_schedule[[#This Row],[Extra Payments Towards Equity]]</f>
        <v>24990.58842125678</v>
      </c>
      <c r="AC54" s="4">
        <f>monthly_mortgage_schedule[[#This Row],[Cumulative Principal With Extra Principal Payments]]+down_payment_dollars</f>
        <v>84990.588421256776</v>
      </c>
      <c r="AD54" s="200">
        <f t="shared" si="0"/>
        <v>90</v>
      </c>
      <c r="AE5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515009.41157874314</v>
      </c>
      <c r="AF54" s="187">
        <f t="shared" si="7"/>
        <v>517319.99943058606</v>
      </c>
      <c r="AG54" s="4">
        <f>IF(monthly_mortgage_schedule[[#This Row],[Loan Balance (BOY) Without Extra Principal Payments]]&gt;0,monthly_mortgage_schedule[[#This Row],[Loan Balance (BOY) Without Extra Principal Payments]]*monthly_interest_rate,0)</f>
        <v>2414.1599973427351</v>
      </c>
      <c r="AH54" s="4">
        <f>IF(monthly_mortgage_schedule[[#This Row],[Loan Balance (BOY) Without Extra Principal Payments]]&gt;1,monthly_principal_and_interest-monthly_mortgage_schedule[[#This Row],[Interest Without Extra Principal Payments]],0)</f>
        <v>685.86649812067299</v>
      </c>
      <c r="AI54" s="4">
        <f>AI53+monthly_mortgage_schedule[[#This Row],[Principal Without Extra Principal Payments]]</f>
        <v>23365.8670675346</v>
      </c>
      <c r="AJ54" s="4">
        <f>monthly_mortgage_schedule[[#This Row],[Cumulative Principal Without Extra Principal Payments]]+down_payment_dollars</f>
        <v>83365.867067534593</v>
      </c>
      <c r="AK54" s="200">
        <f t="shared" si="1"/>
        <v>90</v>
      </c>
      <c r="AL5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516634.13293246541</v>
      </c>
      <c r="AN54" s="196">
        <f>monthly_mortgage_schedule[[#This Row],[Extra Payments Towards Equity]]+AN53+IF(monthly_mortgage_schedule[[#This Row],[Interest With Extra Principal Payments]]&gt;0,monthly_mortgage_schedule[[#This Row],[Interest Without Extra Principal Payments]]-monthly_mortgage_schedule[[#This Row],[Interest With Extra Principal Payments]],0)</f>
        <v>1624.7213537221778</v>
      </c>
      <c r="AO54" s="4">
        <f>AO53+IF(monthly_mortgage_schedule[[#This Row],[Interest With Extra Principal Payments]]&gt;0,monthly_mortgage_schedule[[#This Row],[Interest Without Extra Principal Payments]]-monthly_mortgage_schedule[[#This Row],[Interest With Extra Principal Payments]],0)</f>
        <v>124.72135372217781</v>
      </c>
      <c r="AP54" s="4">
        <f>AP53+monthly_mortgage_schedule[[#This Row],[PMI Without Extra Principal Payments]]-monthly_mortgage_schedule[[#This Row],[PMI with Additional Payments]]</f>
        <v>0</v>
      </c>
      <c r="AQ54" s="4">
        <f t="shared" si="4"/>
        <v>1693.0607759310806</v>
      </c>
      <c r="AR54" s="4">
        <f>Table60[[#This Row],[Cumulative Investments]]-monthly_mortgage_schedule[[#This Row],[Cumulative Extra Payments Towards Equity]]</f>
        <v>193.06077593108057</v>
      </c>
    </row>
    <row r="55" spans="9:47" x14ac:dyDescent="0.25">
      <c r="I55">
        <v>38</v>
      </c>
      <c r="J55">
        <f>IF(MOD(ROWS($J$18:J54),12)=0,J54+1,J54)</f>
        <v>2025</v>
      </c>
      <c r="K55" s="198">
        <f>IF(M55="#N/A",NA(),monthly_mortgage_schedule[[#This Row],[Month]])</f>
        <v>38</v>
      </c>
      <c r="L55" s="198">
        <f>IF(monthly_mortgage_schedule[[#This Row],[Calendar Year]]&gt;=$C$7,monthly_mortgage_schedule[[#This Row],[Calendar Year]],NA())</f>
        <v>2025</v>
      </c>
      <c r="M55" s="199">
        <f>IF((monthly_mortgage_schedule[[#This Row],[Calendar Year]]&gt;=$C$7)*(monthly_mortgage_schedule[[#This Row],[Calendar Year]]&lt;=$C$9),monthly_mortgage_schedule[[#This Row],[Begin Year (Range)]],NA())</f>
        <v>2025</v>
      </c>
      <c r="N55" s="214">
        <f>IF((monthly_mortgage_schedule[[#This Row],[Year (Range)]]&gt;=$C$7)*(monthly_mortgage_schedule[[#This Row],[Year (Range)]]&lt;=$C$9),X55,NA())</f>
        <v>2403.3772540341347</v>
      </c>
      <c r="O55" s="214">
        <f>IF((monthly_mortgage_schedule[[#This Row],[Year (Range)]]&gt;=$C$7)*(monthly_mortgage_schedule[[#This Row],[Year (Range)]]&lt;=$C$9),Y55,NA())</f>
        <v>696.64924142927339</v>
      </c>
      <c r="P55" s="214">
        <f>IF((monthly_mortgage_schedule[[#This Row],[Year (Range)]]&gt;=$C$7)*(monthly_mortgage_schedule[[#This Row],[Year (Range)]]&lt;=$C$9),AG55,NA())</f>
        <v>2410.9592870181723</v>
      </c>
      <c r="Q55" s="214">
        <f>IF((monthly_mortgage_schedule[[#This Row],[Year (Range)]]&gt;=$C$7)*(monthly_mortgage_schedule[[#This Row],[Year (Range)]]&lt;=$C$9),AH55,NA())</f>
        <v>689.06720844523579</v>
      </c>
      <c r="R55" s="214">
        <f>IF((monthly_mortgage_schedule[[#This Row],[Year (Range)]]&gt;=$C$7)*(monthly_mortgage_schedule[[#This Row],[Year (Range)]]&lt;=$C$9),AO55,NA())</f>
        <v>132.30338670621541</v>
      </c>
      <c r="S55" s="214">
        <f>IF((monthly_mortgage_schedule[[#This Row],[Year (Range)]]&gt;=$C$7)*(monthly_mortgage_schedule[[#This Row],[Year (Range)]]&lt;=$C$9),AP55,NA())</f>
        <v>0</v>
      </c>
      <c r="T55" s="214">
        <f>IF((monthly_mortgage_schedule[[#This Row],[Year (Range)]]&gt;=$C$7)*(monthly_mortgage_schedule[[#This Row],[Year (Range)]]&lt;=$C$9),AR55,NA())</f>
        <v>204.347847770621</v>
      </c>
      <c r="U55" s="214">
        <f>IF((monthly_mortgage_schedule[[#This Row],[Year (Range)]]&gt;=$C$7)*(monthly_mortgage_schedule[[#This Row],[Year (Range)]]&lt;=$C$9),AB55,NA())</f>
        <v>25687.237662686053</v>
      </c>
      <c r="V55" s="214">
        <f>IF((monthly_mortgage_schedule[[#This Row],[Year (Range)]]&gt;=$C$7)*(monthly_mortgage_schedule[[#This Row],[Year (Range)]]&lt;=$C$9),AI55,NA())</f>
        <v>24054.934275979835</v>
      </c>
      <c r="W55" s="187">
        <f t="shared" si="2"/>
        <v>515009.41157874314</v>
      </c>
      <c r="X55" s="4">
        <f t="shared" si="6"/>
        <v>2403.3772540341347</v>
      </c>
      <c r="Y55" s="4">
        <f t="shared" si="3"/>
        <v>696.64924142927339</v>
      </c>
      <c r="Z55" s="4">
        <f>_xlfn.IFNA(INDEX(additional_mortgage_payments[],MATCH(monthly_mortgage_schedule[[#This Row],[Month]],additional_mortgage_payments[Month],0),3),0)</f>
        <v>0</v>
      </c>
      <c r="AA55" s="4">
        <f>AA54+monthly_mortgage_schedule[[#This Row],[Extra Payments Towards Equity]]</f>
        <v>1500</v>
      </c>
      <c r="AB55" s="4">
        <f>AB54+monthly_mortgage_schedule[[#This Row],[Principal With Extra Principal Payments]]+monthly_mortgage_schedule[[#This Row],[Extra Payments Towards Equity]]</f>
        <v>25687.237662686053</v>
      </c>
      <c r="AC55" s="4">
        <f>monthly_mortgage_schedule[[#This Row],[Cumulative Principal With Extra Principal Payments]]+down_payment_dollars</f>
        <v>85687.23766268605</v>
      </c>
      <c r="AD55" s="200">
        <f t="shared" si="0"/>
        <v>90</v>
      </c>
      <c r="AE5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514312.76233731385</v>
      </c>
      <c r="AF55" s="187">
        <f t="shared" si="7"/>
        <v>516634.13293246541</v>
      </c>
      <c r="AG55" s="4">
        <f>IF(monthly_mortgage_schedule[[#This Row],[Loan Balance (BOY) Without Extra Principal Payments]]&gt;0,monthly_mortgage_schedule[[#This Row],[Loan Balance (BOY) Without Extra Principal Payments]]*monthly_interest_rate,0)</f>
        <v>2410.9592870181723</v>
      </c>
      <c r="AH55" s="4">
        <f>IF(monthly_mortgage_schedule[[#This Row],[Loan Balance (BOY) Without Extra Principal Payments]]&gt;1,monthly_principal_and_interest-monthly_mortgage_schedule[[#This Row],[Interest Without Extra Principal Payments]],0)</f>
        <v>689.06720844523579</v>
      </c>
      <c r="AI55" s="4">
        <f>AI54+monthly_mortgage_schedule[[#This Row],[Principal Without Extra Principal Payments]]</f>
        <v>24054.934275979835</v>
      </c>
      <c r="AJ55" s="4">
        <f>monthly_mortgage_schedule[[#This Row],[Cumulative Principal Without Extra Principal Payments]]+down_payment_dollars</f>
        <v>84054.934275979831</v>
      </c>
      <c r="AK55" s="200">
        <f t="shared" si="1"/>
        <v>90</v>
      </c>
      <c r="AL5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515945.06572402018</v>
      </c>
      <c r="AN55" s="196">
        <f>monthly_mortgage_schedule[[#This Row],[Extra Payments Towards Equity]]+AN54+IF(monthly_mortgage_schedule[[#This Row],[Interest With Extra Principal Payments]]&gt;0,monthly_mortgage_schedule[[#This Row],[Interest Without Extra Principal Payments]]-monthly_mortgage_schedule[[#This Row],[Interest With Extra Principal Payments]],0)</f>
        <v>1632.3033867062154</v>
      </c>
      <c r="AO55" s="4">
        <f>AO54+IF(monthly_mortgage_schedule[[#This Row],[Interest With Extra Principal Payments]]&gt;0,monthly_mortgage_schedule[[#This Row],[Interest Without Extra Principal Payments]]-monthly_mortgage_schedule[[#This Row],[Interest With Extra Principal Payments]],0)</f>
        <v>132.30338670621541</v>
      </c>
      <c r="AP55" s="4">
        <f>AP54+monthly_mortgage_schedule[[#This Row],[PMI Without Extra Principal Payments]]-monthly_mortgage_schedule[[#This Row],[PMI with Additional Payments]]</f>
        <v>0</v>
      </c>
      <c r="AQ55" s="4">
        <f t="shared" si="4"/>
        <v>1704.347847770621</v>
      </c>
      <c r="AR55" s="4">
        <f>Table60[[#This Row],[Cumulative Investments]]-monthly_mortgage_schedule[[#This Row],[Cumulative Extra Payments Towards Equity]]</f>
        <v>204.347847770621</v>
      </c>
    </row>
    <row r="56" spans="9:47" x14ac:dyDescent="0.25">
      <c r="I56">
        <v>39</v>
      </c>
      <c r="J56">
        <f>IF(MOD(ROWS($J$18:J55),12)=0,J55+1,J55)</f>
        <v>2025</v>
      </c>
      <c r="K56" s="198">
        <f>IF(M56="#N/A",NA(),monthly_mortgage_schedule[[#This Row],[Month]])</f>
        <v>39</v>
      </c>
      <c r="L56" s="198">
        <f>IF(monthly_mortgage_schedule[[#This Row],[Calendar Year]]&gt;=$C$7,monthly_mortgage_schedule[[#This Row],[Calendar Year]],NA())</f>
        <v>2025</v>
      </c>
      <c r="M56" s="199">
        <f>IF((monthly_mortgage_schedule[[#This Row],[Calendar Year]]&gt;=$C$7)*(monthly_mortgage_schedule[[#This Row],[Calendar Year]]&lt;=$C$9),monthly_mortgage_schedule[[#This Row],[Begin Year (Range)]],NA())</f>
        <v>2025</v>
      </c>
      <c r="N56" s="214">
        <f>IF((monthly_mortgage_schedule[[#This Row],[Year (Range)]]&gt;=$C$7)*(monthly_mortgage_schedule[[#This Row],[Year (Range)]]&lt;=$C$9),X56,NA())</f>
        <v>2400.1262242407984</v>
      </c>
      <c r="O56" s="214">
        <f>IF((monthly_mortgage_schedule[[#This Row],[Year (Range)]]&gt;=$C$7)*(monthly_mortgage_schedule[[#This Row],[Year (Range)]]&lt;=$C$9),Y56,NA())</f>
        <v>699.90027122260972</v>
      </c>
      <c r="P56" s="214">
        <f>IF((monthly_mortgage_schedule[[#This Row],[Year (Range)]]&gt;=$C$7)*(monthly_mortgage_schedule[[#This Row],[Year (Range)]]&lt;=$C$9),AG56,NA())</f>
        <v>2407.7436400454276</v>
      </c>
      <c r="Q56" s="214">
        <f>IF((monthly_mortgage_schedule[[#This Row],[Year (Range)]]&gt;=$C$7)*(monthly_mortgage_schedule[[#This Row],[Year (Range)]]&lt;=$C$9),AH56,NA())</f>
        <v>692.2828554179805</v>
      </c>
      <c r="R56" s="214">
        <f>IF((monthly_mortgage_schedule[[#This Row],[Year (Range)]]&gt;=$C$7)*(monthly_mortgage_schedule[[#This Row],[Year (Range)]]&lt;=$C$9),AO56,NA())</f>
        <v>139.92080251084462</v>
      </c>
      <c r="S56" s="214">
        <f>IF((monthly_mortgage_schedule[[#This Row],[Year (Range)]]&gt;=$C$7)*(monthly_mortgage_schedule[[#This Row],[Year (Range)]]&lt;=$C$9),AP56,NA())</f>
        <v>0</v>
      </c>
      <c r="T56" s="214">
        <f>IF((monthly_mortgage_schedule[[#This Row],[Year (Range)]]&gt;=$C$7)*(monthly_mortgage_schedule[[#This Row],[Year (Range)]]&lt;=$C$9),AR56,NA())</f>
        <v>215.71016675575834</v>
      </c>
      <c r="U56" s="214">
        <f>IF((monthly_mortgage_schedule[[#This Row],[Year (Range)]]&gt;=$C$7)*(monthly_mortgage_schedule[[#This Row],[Year (Range)]]&lt;=$C$9),AB56,NA())</f>
        <v>26387.137933908663</v>
      </c>
      <c r="V56" s="214">
        <f>IF((monthly_mortgage_schedule[[#This Row],[Year (Range)]]&gt;=$C$7)*(monthly_mortgage_schedule[[#This Row],[Year (Range)]]&lt;=$C$9),AI56,NA())</f>
        <v>24747.217131397814</v>
      </c>
      <c r="W56" s="187">
        <f t="shared" si="2"/>
        <v>514312.76233731385</v>
      </c>
      <c r="X56" s="4">
        <f t="shared" si="6"/>
        <v>2400.1262242407984</v>
      </c>
      <c r="Y56" s="4">
        <f t="shared" si="3"/>
        <v>699.90027122260972</v>
      </c>
      <c r="Z56" s="4">
        <f>_xlfn.IFNA(INDEX(additional_mortgage_payments[],MATCH(monthly_mortgage_schedule[[#This Row],[Month]],additional_mortgage_payments[Month],0),3),0)</f>
        <v>0</v>
      </c>
      <c r="AA56" s="4">
        <f>AA55+monthly_mortgage_schedule[[#This Row],[Extra Payments Towards Equity]]</f>
        <v>1500</v>
      </c>
      <c r="AB56" s="4">
        <f>AB55+monthly_mortgage_schedule[[#This Row],[Principal With Extra Principal Payments]]+monthly_mortgage_schedule[[#This Row],[Extra Payments Towards Equity]]</f>
        <v>26387.137933908663</v>
      </c>
      <c r="AC56" s="4">
        <f>monthly_mortgage_schedule[[#This Row],[Cumulative Principal With Extra Principal Payments]]+down_payment_dollars</f>
        <v>86387.137933908671</v>
      </c>
      <c r="AD56" s="200">
        <f t="shared" si="0"/>
        <v>90</v>
      </c>
      <c r="AE5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513612.86206609121</v>
      </c>
      <c r="AF56" s="187">
        <f t="shared" si="7"/>
        <v>515945.06572402018</v>
      </c>
      <c r="AG56" s="4">
        <f>IF(monthly_mortgage_schedule[[#This Row],[Loan Balance (BOY) Without Extra Principal Payments]]&gt;0,monthly_mortgage_schedule[[#This Row],[Loan Balance (BOY) Without Extra Principal Payments]]*monthly_interest_rate,0)</f>
        <v>2407.7436400454276</v>
      </c>
      <c r="AH56" s="4">
        <f>IF(monthly_mortgage_schedule[[#This Row],[Loan Balance (BOY) Without Extra Principal Payments]]&gt;1,monthly_principal_and_interest-monthly_mortgage_schedule[[#This Row],[Interest Without Extra Principal Payments]],0)</f>
        <v>692.2828554179805</v>
      </c>
      <c r="AI56" s="4">
        <f>AI55+monthly_mortgage_schedule[[#This Row],[Principal Without Extra Principal Payments]]</f>
        <v>24747.217131397814</v>
      </c>
      <c r="AJ56" s="4">
        <f>monthly_mortgage_schedule[[#This Row],[Cumulative Principal Without Extra Principal Payments]]+down_payment_dollars</f>
        <v>84747.217131397818</v>
      </c>
      <c r="AK56" s="200">
        <f t="shared" si="1"/>
        <v>90</v>
      </c>
      <c r="AL5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515252.7828686022</v>
      </c>
      <c r="AN56" s="196">
        <f>monthly_mortgage_schedule[[#This Row],[Extra Payments Towards Equity]]+AN55+IF(monthly_mortgage_schedule[[#This Row],[Interest With Extra Principal Payments]]&gt;0,monthly_mortgage_schedule[[#This Row],[Interest Without Extra Principal Payments]]-monthly_mortgage_schedule[[#This Row],[Interest With Extra Principal Payments]],0)</f>
        <v>1639.9208025108446</v>
      </c>
      <c r="AO56" s="4">
        <f>AO55+IF(monthly_mortgage_schedule[[#This Row],[Interest With Extra Principal Payments]]&gt;0,monthly_mortgage_schedule[[#This Row],[Interest Without Extra Principal Payments]]-monthly_mortgage_schedule[[#This Row],[Interest With Extra Principal Payments]],0)</f>
        <v>139.92080251084462</v>
      </c>
      <c r="AP56" s="4">
        <f>AP55+monthly_mortgage_schedule[[#This Row],[PMI Without Extra Principal Payments]]-monthly_mortgage_schedule[[#This Row],[PMI with Additional Payments]]</f>
        <v>0</v>
      </c>
      <c r="AQ56" s="4">
        <f t="shared" si="4"/>
        <v>1715.7101667557583</v>
      </c>
      <c r="AR56" s="4">
        <f>Table60[[#This Row],[Cumulative Investments]]-monthly_mortgage_schedule[[#This Row],[Cumulative Extra Payments Towards Equity]]</f>
        <v>215.71016675575834</v>
      </c>
    </row>
    <row r="57" spans="9:47" x14ac:dyDescent="0.25">
      <c r="I57">
        <v>40</v>
      </c>
      <c r="J57">
        <f>IF(MOD(ROWS($J$18:J56),12)=0,J56+1,J56)</f>
        <v>2025</v>
      </c>
      <c r="K57" s="198">
        <f>IF(M57="#N/A",NA(),monthly_mortgage_schedule[[#This Row],[Month]])</f>
        <v>40</v>
      </c>
      <c r="L57" s="198">
        <f>IF(monthly_mortgage_schedule[[#This Row],[Calendar Year]]&gt;=$C$7,monthly_mortgage_schedule[[#This Row],[Calendar Year]],NA())</f>
        <v>2025</v>
      </c>
      <c r="M57" s="199">
        <f>IF((monthly_mortgage_schedule[[#This Row],[Calendar Year]]&gt;=$C$7)*(monthly_mortgage_schedule[[#This Row],[Calendar Year]]&lt;=$C$9),monthly_mortgage_schedule[[#This Row],[Begin Year (Range)]],NA())</f>
        <v>2025</v>
      </c>
      <c r="N57" s="214">
        <f>IF((monthly_mortgage_schedule[[#This Row],[Year (Range)]]&gt;=$C$7)*(monthly_mortgage_schedule[[#This Row],[Year (Range)]]&lt;=$C$9),X57,NA())</f>
        <v>2396.8600229750923</v>
      </c>
      <c r="O57" s="214">
        <f>IF((monthly_mortgage_schedule[[#This Row],[Year (Range)]]&gt;=$C$7)*(monthly_mortgage_schedule[[#This Row],[Year (Range)]]&lt;=$C$9),Y57,NA())</f>
        <v>703.16647248831578</v>
      </c>
      <c r="P57" s="214">
        <f>IF((monthly_mortgage_schedule[[#This Row],[Year (Range)]]&gt;=$C$7)*(monthly_mortgage_schedule[[#This Row],[Year (Range)]]&lt;=$C$9),AG57,NA())</f>
        <v>2404.512986720144</v>
      </c>
      <c r="Q57" s="214">
        <f>IF((monthly_mortgage_schedule[[#This Row],[Year (Range)]]&gt;=$C$7)*(monthly_mortgage_schedule[[#This Row],[Year (Range)]]&lt;=$C$9),AH57,NA())</f>
        <v>695.51350874326408</v>
      </c>
      <c r="R57" s="214">
        <f>IF((monthly_mortgage_schedule[[#This Row],[Year (Range)]]&gt;=$C$7)*(monthly_mortgage_schedule[[#This Row],[Year (Range)]]&lt;=$C$9),AO57,NA())</f>
        <v>147.57376625589632</v>
      </c>
      <c r="S57" s="214">
        <f>IF((monthly_mortgage_schedule[[#This Row],[Year (Range)]]&gt;=$C$7)*(monthly_mortgage_schedule[[#This Row],[Year (Range)]]&lt;=$C$9),AP57,NA())</f>
        <v>0</v>
      </c>
      <c r="T57" s="214">
        <f>IF((monthly_mortgage_schedule[[#This Row],[Year (Range)]]&gt;=$C$7)*(monthly_mortgage_schedule[[#This Row],[Year (Range)]]&lt;=$C$9),AR57,NA())</f>
        <v>233.81490120079616</v>
      </c>
      <c r="U57" s="214">
        <f>IF((monthly_mortgage_schedule[[#This Row],[Year (Range)]]&gt;=$C$7)*(monthly_mortgage_schedule[[#This Row],[Year (Range)]]&lt;=$C$9),AB57,NA())</f>
        <v>28090.304406396979</v>
      </c>
      <c r="V57" s="214">
        <f>IF((monthly_mortgage_schedule[[#This Row],[Year (Range)]]&gt;=$C$7)*(monthly_mortgage_schedule[[#This Row],[Year (Range)]]&lt;=$C$9),AI57,NA())</f>
        <v>25442.730640141079</v>
      </c>
      <c r="W57" s="187">
        <f t="shared" si="2"/>
        <v>513612.86206609121</v>
      </c>
      <c r="X57" s="4">
        <f t="shared" si="6"/>
        <v>2396.8600229750923</v>
      </c>
      <c r="Y57" s="4">
        <f t="shared" si="3"/>
        <v>703.16647248831578</v>
      </c>
      <c r="Z57" s="4">
        <f>_xlfn.IFNA(INDEX(additional_mortgage_payments[],MATCH(monthly_mortgage_schedule[[#This Row],[Month]],additional_mortgage_payments[Month],0),3),0)</f>
        <v>1000</v>
      </c>
      <c r="AA57" s="4">
        <f>AA56+monthly_mortgage_schedule[[#This Row],[Extra Payments Towards Equity]]</f>
        <v>2500</v>
      </c>
      <c r="AB57" s="4">
        <f>AB56+monthly_mortgage_schedule[[#This Row],[Principal With Extra Principal Payments]]+monthly_mortgage_schedule[[#This Row],[Extra Payments Towards Equity]]</f>
        <v>28090.304406396979</v>
      </c>
      <c r="AC57" s="4">
        <f>monthly_mortgage_schedule[[#This Row],[Cumulative Principal With Extra Principal Payments]]+down_payment_dollars</f>
        <v>88090.304406396986</v>
      </c>
      <c r="AD57" s="200">
        <f t="shared" si="0"/>
        <v>90</v>
      </c>
      <c r="AE5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511909.6955936029</v>
      </c>
      <c r="AF57" s="187">
        <f t="shared" si="7"/>
        <v>515252.7828686022</v>
      </c>
      <c r="AG57" s="4">
        <f>IF(monthly_mortgage_schedule[[#This Row],[Loan Balance (BOY) Without Extra Principal Payments]]&gt;0,monthly_mortgage_schedule[[#This Row],[Loan Balance (BOY) Without Extra Principal Payments]]*monthly_interest_rate,0)</f>
        <v>2404.512986720144</v>
      </c>
      <c r="AH57" s="4">
        <f>IF(monthly_mortgage_schedule[[#This Row],[Loan Balance (BOY) Without Extra Principal Payments]]&gt;1,monthly_principal_and_interest-monthly_mortgage_schedule[[#This Row],[Interest Without Extra Principal Payments]],0)</f>
        <v>695.51350874326408</v>
      </c>
      <c r="AI57" s="4">
        <f>AI56+monthly_mortgage_schedule[[#This Row],[Principal Without Extra Principal Payments]]</f>
        <v>25442.730640141079</v>
      </c>
      <c r="AJ57" s="4">
        <f>monthly_mortgage_schedule[[#This Row],[Cumulative Principal Without Extra Principal Payments]]+down_payment_dollars</f>
        <v>85442.730640141075</v>
      </c>
      <c r="AK57" s="200">
        <f t="shared" si="1"/>
        <v>90</v>
      </c>
      <c r="AL5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514557.26935985894</v>
      </c>
      <c r="AN57" s="196">
        <f>monthly_mortgage_schedule[[#This Row],[Extra Payments Towards Equity]]+AN56+IF(monthly_mortgage_schedule[[#This Row],[Interest With Extra Principal Payments]]&gt;0,monthly_mortgage_schedule[[#This Row],[Interest Without Extra Principal Payments]]-monthly_mortgage_schedule[[#This Row],[Interest With Extra Principal Payments]],0)</f>
        <v>2647.5737662558963</v>
      </c>
      <c r="AO57" s="4">
        <f>AO56+IF(monthly_mortgage_schedule[[#This Row],[Interest With Extra Principal Payments]]&gt;0,monthly_mortgage_schedule[[#This Row],[Interest Without Extra Principal Payments]]-monthly_mortgage_schedule[[#This Row],[Interest With Extra Principal Payments]],0)</f>
        <v>147.57376625589632</v>
      </c>
      <c r="AP57" s="4">
        <f>AP56+monthly_mortgage_schedule[[#This Row],[PMI Without Extra Principal Payments]]-monthly_mortgage_schedule[[#This Row],[PMI with Additional Payments]]</f>
        <v>0</v>
      </c>
      <c r="AQ57" s="4">
        <f t="shared" si="4"/>
        <v>2733.8149012007962</v>
      </c>
      <c r="AR57" s="4">
        <f>Table60[[#This Row],[Cumulative Investments]]-monthly_mortgage_schedule[[#This Row],[Cumulative Extra Payments Towards Equity]]</f>
        <v>233.81490120079616</v>
      </c>
    </row>
    <row r="58" spans="9:47" x14ac:dyDescent="0.25">
      <c r="I58">
        <v>41</v>
      </c>
      <c r="J58">
        <f>IF(MOD(ROWS($J$18:J57),12)=0,J57+1,J57)</f>
        <v>2025</v>
      </c>
      <c r="K58" s="198">
        <f>IF(M58="#N/A",NA(),monthly_mortgage_schedule[[#This Row],[Month]])</f>
        <v>41</v>
      </c>
      <c r="L58" s="198">
        <f>IF(monthly_mortgage_schedule[[#This Row],[Calendar Year]]&gt;=$C$7,monthly_mortgage_schedule[[#This Row],[Calendar Year]],NA())</f>
        <v>2025</v>
      </c>
      <c r="M58" s="199">
        <f>IF((monthly_mortgage_schedule[[#This Row],[Calendar Year]]&gt;=$C$7)*(monthly_mortgage_schedule[[#This Row],[Calendar Year]]&lt;=$C$9),monthly_mortgage_schedule[[#This Row],[Begin Year (Range)]],NA())</f>
        <v>2025</v>
      </c>
      <c r="N58" s="214">
        <f>IF((monthly_mortgage_schedule[[#This Row],[Year (Range)]]&gt;=$C$7)*(monthly_mortgage_schedule[[#This Row],[Year (Range)]]&lt;=$C$9),X58,NA())</f>
        <v>2388.911912770147</v>
      </c>
      <c r="O58" s="214">
        <f>IF((monthly_mortgage_schedule[[#This Row],[Year (Range)]]&gt;=$C$7)*(monthly_mortgage_schedule[[#This Row],[Year (Range)]]&lt;=$C$9),Y58,NA())</f>
        <v>711.11458269326113</v>
      </c>
      <c r="P58" s="214">
        <f>IF((monthly_mortgage_schedule[[#This Row],[Year (Range)]]&gt;=$C$7)*(monthly_mortgage_schedule[[#This Row],[Year (Range)]]&lt;=$C$9),AG58,NA())</f>
        <v>2401.2672570126751</v>
      </c>
      <c r="Q58" s="214">
        <f>IF((monthly_mortgage_schedule[[#This Row],[Year (Range)]]&gt;=$C$7)*(monthly_mortgage_schedule[[#This Row],[Year (Range)]]&lt;=$C$9),AH58,NA())</f>
        <v>698.75923845073294</v>
      </c>
      <c r="R58" s="214">
        <f>IF((monthly_mortgage_schedule[[#This Row],[Year (Range)]]&gt;=$C$7)*(monthly_mortgage_schedule[[#This Row],[Year (Range)]]&lt;=$C$9),AO58,NA())</f>
        <v>159.92911049842451</v>
      </c>
      <c r="S58" s="214">
        <f>IF((monthly_mortgage_schedule[[#This Row],[Year (Range)]]&gt;=$C$7)*(monthly_mortgage_schedule[[#This Row],[Year (Range)]]&lt;=$C$9),AP58,NA())</f>
        <v>0</v>
      </c>
      <c r="T58" s="214">
        <f>IF((monthly_mortgage_schedule[[#This Row],[Year (Range)]]&gt;=$C$7)*(monthly_mortgage_schedule[[#This Row],[Year (Range)]]&lt;=$C$9),AR58,NA())</f>
        <v>252.04033387546815</v>
      </c>
      <c r="U58" s="214">
        <f>IF((monthly_mortgage_schedule[[#This Row],[Year (Range)]]&gt;=$C$7)*(monthly_mortgage_schedule[[#This Row],[Year (Range)]]&lt;=$C$9),AB58,NA())</f>
        <v>28801.418989090242</v>
      </c>
      <c r="V58" s="214">
        <f>IF((monthly_mortgage_schedule[[#This Row],[Year (Range)]]&gt;=$C$7)*(monthly_mortgage_schedule[[#This Row],[Year (Range)]]&lt;=$C$9),AI58,NA())</f>
        <v>26141.489878591812</v>
      </c>
      <c r="W58" s="187">
        <f t="shared" si="2"/>
        <v>511909.6955936029</v>
      </c>
      <c r="X58" s="4">
        <f t="shared" si="6"/>
        <v>2388.911912770147</v>
      </c>
      <c r="Y58" s="4">
        <f t="shared" si="3"/>
        <v>711.11458269326113</v>
      </c>
      <c r="Z58" s="4">
        <f>_xlfn.IFNA(INDEX(additional_mortgage_payments[],MATCH(monthly_mortgage_schedule[[#This Row],[Month]],additional_mortgage_payments[Month],0),3),0)</f>
        <v>0</v>
      </c>
      <c r="AA58" s="4">
        <f>AA57+monthly_mortgage_schedule[[#This Row],[Extra Payments Towards Equity]]</f>
        <v>2500</v>
      </c>
      <c r="AB58" s="4">
        <f>AB57+monthly_mortgage_schedule[[#This Row],[Principal With Extra Principal Payments]]+monthly_mortgage_schedule[[#This Row],[Extra Payments Towards Equity]]</f>
        <v>28801.418989090242</v>
      </c>
      <c r="AC58" s="4">
        <f>monthly_mortgage_schedule[[#This Row],[Cumulative Principal With Extra Principal Payments]]+down_payment_dollars</f>
        <v>88801.418989090249</v>
      </c>
      <c r="AD58" s="200">
        <f t="shared" si="0"/>
        <v>90</v>
      </c>
      <c r="AE5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511198.58101090963</v>
      </c>
      <c r="AF58" s="187">
        <f t="shared" si="7"/>
        <v>514557.26935985894</v>
      </c>
      <c r="AG58" s="4">
        <f>IF(monthly_mortgage_schedule[[#This Row],[Loan Balance (BOY) Without Extra Principal Payments]]&gt;0,monthly_mortgage_schedule[[#This Row],[Loan Balance (BOY) Without Extra Principal Payments]]*monthly_interest_rate,0)</f>
        <v>2401.2672570126751</v>
      </c>
      <c r="AH58" s="4">
        <f>IF(monthly_mortgage_schedule[[#This Row],[Loan Balance (BOY) Without Extra Principal Payments]]&gt;1,monthly_principal_and_interest-monthly_mortgage_schedule[[#This Row],[Interest Without Extra Principal Payments]],0)</f>
        <v>698.75923845073294</v>
      </c>
      <c r="AI58" s="4">
        <f>AI57+monthly_mortgage_schedule[[#This Row],[Principal Without Extra Principal Payments]]</f>
        <v>26141.489878591812</v>
      </c>
      <c r="AJ58" s="4">
        <f>monthly_mortgage_schedule[[#This Row],[Cumulative Principal Without Extra Principal Payments]]+down_payment_dollars</f>
        <v>86141.489878591819</v>
      </c>
      <c r="AK58" s="200">
        <f t="shared" si="1"/>
        <v>90</v>
      </c>
      <c r="AL5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513858.51012140821</v>
      </c>
      <c r="AN58" s="196">
        <f>monthly_mortgage_schedule[[#This Row],[Extra Payments Towards Equity]]+AN57+IF(monthly_mortgage_schedule[[#This Row],[Interest With Extra Principal Payments]]&gt;0,monthly_mortgage_schedule[[#This Row],[Interest Without Extra Principal Payments]]-monthly_mortgage_schedule[[#This Row],[Interest With Extra Principal Payments]],0)</f>
        <v>2659.9291104984245</v>
      </c>
      <c r="AO58" s="4">
        <f>AO57+IF(monthly_mortgage_schedule[[#This Row],[Interest With Extra Principal Payments]]&gt;0,monthly_mortgage_schedule[[#This Row],[Interest Without Extra Principal Payments]]-monthly_mortgage_schedule[[#This Row],[Interest With Extra Principal Payments]],0)</f>
        <v>159.92911049842451</v>
      </c>
      <c r="AP58" s="4">
        <f>AP57+monthly_mortgage_schedule[[#This Row],[PMI Without Extra Principal Payments]]-monthly_mortgage_schedule[[#This Row],[PMI with Additional Payments]]</f>
        <v>0</v>
      </c>
      <c r="AQ58" s="4">
        <f t="shared" si="4"/>
        <v>2752.0403338754681</v>
      </c>
      <c r="AR58" s="4">
        <f>Table60[[#This Row],[Cumulative Investments]]-monthly_mortgage_schedule[[#This Row],[Cumulative Extra Payments Towards Equity]]</f>
        <v>252.04033387546815</v>
      </c>
    </row>
    <row r="59" spans="9:47" x14ac:dyDescent="0.25">
      <c r="I59">
        <v>42</v>
      </c>
      <c r="J59">
        <f>IF(MOD(ROWS($J$18:J58),12)=0,J58+1,J58)</f>
        <v>2025</v>
      </c>
      <c r="K59" s="198">
        <f>IF(M59="#N/A",NA(),monthly_mortgage_schedule[[#This Row],[Month]])</f>
        <v>42</v>
      </c>
      <c r="L59" s="198">
        <f>IF(monthly_mortgage_schedule[[#This Row],[Calendar Year]]&gt;=$C$7,monthly_mortgage_schedule[[#This Row],[Calendar Year]],NA())</f>
        <v>2025</v>
      </c>
      <c r="M59" s="199">
        <f>IF((monthly_mortgage_schedule[[#This Row],[Calendar Year]]&gt;=$C$7)*(monthly_mortgage_schedule[[#This Row],[Calendar Year]]&lt;=$C$9),monthly_mortgage_schedule[[#This Row],[Begin Year (Range)]],NA())</f>
        <v>2025</v>
      </c>
      <c r="N59" s="214">
        <f>IF((monthly_mortgage_schedule[[#This Row],[Year (Range)]]&gt;=$C$7)*(monthly_mortgage_schedule[[#This Row],[Year (Range)]]&lt;=$C$9),X59,NA())</f>
        <v>2385.5933780509117</v>
      </c>
      <c r="O59" s="214">
        <f>IF((monthly_mortgage_schedule[[#This Row],[Year (Range)]]&gt;=$C$7)*(monthly_mortgage_schedule[[#This Row],[Year (Range)]]&lt;=$C$9),Y59,NA())</f>
        <v>714.43311741249636</v>
      </c>
      <c r="P59" s="214">
        <f>IF((monthly_mortgage_schedule[[#This Row],[Year (Range)]]&gt;=$C$7)*(monthly_mortgage_schedule[[#This Row],[Year (Range)]]&lt;=$C$9),AG59,NA())</f>
        <v>2398.0063805665718</v>
      </c>
      <c r="Q59" s="214">
        <f>IF((monthly_mortgage_schedule[[#This Row],[Year (Range)]]&gt;=$C$7)*(monthly_mortgage_schedule[[#This Row],[Year (Range)]]&lt;=$C$9),AH59,NA())</f>
        <v>702.02011489683628</v>
      </c>
      <c r="R59" s="214">
        <f>IF((monthly_mortgage_schedule[[#This Row],[Year (Range)]]&gt;=$C$7)*(monthly_mortgage_schedule[[#This Row],[Year (Range)]]&lt;=$C$9),AO59,NA())</f>
        <v>172.34211301408459</v>
      </c>
      <c r="S59" s="214">
        <f>IF((monthly_mortgage_schedule[[#This Row],[Year (Range)]]&gt;=$C$7)*(monthly_mortgage_schedule[[#This Row],[Year (Range)]]&lt;=$C$9),AP59,NA())</f>
        <v>0</v>
      </c>
      <c r="T59" s="214">
        <f>IF((monthly_mortgage_schedule[[#This Row],[Year (Range)]]&gt;=$C$7)*(monthly_mortgage_schedule[[#This Row],[Year (Range)]]&lt;=$C$9),AR59,NA())</f>
        <v>270.3872694346378</v>
      </c>
      <c r="U59" s="214">
        <f>IF((monthly_mortgage_schedule[[#This Row],[Year (Range)]]&gt;=$C$7)*(monthly_mortgage_schedule[[#This Row],[Year (Range)]]&lt;=$C$9),AB59,NA())</f>
        <v>29515.852106502738</v>
      </c>
      <c r="V59" s="214">
        <f>IF((monthly_mortgage_schedule[[#This Row],[Year (Range)]]&gt;=$C$7)*(monthly_mortgage_schedule[[#This Row],[Year (Range)]]&lt;=$C$9),AI59,NA())</f>
        <v>26843.509993488649</v>
      </c>
      <c r="W59" s="187">
        <f t="shared" si="2"/>
        <v>511198.58101090963</v>
      </c>
      <c r="X59" s="4">
        <f t="shared" si="6"/>
        <v>2385.5933780509117</v>
      </c>
      <c r="Y59" s="4">
        <f t="shared" si="3"/>
        <v>714.43311741249636</v>
      </c>
      <c r="Z59" s="4">
        <f>_xlfn.IFNA(INDEX(additional_mortgage_payments[],MATCH(monthly_mortgage_schedule[[#This Row],[Month]],additional_mortgage_payments[Month],0),3),0)</f>
        <v>0</v>
      </c>
      <c r="AA59" s="4">
        <f>AA58+monthly_mortgage_schedule[[#This Row],[Extra Payments Towards Equity]]</f>
        <v>2500</v>
      </c>
      <c r="AB59" s="4">
        <f>AB58+monthly_mortgage_schedule[[#This Row],[Principal With Extra Principal Payments]]+monthly_mortgage_schedule[[#This Row],[Extra Payments Towards Equity]]</f>
        <v>29515.852106502738</v>
      </c>
      <c r="AC59" s="4">
        <f>monthly_mortgage_schedule[[#This Row],[Cumulative Principal With Extra Principal Payments]]+down_payment_dollars</f>
        <v>89515.852106502745</v>
      </c>
      <c r="AD59" s="200">
        <f t="shared" si="0"/>
        <v>90</v>
      </c>
      <c r="AE5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510484.14789349714</v>
      </c>
      <c r="AF59" s="187">
        <f t="shared" si="7"/>
        <v>513858.51012140821</v>
      </c>
      <c r="AG59" s="4">
        <f>IF(monthly_mortgage_schedule[[#This Row],[Loan Balance (BOY) Without Extra Principal Payments]]&gt;0,monthly_mortgage_schedule[[#This Row],[Loan Balance (BOY) Without Extra Principal Payments]]*monthly_interest_rate,0)</f>
        <v>2398.0063805665718</v>
      </c>
      <c r="AH59" s="4">
        <f>IF(monthly_mortgage_schedule[[#This Row],[Loan Balance (BOY) Without Extra Principal Payments]]&gt;1,monthly_principal_and_interest-monthly_mortgage_schedule[[#This Row],[Interest Without Extra Principal Payments]],0)</f>
        <v>702.02011489683628</v>
      </c>
      <c r="AI59" s="4">
        <f>AI58+monthly_mortgage_schedule[[#This Row],[Principal Without Extra Principal Payments]]</f>
        <v>26843.509993488649</v>
      </c>
      <c r="AJ59" s="4">
        <f>monthly_mortgage_schedule[[#This Row],[Cumulative Principal Without Extra Principal Payments]]+down_payment_dollars</f>
        <v>86843.509993488653</v>
      </c>
      <c r="AK59" s="200">
        <f t="shared" si="1"/>
        <v>90</v>
      </c>
      <c r="AL5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513156.49000651139</v>
      </c>
      <c r="AN59" s="196">
        <f>monthly_mortgage_schedule[[#This Row],[Extra Payments Towards Equity]]+AN58+IF(monthly_mortgage_schedule[[#This Row],[Interest With Extra Principal Payments]]&gt;0,monthly_mortgage_schedule[[#This Row],[Interest Without Extra Principal Payments]]-monthly_mortgage_schedule[[#This Row],[Interest With Extra Principal Payments]],0)</f>
        <v>2672.3421130140846</v>
      </c>
      <c r="AO59" s="4">
        <f>AO58+IF(monthly_mortgage_schedule[[#This Row],[Interest With Extra Principal Payments]]&gt;0,monthly_mortgage_schedule[[#This Row],[Interest Without Extra Principal Payments]]-monthly_mortgage_schedule[[#This Row],[Interest With Extra Principal Payments]],0)</f>
        <v>172.34211301408459</v>
      </c>
      <c r="AP59" s="4">
        <f>AP58+monthly_mortgage_schedule[[#This Row],[PMI Without Extra Principal Payments]]-monthly_mortgage_schedule[[#This Row],[PMI with Additional Payments]]</f>
        <v>0</v>
      </c>
      <c r="AQ59" s="4">
        <f t="shared" si="4"/>
        <v>2770.3872694346378</v>
      </c>
      <c r="AR59" s="4">
        <f>Table60[[#This Row],[Cumulative Investments]]-monthly_mortgage_schedule[[#This Row],[Cumulative Extra Payments Towards Equity]]</f>
        <v>270.3872694346378</v>
      </c>
    </row>
    <row r="60" spans="9:47" x14ac:dyDescent="0.25">
      <c r="I60">
        <v>43</v>
      </c>
      <c r="J60">
        <f>IF(MOD(ROWS($J$18:J59),12)=0,J59+1,J59)</f>
        <v>2025</v>
      </c>
      <c r="K60" s="198">
        <f>IF(M60="#N/A",NA(),monthly_mortgage_schedule[[#This Row],[Month]])</f>
        <v>43</v>
      </c>
      <c r="L60" s="198">
        <f>IF(monthly_mortgage_schedule[[#This Row],[Calendar Year]]&gt;=$C$7,monthly_mortgage_schedule[[#This Row],[Calendar Year]],NA())</f>
        <v>2025</v>
      </c>
      <c r="M60" s="199">
        <f>IF((monthly_mortgage_schedule[[#This Row],[Calendar Year]]&gt;=$C$7)*(monthly_mortgage_schedule[[#This Row],[Calendar Year]]&lt;=$C$9),monthly_mortgage_schedule[[#This Row],[Begin Year (Range)]],NA())</f>
        <v>2025</v>
      </c>
      <c r="N60" s="214">
        <f>IF((monthly_mortgage_schedule[[#This Row],[Year (Range)]]&gt;=$C$7)*(monthly_mortgage_schedule[[#This Row],[Year (Range)]]&lt;=$C$9),X60,NA())</f>
        <v>2382.25935683632</v>
      </c>
      <c r="O60" s="214">
        <f>IF((monthly_mortgage_schedule[[#This Row],[Year (Range)]]&gt;=$C$7)*(monthly_mortgage_schedule[[#This Row],[Year (Range)]]&lt;=$C$9),Y60,NA())</f>
        <v>717.76713862708812</v>
      </c>
      <c r="P60" s="214">
        <f>IF((monthly_mortgage_schedule[[#This Row],[Year (Range)]]&gt;=$C$7)*(monthly_mortgage_schedule[[#This Row],[Year (Range)]]&lt;=$C$9),AG60,NA())</f>
        <v>2394.7302866970535</v>
      </c>
      <c r="Q60" s="214">
        <f>IF((monthly_mortgage_schedule[[#This Row],[Year (Range)]]&gt;=$C$7)*(monthly_mortgage_schedule[[#This Row],[Year (Range)]]&lt;=$C$9),AH60,NA())</f>
        <v>705.29620876635454</v>
      </c>
      <c r="R60" s="214">
        <f>IF((monthly_mortgage_schedule[[#This Row],[Year (Range)]]&gt;=$C$7)*(monthly_mortgage_schedule[[#This Row],[Year (Range)]]&lt;=$C$9),AO60,NA())</f>
        <v>184.81304287481817</v>
      </c>
      <c r="S60" s="214">
        <f>IF((monthly_mortgage_schedule[[#This Row],[Year (Range)]]&gt;=$C$7)*(monthly_mortgage_schedule[[#This Row],[Year (Range)]]&lt;=$C$9),AP60,NA())</f>
        <v>0</v>
      </c>
      <c r="T60" s="214">
        <f>IF((monthly_mortgage_schedule[[#This Row],[Year (Range)]]&gt;=$C$7)*(monthly_mortgage_schedule[[#This Row],[Year (Range)]]&lt;=$C$9),AR60,NA())</f>
        <v>288.85651789753501</v>
      </c>
      <c r="U60" s="214">
        <f>IF((monthly_mortgage_schedule[[#This Row],[Year (Range)]]&gt;=$C$7)*(monthly_mortgage_schedule[[#This Row],[Year (Range)]]&lt;=$C$9),AB60,NA())</f>
        <v>30233.619245129827</v>
      </c>
      <c r="V60" s="214">
        <f>IF((monthly_mortgage_schedule[[#This Row],[Year (Range)]]&gt;=$C$7)*(monthly_mortgage_schedule[[#This Row],[Year (Range)]]&lt;=$C$9),AI60,NA())</f>
        <v>27548.806202255004</v>
      </c>
      <c r="W60" s="187">
        <f t="shared" si="2"/>
        <v>510484.14789349714</v>
      </c>
      <c r="X60" s="4">
        <f t="shared" si="6"/>
        <v>2382.25935683632</v>
      </c>
      <c r="Y60" s="4">
        <f t="shared" si="3"/>
        <v>717.76713862708812</v>
      </c>
      <c r="Z60" s="4">
        <f>_xlfn.IFNA(INDEX(additional_mortgage_payments[],MATCH(monthly_mortgage_schedule[[#This Row],[Month]],additional_mortgage_payments[Month],0),3),0)</f>
        <v>0</v>
      </c>
      <c r="AA60" s="4">
        <f>AA59+monthly_mortgage_schedule[[#This Row],[Extra Payments Towards Equity]]</f>
        <v>2500</v>
      </c>
      <c r="AB60" s="4">
        <f>AB59+monthly_mortgage_schedule[[#This Row],[Principal With Extra Principal Payments]]+monthly_mortgage_schedule[[#This Row],[Extra Payments Towards Equity]]</f>
        <v>30233.619245129827</v>
      </c>
      <c r="AC60" s="4">
        <f>monthly_mortgage_schedule[[#This Row],[Cumulative Principal With Extra Principal Payments]]+down_payment_dollars</f>
        <v>90233.619245129827</v>
      </c>
      <c r="AD60" s="200">
        <f t="shared" si="0"/>
        <v>90</v>
      </c>
      <c r="AE6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509766.38075487007</v>
      </c>
      <c r="AF60" s="187">
        <f t="shared" si="7"/>
        <v>513156.49000651139</v>
      </c>
      <c r="AG60" s="4">
        <f>IF(monthly_mortgage_schedule[[#This Row],[Loan Balance (BOY) Without Extra Principal Payments]]&gt;0,monthly_mortgage_schedule[[#This Row],[Loan Balance (BOY) Without Extra Principal Payments]]*monthly_interest_rate,0)</f>
        <v>2394.7302866970535</v>
      </c>
      <c r="AH60" s="4">
        <f>IF(monthly_mortgage_schedule[[#This Row],[Loan Balance (BOY) Without Extra Principal Payments]]&gt;1,monthly_principal_and_interest-monthly_mortgage_schedule[[#This Row],[Interest Without Extra Principal Payments]],0)</f>
        <v>705.29620876635454</v>
      </c>
      <c r="AI60" s="4">
        <f>AI59+monthly_mortgage_schedule[[#This Row],[Principal Without Extra Principal Payments]]</f>
        <v>27548.806202255004</v>
      </c>
      <c r="AJ60" s="4">
        <f>monthly_mortgage_schedule[[#This Row],[Cumulative Principal Without Extra Principal Payments]]+down_payment_dollars</f>
        <v>87548.806202255</v>
      </c>
      <c r="AK60" s="200">
        <f t="shared" si="1"/>
        <v>90</v>
      </c>
      <c r="AL6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512451.19379774504</v>
      </c>
      <c r="AN60" s="196">
        <f>monthly_mortgage_schedule[[#This Row],[Extra Payments Towards Equity]]+AN59+IF(monthly_mortgage_schedule[[#This Row],[Interest With Extra Principal Payments]]&gt;0,monthly_mortgage_schedule[[#This Row],[Interest Without Extra Principal Payments]]-monthly_mortgage_schedule[[#This Row],[Interest With Extra Principal Payments]],0)</f>
        <v>2684.8130428748182</v>
      </c>
      <c r="AO60" s="4">
        <f>AO59+IF(monthly_mortgage_schedule[[#This Row],[Interest With Extra Principal Payments]]&gt;0,monthly_mortgage_schedule[[#This Row],[Interest Without Extra Principal Payments]]-monthly_mortgage_schedule[[#This Row],[Interest With Extra Principal Payments]],0)</f>
        <v>184.81304287481817</v>
      </c>
      <c r="AP60" s="4">
        <f>AP59+monthly_mortgage_schedule[[#This Row],[PMI Without Extra Principal Payments]]-monthly_mortgage_schedule[[#This Row],[PMI with Additional Payments]]</f>
        <v>0</v>
      </c>
      <c r="AQ60" s="4">
        <f t="shared" si="4"/>
        <v>2788.856517897535</v>
      </c>
      <c r="AR60" s="4">
        <f>Table60[[#This Row],[Cumulative Investments]]-monthly_mortgage_schedule[[#This Row],[Cumulative Extra Payments Towards Equity]]</f>
        <v>288.85651789753501</v>
      </c>
    </row>
    <row r="61" spans="9:47" x14ac:dyDescent="0.25">
      <c r="I61">
        <v>44</v>
      </c>
      <c r="J61">
        <f>IF(MOD(ROWS($J$18:J60),12)=0,J60+1,J60)</f>
        <v>2025</v>
      </c>
      <c r="K61" s="198">
        <f>IF(M61="#N/A",NA(),monthly_mortgage_schedule[[#This Row],[Month]])</f>
        <v>44</v>
      </c>
      <c r="L61" s="198">
        <f>IF(monthly_mortgage_schedule[[#This Row],[Calendar Year]]&gt;=$C$7,monthly_mortgage_schedule[[#This Row],[Calendar Year]],NA())</f>
        <v>2025</v>
      </c>
      <c r="M61" s="199">
        <f>IF((monthly_mortgage_schedule[[#This Row],[Calendar Year]]&gt;=$C$7)*(monthly_mortgage_schedule[[#This Row],[Calendar Year]]&lt;=$C$9),monthly_mortgage_schedule[[#This Row],[Begin Year (Range)]],NA())</f>
        <v>2025</v>
      </c>
      <c r="N61" s="214">
        <f>IF((monthly_mortgage_schedule[[#This Row],[Year (Range)]]&gt;=$C$7)*(monthly_mortgage_schedule[[#This Row],[Year (Range)]]&lt;=$C$9),X61,NA())</f>
        <v>2378.9097768560605</v>
      </c>
      <c r="O61" s="214">
        <f>IF((monthly_mortgage_schedule[[#This Row],[Year (Range)]]&gt;=$C$7)*(monthly_mortgage_schedule[[#This Row],[Year (Range)]]&lt;=$C$9),Y61,NA())</f>
        <v>721.11671860734759</v>
      </c>
      <c r="P61" s="214">
        <f>IF((monthly_mortgage_schedule[[#This Row],[Year (Range)]]&gt;=$C$7)*(monthly_mortgage_schedule[[#This Row],[Year (Range)]]&lt;=$C$9),AG61,NA())</f>
        <v>2391.4389043894771</v>
      </c>
      <c r="Q61" s="214">
        <f>IF((monthly_mortgage_schedule[[#This Row],[Year (Range)]]&gt;=$C$7)*(monthly_mortgage_schedule[[#This Row],[Year (Range)]]&lt;=$C$9),AH61,NA())</f>
        <v>708.58759107393098</v>
      </c>
      <c r="R61" s="214">
        <f>IF((monthly_mortgage_schedule[[#This Row],[Year (Range)]]&gt;=$C$7)*(monthly_mortgage_schedule[[#This Row],[Year (Range)]]&lt;=$C$9),AO61,NA())</f>
        <v>197.34217040823478</v>
      </c>
      <c r="S61" s="214">
        <f>IF((monthly_mortgage_schedule[[#This Row],[Year (Range)]]&gt;=$C$7)*(monthly_mortgage_schedule[[#This Row],[Year (Range)]]&lt;=$C$9),AP61,NA())</f>
        <v>0</v>
      </c>
      <c r="T61" s="214">
        <f>IF((monthly_mortgage_schedule[[#This Row],[Year (Range)]]&gt;=$C$7)*(monthly_mortgage_schedule[[#This Row],[Year (Range)]]&lt;=$C$9),AR61,NA())</f>
        <v>307.44889468351857</v>
      </c>
      <c r="U61" s="214">
        <f>IF((monthly_mortgage_schedule[[#This Row],[Year (Range)]]&gt;=$C$7)*(monthly_mortgage_schedule[[#This Row],[Year (Range)]]&lt;=$C$9),AB61,NA())</f>
        <v>30954.735963737174</v>
      </c>
      <c r="V61" s="214">
        <f>IF((monthly_mortgage_schedule[[#This Row],[Year (Range)]]&gt;=$C$7)*(monthly_mortgage_schedule[[#This Row],[Year (Range)]]&lt;=$C$9),AI61,NA())</f>
        <v>28257.393793328934</v>
      </c>
      <c r="W61" s="187">
        <f t="shared" si="2"/>
        <v>509766.38075487007</v>
      </c>
      <c r="X61" s="4">
        <f t="shared" si="6"/>
        <v>2378.9097768560605</v>
      </c>
      <c r="Y61" s="4">
        <f t="shared" si="3"/>
        <v>721.11671860734759</v>
      </c>
      <c r="Z61" s="4">
        <f>_xlfn.IFNA(INDEX(additional_mortgage_payments[],MATCH(monthly_mortgage_schedule[[#This Row],[Month]],additional_mortgage_payments[Month],0),3),0)</f>
        <v>0</v>
      </c>
      <c r="AA61" s="4">
        <f>AA60+monthly_mortgage_schedule[[#This Row],[Extra Payments Towards Equity]]</f>
        <v>2500</v>
      </c>
      <c r="AB61" s="4">
        <f>AB60+monthly_mortgage_schedule[[#This Row],[Principal With Extra Principal Payments]]+monthly_mortgage_schedule[[#This Row],[Extra Payments Towards Equity]]</f>
        <v>30954.735963737174</v>
      </c>
      <c r="AC61" s="4">
        <f>monthly_mortgage_schedule[[#This Row],[Cumulative Principal With Extra Principal Payments]]+down_payment_dollars</f>
        <v>90954.73596373717</v>
      </c>
      <c r="AD61" s="200">
        <f t="shared" si="0"/>
        <v>90</v>
      </c>
      <c r="AE6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509045.2640362627</v>
      </c>
      <c r="AF61" s="187">
        <f t="shared" si="7"/>
        <v>512451.19379774504</v>
      </c>
      <c r="AG61" s="4">
        <f>IF(monthly_mortgage_schedule[[#This Row],[Loan Balance (BOY) Without Extra Principal Payments]]&gt;0,monthly_mortgage_schedule[[#This Row],[Loan Balance (BOY) Without Extra Principal Payments]]*monthly_interest_rate,0)</f>
        <v>2391.4389043894771</v>
      </c>
      <c r="AH61" s="4">
        <f>IF(monthly_mortgage_schedule[[#This Row],[Loan Balance (BOY) Without Extra Principal Payments]]&gt;1,monthly_principal_and_interest-monthly_mortgage_schedule[[#This Row],[Interest Without Extra Principal Payments]],0)</f>
        <v>708.58759107393098</v>
      </c>
      <c r="AI61" s="4">
        <f>AI60+monthly_mortgage_schedule[[#This Row],[Principal Without Extra Principal Payments]]</f>
        <v>28257.393793328934</v>
      </c>
      <c r="AJ61" s="4">
        <f>monthly_mortgage_schedule[[#This Row],[Cumulative Principal Without Extra Principal Payments]]+down_payment_dollars</f>
        <v>88257.393793328927</v>
      </c>
      <c r="AK61" s="200">
        <f t="shared" si="1"/>
        <v>90</v>
      </c>
      <c r="AL6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511742.6062066711</v>
      </c>
      <c r="AN61" s="196">
        <f>monthly_mortgage_schedule[[#This Row],[Extra Payments Towards Equity]]+AN60+IF(monthly_mortgage_schedule[[#This Row],[Interest With Extra Principal Payments]]&gt;0,monthly_mortgage_schedule[[#This Row],[Interest Without Extra Principal Payments]]-monthly_mortgage_schedule[[#This Row],[Interest With Extra Principal Payments]],0)</f>
        <v>2697.3421704082348</v>
      </c>
      <c r="AO61" s="4">
        <f>AO60+IF(monthly_mortgage_schedule[[#This Row],[Interest With Extra Principal Payments]]&gt;0,monthly_mortgage_schedule[[#This Row],[Interest Without Extra Principal Payments]]-monthly_mortgage_schedule[[#This Row],[Interest With Extra Principal Payments]],0)</f>
        <v>197.34217040823478</v>
      </c>
      <c r="AP61" s="4">
        <f>AP60+monthly_mortgage_schedule[[#This Row],[PMI Without Extra Principal Payments]]-monthly_mortgage_schedule[[#This Row],[PMI with Additional Payments]]</f>
        <v>0</v>
      </c>
      <c r="AQ61" s="4">
        <f t="shared" si="4"/>
        <v>2807.4488946835186</v>
      </c>
      <c r="AR61" s="4">
        <f>Table60[[#This Row],[Cumulative Investments]]-monthly_mortgage_schedule[[#This Row],[Cumulative Extra Payments Towards Equity]]</f>
        <v>307.44889468351857</v>
      </c>
    </row>
    <row r="62" spans="9:47" x14ac:dyDescent="0.25">
      <c r="I62">
        <v>45</v>
      </c>
      <c r="J62">
        <f>IF(MOD(ROWS($J$18:J61),12)=0,J61+1,J61)</f>
        <v>2025</v>
      </c>
      <c r="K62" s="198">
        <f>IF(M62="#N/A",NA(),monthly_mortgage_schedule[[#This Row],[Month]])</f>
        <v>45</v>
      </c>
      <c r="L62" s="198">
        <f>IF(monthly_mortgage_schedule[[#This Row],[Calendar Year]]&gt;=$C$7,monthly_mortgage_schedule[[#This Row],[Calendar Year]],NA())</f>
        <v>2025</v>
      </c>
      <c r="M62" s="199">
        <f>IF((monthly_mortgage_schedule[[#This Row],[Calendar Year]]&gt;=$C$7)*(monthly_mortgage_schedule[[#This Row],[Calendar Year]]&lt;=$C$9),monthly_mortgage_schedule[[#This Row],[Begin Year (Range)]],NA())</f>
        <v>2025</v>
      </c>
      <c r="N62" s="214">
        <f>IF((monthly_mortgage_schedule[[#This Row],[Year (Range)]]&gt;=$C$7)*(monthly_mortgage_schedule[[#This Row],[Year (Range)]]&lt;=$C$9),X62,NA())</f>
        <v>2375.5445655025596</v>
      </c>
      <c r="O62" s="214">
        <f>IF((monthly_mortgage_schedule[[#This Row],[Year (Range)]]&gt;=$C$7)*(monthly_mortgage_schedule[[#This Row],[Year (Range)]]&lt;=$C$9),Y62,NA())</f>
        <v>724.48192996084845</v>
      </c>
      <c r="P62" s="214">
        <f>IF((monthly_mortgage_schedule[[#This Row],[Year (Range)]]&gt;=$C$7)*(monthly_mortgage_schedule[[#This Row],[Year (Range)]]&lt;=$C$9),AG62,NA())</f>
        <v>2388.1321622977985</v>
      </c>
      <c r="Q62" s="214">
        <f>IF((monthly_mortgage_schedule[[#This Row],[Year (Range)]]&gt;=$C$7)*(monthly_mortgage_schedule[[#This Row],[Year (Range)]]&lt;=$C$9),AH62,NA())</f>
        <v>711.89433316560962</v>
      </c>
      <c r="R62" s="214">
        <f>IF((monthly_mortgage_schedule[[#This Row],[Year (Range)]]&gt;=$C$7)*(monthly_mortgage_schedule[[#This Row],[Year (Range)]]&lt;=$C$9),AO62,NA())</f>
        <v>209.9297672034736</v>
      </c>
      <c r="S62" s="214">
        <f>IF((monthly_mortgage_schedule[[#This Row],[Year (Range)]]&gt;=$C$7)*(monthly_mortgage_schedule[[#This Row],[Year (Range)]]&lt;=$C$9),AP62,NA())</f>
        <v>0</v>
      </c>
      <c r="T62" s="214">
        <f>IF((monthly_mortgage_schedule[[#This Row],[Year (Range)]]&gt;=$C$7)*(monthly_mortgage_schedule[[#This Row],[Year (Range)]]&lt;=$C$9),AR62,NA())</f>
        <v>326.16522064807532</v>
      </c>
      <c r="U62" s="214">
        <f>IF((monthly_mortgage_schedule[[#This Row],[Year (Range)]]&gt;=$C$7)*(monthly_mortgage_schedule[[#This Row],[Year (Range)]]&lt;=$C$9),AB62,NA())</f>
        <v>31679.217893698024</v>
      </c>
      <c r="V62" s="214">
        <f>IF((monthly_mortgage_schedule[[#This Row],[Year (Range)]]&gt;=$C$7)*(monthly_mortgage_schedule[[#This Row],[Year (Range)]]&lt;=$C$9),AI62,NA())</f>
        <v>28969.288126494543</v>
      </c>
      <c r="W62" s="187">
        <f t="shared" si="2"/>
        <v>509045.2640362627</v>
      </c>
      <c r="X62" s="4">
        <f t="shared" si="6"/>
        <v>2375.5445655025596</v>
      </c>
      <c r="Y62" s="4">
        <f t="shared" si="3"/>
        <v>724.48192996084845</v>
      </c>
      <c r="Z62" s="4">
        <f>_xlfn.IFNA(INDEX(additional_mortgage_payments[],MATCH(monthly_mortgage_schedule[[#This Row],[Month]],additional_mortgage_payments[Month],0),3),0)</f>
        <v>0</v>
      </c>
      <c r="AA62" s="4">
        <f>AA61+monthly_mortgage_schedule[[#This Row],[Extra Payments Towards Equity]]</f>
        <v>2500</v>
      </c>
      <c r="AB62" s="4">
        <f>AB61+monthly_mortgage_schedule[[#This Row],[Principal With Extra Principal Payments]]+monthly_mortgage_schedule[[#This Row],[Extra Payments Towards Equity]]</f>
        <v>31679.217893698024</v>
      </c>
      <c r="AC62" s="4">
        <f>monthly_mortgage_schedule[[#This Row],[Cumulative Principal With Extra Principal Payments]]+down_payment_dollars</f>
        <v>91679.21789369802</v>
      </c>
      <c r="AD62" s="200">
        <f t="shared" si="0"/>
        <v>90</v>
      </c>
      <c r="AE6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508320.78210630186</v>
      </c>
      <c r="AF62" s="187">
        <f t="shared" si="7"/>
        <v>511742.6062066711</v>
      </c>
      <c r="AG62" s="4">
        <f>IF(monthly_mortgage_schedule[[#This Row],[Loan Balance (BOY) Without Extra Principal Payments]]&gt;0,monthly_mortgage_schedule[[#This Row],[Loan Balance (BOY) Without Extra Principal Payments]]*monthly_interest_rate,0)</f>
        <v>2388.1321622977985</v>
      </c>
      <c r="AH62" s="4">
        <f>IF(monthly_mortgage_schedule[[#This Row],[Loan Balance (BOY) Without Extra Principal Payments]]&gt;1,monthly_principal_and_interest-monthly_mortgage_schedule[[#This Row],[Interest Without Extra Principal Payments]],0)</f>
        <v>711.89433316560962</v>
      </c>
      <c r="AI62" s="4">
        <f>AI61+monthly_mortgage_schedule[[#This Row],[Principal Without Extra Principal Payments]]</f>
        <v>28969.288126494543</v>
      </c>
      <c r="AJ62" s="4">
        <f>monthly_mortgage_schedule[[#This Row],[Cumulative Principal Without Extra Principal Payments]]+down_payment_dollars</f>
        <v>88969.288126494546</v>
      </c>
      <c r="AK62" s="200">
        <f t="shared" si="1"/>
        <v>90</v>
      </c>
      <c r="AL6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511030.7118735055</v>
      </c>
      <c r="AN62" s="196">
        <f>monthly_mortgage_schedule[[#This Row],[Extra Payments Towards Equity]]+AN61+IF(monthly_mortgage_schedule[[#This Row],[Interest With Extra Principal Payments]]&gt;0,monthly_mortgage_schedule[[#This Row],[Interest Without Extra Principal Payments]]-monthly_mortgage_schedule[[#This Row],[Interest With Extra Principal Payments]],0)</f>
        <v>2709.9297672034736</v>
      </c>
      <c r="AO62" s="4">
        <f>AO61+IF(monthly_mortgage_schedule[[#This Row],[Interest With Extra Principal Payments]]&gt;0,monthly_mortgage_schedule[[#This Row],[Interest Without Extra Principal Payments]]-monthly_mortgage_schedule[[#This Row],[Interest With Extra Principal Payments]],0)</f>
        <v>209.9297672034736</v>
      </c>
      <c r="AP62" s="4">
        <f>AP61+monthly_mortgage_schedule[[#This Row],[PMI Without Extra Principal Payments]]-monthly_mortgage_schedule[[#This Row],[PMI with Additional Payments]]</f>
        <v>0</v>
      </c>
      <c r="AQ62" s="4">
        <f t="shared" si="4"/>
        <v>2826.1652206480753</v>
      </c>
      <c r="AR62" s="4">
        <f>Table60[[#This Row],[Cumulative Investments]]-monthly_mortgage_schedule[[#This Row],[Cumulative Extra Payments Towards Equity]]</f>
        <v>326.16522064807532</v>
      </c>
      <c r="AU62" s="58"/>
    </row>
    <row r="63" spans="9:47" x14ac:dyDescent="0.25">
      <c r="I63">
        <v>46</v>
      </c>
      <c r="J63">
        <f>IF(MOD(ROWS($J$18:J62),12)=0,J62+1,J62)</f>
        <v>2025</v>
      </c>
      <c r="K63" s="198">
        <f>IF(M63="#N/A",NA(),monthly_mortgage_schedule[[#This Row],[Month]])</f>
        <v>46</v>
      </c>
      <c r="L63" s="198">
        <f>IF(monthly_mortgage_schedule[[#This Row],[Calendar Year]]&gt;=$C$7,monthly_mortgage_schedule[[#This Row],[Calendar Year]],NA())</f>
        <v>2025</v>
      </c>
      <c r="M63" s="199">
        <f>IF((monthly_mortgage_schedule[[#This Row],[Calendar Year]]&gt;=$C$7)*(monthly_mortgage_schedule[[#This Row],[Calendar Year]]&lt;=$C$9),monthly_mortgage_schedule[[#This Row],[Begin Year (Range)]],NA())</f>
        <v>2025</v>
      </c>
      <c r="N63" s="214">
        <f>IF((monthly_mortgage_schedule[[#This Row],[Year (Range)]]&gt;=$C$7)*(monthly_mortgage_schedule[[#This Row],[Year (Range)]]&lt;=$C$9),X63,NA())</f>
        <v>2372.1636498294088</v>
      </c>
      <c r="O63" s="214">
        <f>IF((monthly_mortgage_schedule[[#This Row],[Year (Range)]]&gt;=$C$7)*(monthly_mortgage_schedule[[#This Row],[Year (Range)]]&lt;=$C$9),Y63,NA())</f>
        <v>727.86284563399931</v>
      </c>
      <c r="P63" s="214">
        <f>IF((monthly_mortgage_schedule[[#This Row],[Year (Range)]]&gt;=$C$7)*(monthly_mortgage_schedule[[#This Row],[Year (Range)]]&lt;=$C$9),AG63,NA())</f>
        <v>2384.8099887430258</v>
      </c>
      <c r="Q63" s="214">
        <f>IF((monthly_mortgage_schedule[[#This Row],[Year (Range)]]&gt;=$C$7)*(monthly_mortgage_schedule[[#This Row],[Year (Range)]]&lt;=$C$9),AH63,NA())</f>
        <v>715.21650672038231</v>
      </c>
      <c r="R63" s="214">
        <f>IF((monthly_mortgage_schedule[[#This Row],[Year (Range)]]&gt;=$C$7)*(monthly_mortgage_schedule[[#This Row],[Year (Range)]]&lt;=$C$9),AO63,NA())</f>
        <v>222.5761061170906</v>
      </c>
      <c r="S63" s="214">
        <f>IF((monthly_mortgage_schedule[[#This Row],[Year (Range)]]&gt;=$C$7)*(monthly_mortgage_schedule[[#This Row],[Year (Range)]]&lt;=$C$9),AP63,NA())</f>
        <v>0</v>
      </c>
      <c r="T63" s="214">
        <f>IF((monthly_mortgage_schedule[[#This Row],[Year (Range)]]&gt;=$C$7)*(monthly_mortgage_schedule[[#This Row],[Year (Range)]]&lt;=$C$9),AR63,NA())</f>
        <v>345.00632211906213</v>
      </c>
      <c r="U63" s="214">
        <f>IF((monthly_mortgage_schedule[[#This Row],[Year (Range)]]&gt;=$C$7)*(monthly_mortgage_schedule[[#This Row],[Year (Range)]]&lt;=$C$9),AB63,NA())</f>
        <v>32407.080739332021</v>
      </c>
      <c r="V63" s="214">
        <f>IF((monthly_mortgage_schedule[[#This Row],[Year (Range)]]&gt;=$C$7)*(monthly_mortgage_schedule[[#This Row],[Year (Range)]]&lt;=$C$9),AI63,NA())</f>
        <v>29684.504633214925</v>
      </c>
      <c r="W63" s="187">
        <f t="shared" si="2"/>
        <v>508320.78210630186</v>
      </c>
      <c r="X63" s="4">
        <f t="shared" si="6"/>
        <v>2372.1636498294088</v>
      </c>
      <c r="Y63" s="4">
        <f t="shared" si="3"/>
        <v>727.86284563399931</v>
      </c>
      <c r="Z63" s="4">
        <f>_xlfn.IFNA(INDEX(additional_mortgage_payments[],MATCH(monthly_mortgage_schedule[[#This Row],[Month]],additional_mortgage_payments[Month],0),3),0)</f>
        <v>0</v>
      </c>
      <c r="AA63" s="4">
        <f>AA62+monthly_mortgage_schedule[[#This Row],[Extra Payments Towards Equity]]</f>
        <v>2500</v>
      </c>
      <c r="AB63" s="4">
        <f>AB62+monthly_mortgage_schedule[[#This Row],[Principal With Extra Principal Payments]]+monthly_mortgage_schedule[[#This Row],[Extra Payments Towards Equity]]</f>
        <v>32407.080739332021</v>
      </c>
      <c r="AC63" s="4">
        <f>monthly_mortgage_schedule[[#This Row],[Cumulative Principal With Extra Principal Payments]]+down_payment_dollars</f>
        <v>92407.080739332014</v>
      </c>
      <c r="AD63" s="200">
        <f t="shared" si="0"/>
        <v>90</v>
      </c>
      <c r="AE6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507592.91926066787</v>
      </c>
      <c r="AF63" s="187">
        <f t="shared" si="7"/>
        <v>511030.7118735055</v>
      </c>
      <c r="AG63" s="4">
        <f>IF(monthly_mortgage_schedule[[#This Row],[Loan Balance (BOY) Without Extra Principal Payments]]&gt;0,monthly_mortgage_schedule[[#This Row],[Loan Balance (BOY) Without Extra Principal Payments]]*monthly_interest_rate,0)</f>
        <v>2384.8099887430258</v>
      </c>
      <c r="AH63" s="4">
        <f>IF(monthly_mortgage_schedule[[#This Row],[Loan Balance (BOY) Without Extra Principal Payments]]&gt;1,monthly_principal_and_interest-monthly_mortgage_schedule[[#This Row],[Interest Without Extra Principal Payments]],0)</f>
        <v>715.21650672038231</v>
      </c>
      <c r="AI63" s="4">
        <f>AI62+monthly_mortgage_schedule[[#This Row],[Principal Without Extra Principal Payments]]</f>
        <v>29684.504633214925</v>
      </c>
      <c r="AJ63" s="4">
        <f>monthly_mortgage_schedule[[#This Row],[Cumulative Principal Without Extra Principal Payments]]+down_payment_dollars</f>
        <v>89684.504633214921</v>
      </c>
      <c r="AK63" s="200">
        <f t="shared" si="1"/>
        <v>90</v>
      </c>
      <c r="AL6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510315.49536678509</v>
      </c>
      <c r="AN63" s="196">
        <f>monthly_mortgage_schedule[[#This Row],[Extra Payments Towards Equity]]+AN62+IF(monthly_mortgage_schedule[[#This Row],[Interest With Extra Principal Payments]]&gt;0,monthly_mortgage_schedule[[#This Row],[Interest Without Extra Principal Payments]]-monthly_mortgage_schedule[[#This Row],[Interest With Extra Principal Payments]],0)</f>
        <v>2722.5761061170906</v>
      </c>
      <c r="AO63" s="4">
        <f>AO62+IF(monthly_mortgage_schedule[[#This Row],[Interest With Extra Principal Payments]]&gt;0,monthly_mortgage_schedule[[#This Row],[Interest Without Extra Principal Payments]]-monthly_mortgage_schedule[[#This Row],[Interest With Extra Principal Payments]],0)</f>
        <v>222.5761061170906</v>
      </c>
      <c r="AP63" s="4">
        <f>AP62+monthly_mortgage_schedule[[#This Row],[PMI Without Extra Principal Payments]]-monthly_mortgage_schedule[[#This Row],[PMI with Additional Payments]]</f>
        <v>0</v>
      </c>
      <c r="AQ63" s="4">
        <f t="shared" si="4"/>
        <v>2845.0063221190621</v>
      </c>
      <c r="AR63" s="4">
        <f>Table60[[#This Row],[Cumulative Investments]]-monthly_mortgage_schedule[[#This Row],[Cumulative Extra Payments Towards Equity]]</f>
        <v>345.00632211906213</v>
      </c>
    </row>
    <row r="64" spans="9:47" x14ac:dyDescent="0.25">
      <c r="I64">
        <v>47</v>
      </c>
      <c r="J64">
        <f>IF(MOD(ROWS($J$18:J63),12)=0,J63+1,J63)</f>
        <v>2025</v>
      </c>
      <c r="K64" s="198">
        <f>IF(M64="#N/A",NA(),monthly_mortgage_schedule[[#This Row],[Month]])</f>
        <v>47</v>
      </c>
      <c r="L64" s="198">
        <f>IF(monthly_mortgage_schedule[[#This Row],[Calendar Year]]&gt;=$C$7,monthly_mortgage_schedule[[#This Row],[Calendar Year]],NA())</f>
        <v>2025</v>
      </c>
      <c r="M64" s="199">
        <f>IF((monthly_mortgage_schedule[[#This Row],[Calendar Year]]&gt;=$C$7)*(monthly_mortgage_schedule[[#This Row],[Calendar Year]]&lt;=$C$9),monthly_mortgage_schedule[[#This Row],[Begin Year (Range)]],NA())</f>
        <v>2025</v>
      </c>
      <c r="N64" s="214">
        <f>IF((monthly_mortgage_schedule[[#This Row],[Year (Range)]]&gt;=$C$7)*(monthly_mortgage_schedule[[#This Row],[Year (Range)]]&lt;=$C$9),X64,NA())</f>
        <v>2368.7669565497836</v>
      </c>
      <c r="O64" s="214">
        <f>IF((monthly_mortgage_schedule[[#This Row],[Year (Range)]]&gt;=$C$7)*(monthly_mortgage_schedule[[#This Row],[Year (Range)]]&lt;=$C$9),Y64,NA())</f>
        <v>731.25953891362451</v>
      </c>
      <c r="P64" s="214">
        <f>IF((monthly_mortgage_schedule[[#This Row],[Year (Range)]]&gt;=$C$7)*(monthly_mortgage_schedule[[#This Row],[Year (Range)]]&lt;=$C$9),AG64,NA())</f>
        <v>2381.4723117116641</v>
      </c>
      <c r="Q64" s="214">
        <f>IF((monthly_mortgage_schedule[[#This Row],[Year (Range)]]&gt;=$C$7)*(monthly_mortgage_schedule[[#This Row],[Year (Range)]]&lt;=$C$9),AH64,NA())</f>
        <v>718.55418375174395</v>
      </c>
      <c r="R64" s="214">
        <f>IF((monthly_mortgage_schedule[[#This Row],[Year (Range)]]&gt;=$C$7)*(monthly_mortgage_schedule[[#This Row],[Year (Range)]]&lt;=$C$9),AO64,NA())</f>
        <v>235.28146127897116</v>
      </c>
      <c r="S64" s="214">
        <f>IF((monthly_mortgage_schedule[[#This Row],[Year (Range)]]&gt;=$C$7)*(monthly_mortgage_schedule[[#This Row],[Year (Range)]]&lt;=$C$9),AP64,NA())</f>
        <v>0</v>
      </c>
      <c r="T64" s="214">
        <f>IF((monthly_mortgage_schedule[[#This Row],[Year (Range)]]&gt;=$C$7)*(monthly_mortgage_schedule[[#This Row],[Year (Range)]]&lt;=$C$9),AR64,NA())</f>
        <v>363.97303093318897</v>
      </c>
      <c r="U64" s="214">
        <f>IF((monthly_mortgage_schedule[[#This Row],[Year (Range)]]&gt;=$C$7)*(monthly_mortgage_schedule[[#This Row],[Year (Range)]]&lt;=$C$9),AB64,NA())</f>
        <v>33138.340278245647</v>
      </c>
      <c r="V64" s="214">
        <f>IF((monthly_mortgage_schedule[[#This Row],[Year (Range)]]&gt;=$C$7)*(monthly_mortgage_schedule[[#This Row],[Year (Range)]]&lt;=$C$9),AI64,NA())</f>
        <v>30403.05881696667</v>
      </c>
      <c r="W64" s="187">
        <f t="shared" si="2"/>
        <v>507592.91926066787</v>
      </c>
      <c r="X64" s="4">
        <f t="shared" si="6"/>
        <v>2368.7669565497836</v>
      </c>
      <c r="Y64" s="4">
        <f t="shared" si="3"/>
        <v>731.25953891362451</v>
      </c>
      <c r="Z64" s="4">
        <f>_xlfn.IFNA(INDEX(additional_mortgage_payments[],MATCH(monthly_mortgage_schedule[[#This Row],[Month]],additional_mortgage_payments[Month],0),3),0)</f>
        <v>0</v>
      </c>
      <c r="AA64" s="4">
        <f>AA63+monthly_mortgage_schedule[[#This Row],[Extra Payments Towards Equity]]</f>
        <v>2500</v>
      </c>
      <c r="AB64" s="4">
        <f>AB63+monthly_mortgage_schedule[[#This Row],[Principal With Extra Principal Payments]]+monthly_mortgage_schedule[[#This Row],[Extra Payments Towards Equity]]</f>
        <v>33138.340278245647</v>
      </c>
      <c r="AC64" s="4">
        <f>monthly_mortgage_schedule[[#This Row],[Cumulative Principal With Extra Principal Payments]]+down_payment_dollars</f>
        <v>93138.340278245654</v>
      </c>
      <c r="AD64" s="200">
        <f t="shared" si="0"/>
        <v>90</v>
      </c>
      <c r="AE6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506861.65972175426</v>
      </c>
      <c r="AF64" s="187">
        <f t="shared" si="7"/>
        <v>510315.49536678509</v>
      </c>
      <c r="AG64" s="4">
        <f>IF(monthly_mortgage_schedule[[#This Row],[Loan Balance (BOY) Without Extra Principal Payments]]&gt;0,monthly_mortgage_schedule[[#This Row],[Loan Balance (BOY) Without Extra Principal Payments]]*monthly_interest_rate,0)</f>
        <v>2381.4723117116641</v>
      </c>
      <c r="AH64" s="4">
        <f>IF(monthly_mortgage_schedule[[#This Row],[Loan Balance (BOY) Without Extra Principal Payments]]&gt;1,monthly_principal_and_interest-monthly_mortgage_schedule[[#This Row],[Interest Without Extra Principal Payments]],0)</f>
        <v>718.55418375174395</v>
      </c>
      <c r="AI64" s="4">
        <f>AI63+monthly_mortgage_schedule[[#This Row],[Principal Without Extra Principal Payments]]</f>
        <v>30403.05881696667</v>
      </c>
      <c r="AJ64" s="4">
        <f>monthly_mortgage_schedule[[#This Row],[Cumulative Principal Without Extra Principal Payments]]+down_payment_dollars</f>
        <v>90403.058816966673</v>
      </c>
      <c r="AK64" s="200">
        <f t="shared" si="1"/>
        <v>90</v>
      </c>
      <c r="AL6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509596.94118303334</v>
      </c>
      <c r="AN64" s="196">
        <f>monthly_mortgage_schedule[[#This Row],[Extra Payments Towards Equity]]+AN63+IF(monthly_mortgage_schedule[[#This Row],[Interest With Extra Principal Payments]]&gt;0,monthly_mortgage_schedule[[#This Row],[Interest Without Extra Principal Payments]]-monthly_mortgage_schedule[[#This Row],[Interest With Extra Principal Payments]],0)</f>
        <v>2735.2814612789712</v>
      </c>
      <c r="AO64" s="4">
        <f>AO63+IF(monthly_mortgage_schedule[[#This Row],[Interest With Extra Principal Payments]]&gt;0,monthly_mortgage_schedule[[#This Row],[Interest Without Extra Principal Payments]]-monthly_mortgage_schedule[[#This Row],[Interest With Extra Principal Payments]],0)</f>
        <v>235.28146127897116</v>
      </c>
      <c r="AP64" s="4">
        <f>AP63+monthly_mortgage_schedule[[#This Row],[PMI Without Extra Principal Payments]]-monthly_mortgage_schedule[[#This Row],[PMI with Additional Payments]]</f>
        <v>0</v>
      </c>
      <c r="AQ64" s="4">
        <f t="shared" si="4"/>
        <v>2863.973030933189</v>
      </c>
      <c r="AR64" s="4">
        <f>Table60[[#This Row],[Cumulative Investments]]-monthly_mortgage_schedule[[#This Row],[Cumulative Extra Payments Towards Equity]]</f>
        <v>363.97303093318897</v>
      </c>
    </row>
    <row r="65" spans="9:44" x14ac:dyDescent="0.25">
      <c r="I65">
        <v>48</v>
      </c>
      <c r="J65">
        <f>IF(MOD(ROWS($J$18:J64),12)=0,J64+1,J64)</f>
        <v>2025</v>
      </c>
      <c r="K65" s="198">
        <f>IF(M65="#N/A",NA(),monthly_mortgage_schedule[[#This Row],[Month]])</f>
        <v>48</v>
      </c>
      <c r="L65" s="198">
        <f>IF(monthly_mortgage_schedule[[#This Row],[Calendar Year]]&gt;=$C$7,monthly_mortgage_schedule[[#This Row],[Calendar Year]],NA())</f>
        <v>2025</v>
      </c>
      <c r="M65" s="199">
        <f>IF((monthly_mortgage_schedule[[#This Row],[Calendar Year]]&gt;=$C$7)*(monthly_mortgage_schedule[[#This Row],[Calendar Year]]&lt;=$C$9),monthly_mortgage_schedule[[#This Row],[Begin Year (Range)]],NA())</f>
        <v>2025</v>
      </c>
      <c r="N65" s="214">
        <f>IF((monthly_mortgage_schedule[[#This Row],[Year (Range)]]&gt;=$C$7)*(monthly_mortgage_schedule[[#This Row],[Year (Range)]]&lt;=$C$9),X65,NA())</f>
        <v>2365.3544120348533</v>
      </c>
      <c r="O65" s="214">
        <f>IF((monthly_mortgage_schedule[[#This Row],[Year (Range)]]&gt;=$C$7)*(monthly_mortgage_schedule[[#This Row],[Year (Range)]]&lt;=$C$9),Y65,NA())</f>
        <v>734.67208342855474</v>
      </c>
      <c r="P65" s="214">
        <f>IF((monthly_mortgage_schedule[[#This Row],[Year (Range)]]&gt;=$C$7)*(monthly_mortgage_schedule[[#This Row],[Year (Range)]]&lt;=$C$9),AG65,NA())</f>
        <v>2378.1190588541558</v>
      </c>
      <c r="Q65" s="214">
        <f>IF((monthly_mortgage_schedule[[#This Row],[Year (Range)]]&gt;=$C$7)*(monthly_mortgage_schedule[[#This Row],[Year (Range)]]&lt;=$C$9),AH65,NA())</f>
        <v>721.90743660925227</v>
      </c>
      <c r="R65" s="214">
        <f>IF((monthly_mortgage_schedule[[#This Row],[Year (Range)]]&gt;=$C$7)*(monthly_mortgage_schedule[[#This Row],[Year (Range)]]&lt;=$C$9),AO65,NA())</f>
        <v>248.04610809827363</v>
      </c>
      <c r="S65" s="214">
        <f>IF((monthly_mortgage_schedule[[#This Row],[Year (Range)]]&gt;=$C$7)*(monthly_mortgage_schedule[[#This Row],[Year (Range)]]&lt;=$C$9),AP65,NA())</f>
        <v>0</v>
      </c>
      <c r="T65" s="214">
        <f>IF((monthly_mortgage_schedule[[#This Row],[Year (Range)]]&gt;=$C$7)*(monthly_mortgage_schedule[[#This Row],[Year (Range)]]&lt;=$C$9),AR65,NA())</f>
        <v>383.06618447274332</v>
      </c>
      <c r="U65" s="214">
        <f>IF((monthly_mortgage_schedule[[#This Row],[Year (Range)]]&gt;=$C$7)*(monthly_mortgage_schedule[[#This Row],[Year (Range)]]&lt;=$C$9),AB65,NA())</f>
        <v>33873.012361674198</v>
      </c>
      <c r="V65" s="214">
        <f>IF((monthly_mortgage_schedule[[#This Row],[Year (Range)]]&gt;=$C$7)*(monthly_mortgage_schedule[[#This Row],[Year (Range)]]&lt;=$C$9),AI65,NA())</f>
        <v>31124.966253575923</v>
      </c>
      <c r="W65" s="187">
        <f t="shared" si="2"/>
        <v>506861.65972175426</v>
      </c>
      <c r="X65" s="4">
        <f t="shared" si="6"/>
        <v>2365.3544120348533</v>
      </c>
      <c r="Y65" s="4">
        <f t="shared" si="3"/>
        <v>734.67208342855474</v>
      </c>
      <c r="Z65" s="4">
        <f>_xlfn.IFNA(INDEX(additional_mortgage_payments[],MATCH(monthly_mortgage_schedule[[#This Row],[Month]],additional_mortgage_payments[Month],0),3),0)</f>
        <v>0</v>
      </c>
      <c r="AA65" s="4">
        <f>AA64+monthly_mortgage_schedule[[#This Row],[Extra Payments Towards Equity]]</f>
        <v>2500</v>
      </c>
      <c r="AB65" s="4">
        <f>AB64+monthly_mortgage_schedule[[#This Row],[Principal With Extra Principal Payments]]+monthly_mortgage_schedule[[#This Row],[Extra Payments Towards Equity]]</f>
        <v>33873.012361674198</v>
      </c>
      <c r="AC65" s="4">
        <f>monthly_mortgage_schedule[[#This Row],[Cumulative Principal With Extra Principal Payments]]+down_payment_dollars</f>
        <v>93873.012361674191</v>
      </c>
      <c r="AD65" s="200">
        <f t="shared" si="0"/>
        <v>90</v>
      </c>
      <c r="AE6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506126.98763832572</v>
      </c>
      <c r="AF65" s="187">
        <f t="shared" si="7"/>
        <v>509596.94118303334</v>
      </c>
      <c r="AG65" s="4">
        <f>IF(monthly_mortgage_schedule[[#This Row],[Loan Balance (BOY) Without Extra Principal Payments]]&gt;0,monthly_mortgage_schedule[[#This Row],[Loan Balance (BOY) Without Extra Principal Payments]]*monthly_interest_rate,0)</f>
        <v>2378.1190588541558</v>
      </c>
      <c r="AH65" s="4">
        <f>IF(monthly_mortgage_schedule[[#This Row],[Loan Balance (BOY) Without Extra Principal Payments]]&gt;1,monthly_principal_and_interest-monthly_mortgage_schedule[[#This Row],[Interest Without Extra Principal Payments]],0)</f>
        <v>721.90743660925227</v>
      </c>
      <c r="AI65" s="4">
        <f>AI64+monthly_mortgage_schedule[[#This Row],[Principal Without Extra Principal Payments]]</f>
        <v>31124.966253575923</v>
      </c>
      <c r="AJ65" s="4">
        <f>monthly_mortgage_schedule[[#This Row],[Cumulative Principal Without Extra Principal Payments]]+down_payment_dollars</f>
        <v>91124.966253575927</v>
      </c>
      <c r="AK65" s="200">
        <f t="shared" si="1"/>
        <v>90</v>
      </c>
      <c r="AL6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508875.03374642407</v>
      </c>
      <c r="AN65" s="196">
        <f>monthly_mortgage_schedule[[#This Row],[Extra Payments Towards Equity]]+AN64+IF(monthly_mortgage_schedule[[#This Row],[Interest With Extra Principal Payments]]&gt;0,monthly_mortgage_schedule[[#This Row],[Interest Without Extra Principal Payments]]-monthly_mortgage_schedule[[#This Row],[Interest With Extra Principal Payments]],0)</f>
        <v>2748.0461080982736</v>
      </c>
      <c r="AO65" s="4">
        <f>AO64+IF(monthly_mortgage_schedule[[#This Row],[Interest With Extra Principal Payments]]&gt;0,monthly_mortgage_schedule[[#This Row],[Interest Without Extra Principal Payments]]-monthly_mortgage_schedule[[#This Row],[Interest With Extra Principal Payments]],0)</f>
        <v>248.04610809827363</v>
      </c>
      <c r="AP65" s="4">
        <f>AP64+monthly_mortgage_schedule[[#This Row],[PMI Without Extra Principal Payments]]-monthly_mortgage_schedule[[#This Row],[PMI with Additional Payments]]</f>
        <v>0</v>
      </c>
      <c r="AQ65" s="4">
        <f t="shared" si="4"/>
        <v>2883.0661844727433</v>
      </c>
      <c r="AR65" s="4">
        <f>Table60[[#This Row],[Cumulative Investments]]-monthly_mortgage_schedule[[#This Row],[Cumulative Extra Payments Towards Equity]]</f>
        <v>383.06618447274332</v>
      </c>
    </row>
    <row r="66" spans="9:44" x14ac:dyDescent="0.25">
      <c r="I66">
        <v>49</v>
      </c>
      <c r="J66">
        <f>IF(MOD(ROWS($J$18:J65),12)=0,J65+1,J65)</f>
        <v>2026</v>
      </c>
      <c r="K66" s="198">
        <f>IF(M66="#N/A",NA(),monthly_mortgage_schedule[[#This Row],[Month]])</f>
        <v>49</v>
      </c>
      <c r="L66" s="198">
        <f>IF(monthly_mortgage_schedule[[#This Row],[Calendar Year]]&gt;=$C$7,monthly_mortgage_schedule[[#This Row],[Calendar Year]],NA())</f>
        <v>2026</v>
      </c>
      <c r="M66" s="199">
        <f>IF((monthly_mortgage_schedule[[#This Row],[Calendar Year]]&gt;=$C$7)*(monthly_mortgage_schedule[[#This Row],[Calendar Year]]&lt;=$C$9),monthly_mortgage_schedule[[#This Row],[Begin Year (Range)]],NA())</f>
        <v>2026</v>
      </c>
      <c r="N66" s="214">
        <f>IF((monthly_mortgage_schedule[[#This Row],[Year (Range)]]&gt;=$C$7)*(monthly_mortgage_schedule[[#This Row],[Year (Range)]]&lt;=$C$9),X66,NA())</f>
        <v>2361.9259423121871</v>
      </c>
      <c r="O66" s="214">
        <f>IF((monthly_mortgage_schedule[[#This Row],[Year (Range)]]&gt;=$C$7)*(monthly_mortgage_schedule[[#This Row],[Year (Range)]]&lt;=$C$9),Y66,NA())</f>
        <v>738.10055315122099</v>
      </c>
      <c r="P66" s="214">
        <f>IF((monthly_mortgage_schedule[[#This Row],[Year (Range)]]&gt;=$C$7)*(monthly_mortgage_schedule[[#This Row],[Year (Range)]]&lt;=$C$9),AG66,NA())</f>
        <v>2374.7501574833127</v>
      </c>
      <c r="Q66" s="214">
        <f>IF((monthly_mortgage_schedule[[#This Row],[Year (Range)]]&gt;=$C$7)*(monthly_mortgage_schedule[[#This Row],[Year (Range)]]&lt;=$C$9),AH66,NA())</f>
        <v>725.27633798009538</v>
      </c>
      <c r="R66" s="214">
        <f>IF((monthly_mortgage_schedule[[#This Row],[Year (Range)]]&gt;=$C$7)*(monthly_mortgage_schedule[[#This Row],[Year (Range)]]&lt;=$C$9),AO66,NA())</f>
        <v>260.87032326939925</v>
      </c>
      <c r="S66" s="214">
        <f>IF((monthly_mortgage_schedule[[#This Row],[Year (Range)]]&gt;=$C$7)*(monthly_mortgage_schedule[[#This Row],[Year (Range)]]&lt;=$C$9),AP66,NA())</f>
        <v>0</v>
      </c>
      <c r="T66" s="214">
        <f>IF((monthly_mortgage_schedule[[#This Row],[Year (Range)]]&gt;=$C$7)*(monthly_mortgage_schedule[[#This Row],[Year (Range)]]&lt;=$C$9),AR66,NA())</f>
        <v>402.2866257025612</v>
      </c>
      <c r="U66" s="214">
        <f>IF((monthly_mortgage_schedule[[#This Row],[Year (Range)]]&gt;=$C$7)*(monthly_mortgage_schedule[[#This Row],[Year (Range)]]&lt;=$C$9),AB66,NA())</f>
        <v>34611.112914825419</v>
      </c>
      <c r="V66" s="214">
        <f>IF((monthly_mortgage_schedule[[#This Row],[Year (Range)]]&gt;=$C$7)*(monthly_mortgage_schedule[[#This Row],[Year (Range)]]&lt;=$C$9),AI66,NA())</f>
        <v>31850.24259155602</v>
      </c>
      <c r="W66" s="187">
        <f t="shared" si="2"/>
        <v>506126.98763832572</v>
      </c>
      <c r="X66" s="4">
        <f t="shared" si="6"/>
        <v>2361.9259423121871</v>
      </c>
      <c r="Y66" s="4">
        <f t="shared" si="3"/>
        <v>738.10055315122099</v>
      </c>
      <c r="Z66" s="4">
        <f>_xlfn.IFNA(INDEX(additional_mortgage_payments[],MATCH(monthly_mortgage_schedule[[#This Row],[Month]],additional_mortgage_payments[Month],0),3),0)</f>
        <v>0</v>
      </c>
      <c r="AA66" s="4">
        <f>AA65+monthly_mortgage_schedule[[#This Row],[Extra Payments Towards Equity]]</f>
        <v>2500</v>
      </c>
      <c r="AB66" s="4">
        <f>AB65+monthly_mortgage_schedule[[#This Row],[Principal With Extra Principal Payments]]+monthly_mortgage_schedule[[#This Row],[Extra Payments Towards Equity]]</f>
        <v>34611.112914825419</v>
      </c>
      <c r="AC66" s="4">
        <f>monthly_mortgage_schedule[[#This Row],[Cumulative Principal With Extra Principal Payments]]+down_payment_dollars</f>
        <v>94611.112914825411</v>
      </c>
      <c r="AD66" s="200">
        <f t="shared" si="0"/>
        <v>90</v>
      </c>
      <c r="AE6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505388.8870851745</v>
      </c>
      <c r="AF66" s="187">
        <f t="shared" si="7"/>
        <v>508875.03374642407</v>
      </c>
      <c r="AG66" s="4">
        <f>IF(monthly_mortgage_schedule[[#This Row],[Loan Balance (BOY) Without Extra Principal Payments]]&gt;0,monthly_mortgage_schedule[[#This Row],[Loan Balance (BOY) Without Extra Principal Payments]]*monthly_interest_rate,0)</f>
        <v>2374.7501574833127</v>
      </c>
      <c r="AH66" s="4">
        <f>IF(monthly_mortgage_schedule[[#This Row],[Loan Balance (BOY) Without Extra Principal Payments]]&gt;1,monthly_principal_and_interest-monthly_mortgage_schedule[[#This Row],[Interest Without Extra Principal Payments]],0)</f>
        <v>725.27633798009538</v>
      </c>
      <c r="AI66" s="4">
        <f>AI65+monthly_mortgage_schedule[[#This Row],[Principal Without Extra Principal Payments]]</f>
        <v>31850.24259155602</v>
      </c>
      <c r="AJ66" s="4">
        <f>monthly_mortgage_schedule[[#This Row],[Cumulative Principal Without Extra Principal Payments]]+down_payment_dollars</f>
        <v>91850.242591556016</v>
      </c>
      <c r="AK66" s="200">
        <f t="shared" si="1"/>
        <v>90</v>
      </c>
      <c r="AL6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508149.75740844395</v>
      </c>
      <c r="AN66" s="196">
        <f>monthly_mortgage_schedule[[#This Row],[Extra Payments Towards Equity]]+AN65+IF(monthly_mortgage_schedule[[#This Row],[Interest With Extra Principal Payments]]&gt;0,monthly_mortgage_schedule[[#This Row],[Interest Without Extra Principal Payments]]-monthly_mortgage_schedule[[#This Row],[Interest With Extra Principal Payments]],0)</f>
        <v>2760.8703232693993</v>
      </c>
      <c r="AO66" s="4">
        <f>AO65+IF(monthly_mortgage_schedule[[#This Row],[Interest With Extra Principal Payments]]&gt;0,monthly_mortgage_schedule[[#This Row],[Interest Without Extra Principal Payments]]-monthly_mortgage_schedule[[#This Row],[Interest With Extra Principal Payments]],0)</f>
        <v>260.87032326939925</v>
      </c>
      <c r="AP66" s="4">
        <f>AP65+monthly_mortgage_schedule[[#This Row],[PMI Without Extra Principal Payments]]-monthly_mortgage_schedule[[#This Row],[PMI with Additional Payments]]</f>
        <v>0</v>
      </c>
      <c r="AQ66" s="4">
        <f t="shared" si="4"/>
        <v>2902.2866257025612</v>
      </c>
      <c r="AR66" s="4">
        <f>Table60[[#This Row],[Cumulative Investments]]-monthly_mortgage_schedule[[#This Row],[Cumulative Extra Payments Towards Equity]]</f>
        <v>402.2866257025612</v>
      </c>
    </row>
    <row r="67" spans="9:44" x14ac:dyDescent="0.25">
      <c r="I67">
        <v>50</v>
      </c>
      <c r="J67">
        <f>IF(MOD(ROWS($J$18:J66),12)=0,J66+1,J66)</f>
        <v>2026</v>
      </c>
      <c r="K67" s="198">
        <f>IF(M67="#N/A",NA(),monthly_mortgage_schedule[[#This Row],[Month]])</f>
        <v>50</v>
      </c>
      <c r="L67" s="198">
        <f>IF(monthly_mortgage_schedule[[#This Row],[Calendar Year]]&gt;=$C$7,monthly_mortgage_schedule[[#This Row],[Calendar Year]],NA())</f>
        <v>2026</v>
      </c>
      <c r="M67" s="199">
        <f>IF((monthly_mortgage_schedule[[#This Row],[Calendar Year]]&gt;=$C$7)*(monthly_mortgage_schedule[[#This Row],[Calendar Year]]&lt;=$C$9),monthly_mortgage_schedule[[#This Row],[Begin Year (Range)]],NA())</f>
        <v>2026</v>
      </c>
      <c r="N67" s="214">
        <f>IF((monthly_mortgage_schedule[[#This Row],[Year (Range)]]&gt;=$C$7)*(monthly_mortgage_schedule[[#This Row],[Year (Range)]]&lt;=$C$9),X67,NA())</f>
        <v>2358.4814730641478</v>
      </c>
      <c r="O67" s="214">
        <f>IF((monthly_mortgage_schedule[[#This Row],[Year (Range)]]&gt;=$C$7)*(monthly_mortgage_schedule[[#This Row],[Year (Range)]]&lt;=$C$9),Y67,NA())</f>
        <v>741.54502239926023</v>
      </c>
      <c r="P67" s="214">
        <f>IF((monthly_mortgage_schedule[[#This Row],[Year (Range)]]&gt;=$C$7)*(monthly_mortgage_schedule[[#This Row],[Year (Range)]]&lt;=$C$9),AG67,NA())</f>
        <v>2371.3655345727389</v>
      </c>
      <c r="Q67" s="214">
        <f>IF((monthly_mortgage_schedule[[#This Row],[Year (Range)]]&gt;=$C$7)*(monthly_mortgage_schedule[[#This Row],[Year (Range)]]&lt;=$C$9),AH67,NA())</f>
        <v>728.66096089066923</v>
      </c>
      <c r="R67" s="214">
        <f>IF((monthly_mortgage_schedule[[#This Row],[Year (Range)]]&gt;=$C$7)*(monthly_mortgage_schedule[[#This Row],[Year (Range)]]&lt;=$C$9),AO67,NA())</f>
        <v>273.75438477799025</v>
      </c>
      <c r="S67" s="214">
        <f>IF((monthly_mortgage_schedule[[#This Row],[Year (Range)]]&gt;=$C$7)*(monthly_mortgage_schedule[[#This Row],[Year (Range)]]&lt;=$C$9),AP67,NA())</f>
        <v>0</v>
      </c>
      <c r="T67" s="214">
        <f>IF((monthly_mortgage_schedule[[#This Row],[Year (Range)]]&gt;=$C$7)*(monthly_mortgage_schedule[[#This Row],[Year (Range)]]&lt;=$C$9),AR67,NA())</f>
        <v>424.96853654057804</v>
      </c>
      <c r="U67" s="214">
        <f>IF((monthly_mortgage_schedule[[#This Row],[Year (Range)]]&gt;=$C$7)*(monthly_mortgage_schedule[[#This Row],[Year (Range)]]&lt;=$C$9),AB67,NA())</f>
        <v>35852.657937224678</v>
      </c>
      <c r="V67" s="214">
        <f>IF((monthly_mortgage_schedule[[#This Row],[Year (Range)]]&gt;=$C$7)*(monthly_mortgage_schedule[[#This Row],[Year (Range)]]&lt;=$C$9),AI67,NA())</f>
        <v>32578.903552446689</v>
      </c>
      <c r="W67" s="187">
        <f t="shared" si="2"/>
        <v>505388.8870851745</v>
      </c>
      <c r="X67" s="4">
        <f t="shared" si="6"/>
        <v>2358.4814730641478</v>
      </c>
      <c r="Y67" s="4">
        <f t="shared" si="3"/>
        <v>741.54502239926023</v>
      </c>
      <c r="Z67" s="4">
        <f>_xlfn.IFNA(INDEX(additional_mortgage_payments[],MATCH(monthly_mortgage_schedule[[#This Row],[Month]],additional_mortgage_payments[Month],0),3),0)</f>
        <v>500</v>
      </c>
      <c r="AA67" s="4">
        <f>AA66+monthly_mortgage_schedule[[#This Row],[Extra Payments Towards Equity]]</f>
        <v>3000</v>
      </c>
      <c r="AB67" s="4">
        <f>AB66+monthly_mortgage_schedule[[#This Row],[Principal With Extra Principal Payments]]+monthly_mortgage_schedule[[#This Row],[Extra Payments Towards Equity]]</f>
        <v>35852.657937224678</v>
      </c>
      <c r="AC67" s="4">
        <f>monthly_mortgage_schedule[[#This Row],[Cumulative Principal With Extra Principal Payments]]+down_payment_dollars</f>
        <v>95852.657937224678</v>
      </c>
      <c r="AD67" s="200">
        <f t="shared" si="0"/>
        <v>90</v>
      </c>
      <c r="AE6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504147.34206277522</v>
      </c>
      <c r="AF67" s="187">
        <f t="shared" si="7"/>
        <v>508149.75740844395</v>
      </c>
      <c r="AG67" s="4">
        <f>IF(monthly_mortgage_schedule[[#This Row],[Loan Balance (BOY) Without Extra Principal Payments]]&gt;0,monthly_mortgage_schedule[[#This Row],[Loan Balance (BOY) Without Extra Principal Payments]]*monthly_interest_rate,0)</f>
        <v>2371.3655345727389</v>
      </c>
      <c r="AH67" s="4">
        <f>IF(monthly_mortgage_schedule[[#This Row],[Loan Balance (BOY) Without Extra Principal Payments]]&gt;1,monthly_principal_and_interest-monthly_mortgage_schedule[[#This Row],[Interest Without Extra Principal Payments]],0)</f>
        <v>728.66096089066923</v>
      </c>
      <c r="AI67" s="4">
        <f>AI66+monthly_mortgage_schedule[[#This Row],[Principal Without Extra Principal Payments]]</f>
        <v>32578.903552446689</v>
      </c>
      <c r="AJ67" s="4">
        <f>monthly_mortgage_schedule[[#This Row],[Cumulative Principal Without Extra Principal Payments]]+down_payment_dollars</f>
        <v>92578.903552446689</v>
      </c>
      <c r="AK67" s="200">
        <f t="shared" si="1"/>
        <v>90</v>
      </c>
      <c r="AL6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507421.09644755331</v>
      </c>
      <c r="AN67" s="196">
        <f>monthly_mortgage_schedule[[#This Row],[Extra Payments Towards Equity]]+AN66+IF(monthly_mortgage_schedule[[#This Row],[Interest With Extra Principal Payments]]&gt;0,monthly_mortgage_schedule[[#This Row],[Interest Without Extra Principal Payments]]-monthly_mortgage_schedule[[#This Row],[Interest With Extra Principal Payments]],0)</f>
        <v>3273.7543847779903</v>
      </c>
      <c r="AO67" s="4">
        <f>AO66+IF(monthly_mortgage_schedule[[#This Row],[Interest With Extra Principal Payments]]&gt;0,monthly_mortgage_schedule[[#This Row],[Interest Without Extra Principal Payments]]-monthly_mortgage_schedule[[#This Row],[Interest With Extra Principal Payments]],0)</f>
        <v>273.75438477799025</v>
      </c>
      <c r="AP67" s="4">
        <f>AP66+monthly_mortgage_schedule[[#This Row],[PMI Without Extra Principal Payments]]-monthly_mortgage_schedule[[#This Row],[PMI with Additional Payments]]</f>
        <v>0</v>
      </c>
      <c r="AQ67" s="4">
        <f t="shared" si="4"/>
        <v>3424.968536540578</v>
      </c>
      <c r="AR67" s="4">
        <f>Table60[[#This Row],[Cumulative Investments]]-monthly_mortgage_schedule[[#This Row],[Cumulative Extra Payments Towards Equity]]</f>
        <v>424.96853654057804</v>
      </c>
    </row>
    <row r="68" spans="9:44" x14ac:dyDescent="0.25">
      <c r="I68">
        <v>51</v>
      </c>
      <c r="J68">
        <f>IF(MOD(ROWS($J$18:J67),12)=0,J67+1,J67)</f>
        <v>2026</v>
      </c>
      <c r="K68" s="198">
        <f>IF(M68="#N/A",NA(),monthly_mortgage_schedule[[#This Row],[Month]])</f>
        <v>51</v>
      </c>
      <c r="L68" s="198">
        <f>IF(monthly_mortgage_schedule[[#This Row],[Calendar Year]]&gt;=$C$7,monthly_mortgage_schedule[[#This Row],[Calendar Year]],NA())</f>
        <v>2026</v>
      </c>
      <c r="M68" s="199">
        <f>IF((monthly_mortgage_schedule[[#This Row],[Calendar Year]]&gt;=$C$7)*(monthly_mortgage_schedule[[#This Row],[Calendar Year]]&lt;=$C$9),monthly_mortgage_schedule[[#This Row],[Begin Year (Range)]],NA())</f>
        <v>2026</v>
      </c>
      <c r="N68" s="214">
        <f>IF((monthly_mortgage_schedule[[#This Row],[Year (Range)]]&gt;=$C$7)*(monthly_mortgage_schedule[[#This Row],[Year (Range)]]&lt;=$C$9),X68,NA())</f>
        <v>2352.6875962929512</v>
      </c>
      <c r="O68" s="214">
        <f>IF((monthly_mortgage_schedule[[#This Row],[Year (Range)]]&gt;=$C$7)*(monthly_mortgage_schedule[[#This Row],[Year (Range)]]&lt;=$C$9),Y68,NA())</f>
        <v>747.3388991704569</v>
      </c>
      <c r="P68" s="214">
        <f>IF((monthly_mortgage_schedule[[#This Row],[Year (Range)]]&gt;=$C$7)*(monthly_mortgage_schedule[[#This Row],[Year (Range)]]&lt;=$C$9),AG68,NA())</f>
        <v>2367.9651167552488</v>
      </c>
      <c r="Q68" s="214">
        <f>IF((monthly_mortgage_schedule[[#This Row],[Year (Range)]]&gt;=$C$7)*(monthly_mortgage_schedule[[#This Row],[Year (Range)]]&lt;=$C$9),AH68,NA())</f>
        <v>732.06137870815928</v>
      </c>
      <c r="R68" s="214">
        <f>IF((monthly_mortgage_schedule[[#This Row],[Year (Range)]]&gt;=$C$7)*(monthly_mortgage_schedule[[#This Row],[Year (Range)]]&lt;=$C$9),AO68,NA())</f>
        <v>289.03190524028787</v>
      </c>
      <c r="S68" s="214">
        <f>IF((monthly_mortgage_schedule[[#This Row],[Year (Range)]]&gt;=$C$7)*(monthly_mortgage_schedule[[#This Row],[Year (Range)]]&lt;=$C$9),AP68,NA())</f>
        <v>0</v>
      </c>
      <c r="T68" s="214">
        <f>IF((monthly_mortgage_schedule[[#This Row],[Year (Range)]]&gt;=$C$7)*(monthly_mortgage_schedule[[#This Row],[Year (Range)]]&lt;=$C$9),AR68,NA())</f>
        <v>447.80166011751498</v>
      </c>
      <c r="U68" s="214">
        <f>IF((monthly_mortgage_schedule[[#This Row],[Year (Range)]]&gt;=$C$7)*(monthly_mortgage_schedule[[#This Row],[Year (Range)]]&lt;=$C$9),AB68,NA())</f>
        <v>36599.996836395134</v>
      </c>
      <c r="V68" s="214">
        <f>IF((monthly_mortgage_schedule[[#This Row],[Year (Range)]]&gt;=$C$7)*(monthly_mortgage_schedule[[#This Row],[Year (Range)]]&lt;=$C$9),AI68,NA())</f>
        <v>33310.964931154849</v>
      </c>
      <c r="W68" s="187">
        <f t="shared" si="2"/>
        <v>504147.34206277522</v>
      </c>
      <c r="X68" s="4">
        <f t="shared" si="6"/>
        <v>2352.6875962929512</v>
      </c>
      <c r="Y68" s="4">
        <f t="shared" si="3"/>
        <v>747.3388991704569</v>
      </c>
      <c r="Z68" s="4">
        <f>_xlfn.IFNA(INDEX(additional_mortgage_payments[],MATCH(monthly_mortgage_schedule[[#This Row],[Month]],additional_mortgage_payments[Month],0),3),0)</f>
        <v>0</v>
      </c>
      <c r="AA68" s="4">
        <f>AA67+monthly_mortgage_schedule[[#This Row],[Extra Payments Towards Equity]]</f>
        <v>3000</v>
      </c>
      <c r="AB68" s="4">
        <f>AB67+monthly_mortgage_schedule[[#This Row],[Principal With Extra Principal Payments]]+monthly_mortgage_schedule[[#This Row],[Extra Payments Towards Equity]]</f>
        <v>36599.996836395134</v>
      </c>
      <c r="AC68" s="4">
        <f>monthly_mortgage_schedule[[#This Row],[Cumulative Principal With Extra Principal Payments]]+down_payment_dollars</f>
        <v>96599.996836395134</v>
      </c>
      <c r="AD68" s="200">
        <f t="shared" si="0"/>
        <v>90</v>
      </c>
      <c r="AE6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503400.00316360476</v>
      </c>
      <c r="AF68" s="187">
        <f t="shared" si="7"/>
        <v>507421.09644755331</v>
      </c>
      <c r="AG68" s="4">
        <f>IF(monthly_mortgage_schedule[[#This Row],[Loan Balance (BOY) Without Extra Principal Payments]]&gt;0,monthly_mortgage_schedule[[#This Row],[Loan Balance (BOY) Without Extra Principal Payments]]*monthly_interest_rate,0)</f>
        <v>2367.9651167552488</v>
      </c>
      <c r="AH68" s="4">
        <f>IF(monthly_mortgage_schedule[[#This Row],[Loan Balance (BOY) Without Extra Principal Payments]]&gt;1,monthly_principal_and_interest-monthly_mortgage_schedule[[#This Row],[Interest Without Extra Principal Payments]],0)</f>
        <v>732.06137870815928</v>
      </c>
      <c r="AI68" s="4">
        <f>AI67+monthly_mortgage_schedule[[#This Row],[Principal Without Extra Principal Payments]]</f>
        <v>33310.964931154849</v>
      </c>
      <c r="AJ68" s="4">
        <f>monthly_mortgage_schedule[[#This Row],[Cumulative Principal Without Extra Principal Payments]]+down_payment_dollars</f>
        <v>93310.964931154856</v>
      </c>
      <c r="AK68" s="200">
        <f t="shared" si="1"/>
        <v>90</v>
      </c>
      <c r="AL6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506689.03506884514</v>
      </c>
      <c r="AN68" s="196">
        <f>monthly_mortgage_schedule[[#This Row],[Extra Payments Towards Equity]]+AN67+IF(monthly_mortgage_schedule[[#This Row],[Interest With Extra Principal Payments]]&gt;0,monthly_mortgage_schedule[[#This Row],[Interest Without Extra Principal Payments]]-monthly_mortgage_schedule[[#This Row],[Interest With Extra Principal Payments]],0)</f>
        <v>3289.0319052402879</v>
      </c>
      <c r="AO68" s="4">
        <f>AO67+IF(monthly_mortgage_schedule[[#This Row],[Interest With Extra Principal Payments]]&gt;0,monthly_mortgage_schedule[[#This Row],[Interest Without Extra Principal Payments]]-monthly_mortgage_schedule[[#This Row],[Interest With Extra Principal Payments]],0)</f>
        <v>289.03190524028787</v>
      </c>
      <c r="AP68" s="4">
        <f>AP67+monthly_mortgage_schedule[[#This Row],[PMI Without Extra Principal Payments]]-monthly_mortgage_schedule[[#This Row],[PMI with Additional Payments]]</f>
        <v>0</v>
      </c>
      <c r="AQ68" s="4">
        <f t="shared" si="4"/>
        <v>3447.801660117515</v>
      </c>
      <c r="AR68" s="4">
        <f>Table60[[#This Row],[Cumulative Investments]]-monthly_mortgage_schedule[[#This Row],[Cumulative Extra Payments Towards Equity]]</f>
        <v>447.80166011751498</v>
      </c>
    </row>
    <row r="69" spans="9:44" x14ac:dyDescent="0.25">
      <c r="I69">
        <v>52</v>
      </c>
      <c r="J69">
        <f>IF(MOD(ROWS($J$18:J68),12)=0,J68+1,J68)</f>
        <v>2026</v>
      </c>
      <c r="K69" s="198">
        <f>IF(M69="#N/A",NA(),monthly_mortgage_schedule[[#This Row],[Month]])</f>
        <v>52</v>
      </c>
      <c r="L69" s="198">
        <f>IF(monthly_mortgage_schedule[[#This Row],[Calendar Year]]&gt;=$C$7,monthly_mortgage_schedule[[#This Row],[Calendar Year]],NA())</f>
        <v>2026</v>
      </c>
      <c r="M69" s="199">
        <f>IF((monthly_mortgage_schedule[[#This Row],[Calendar Year]]&gt;=$C$7)*(monthly_mortgage_schedule[[#This Row],[Calendar Year]]&lt;=$C$9),monthly_mortgage_schedule[[#This Row],[Begin Year (Range)]],NA())</f>
        <v>2026</v>
      </c>
      <c r="N69" s="214">
        <f>IF((monthly_mortgage_schedule[[#This Row],[Year (Range)]]&gt;=$C$7)*(monthly_mortgage_schedule[[#This Row],[Year (Range)]]&lt;=$C$9),X69,NA())</f>
        <v>2349.200014763489</v>
      </c>
      <c r="O69" s="214">
        <f>IF((monthly_mortgage_schedule[[#This Row],[Year (Range)]]&gt;=$C$7)*(monthly_mortgage_schedule[[#This Row],[Year (Range)]]&lt;=$C$9),Y69,NA())</f>
        <v>750.8264806999191</v>
      </c>
      <c r="P69" s="214">
        <f>IF((monthly_mortgage_schedule[[#This Row],[Year (Range)]]&gt;=$C$7)*(monthly_mortgage_schedule[[#This Row],[Year (Range)]]&lt;=$C$9),AG69,NA())</f>
        <v>2364.5488303212774</v>
      </c>
      <c r="Q69" s="214">
        <f>IF((monthly_mortgage_schedule[[#This Row],[Year (Range)]]&gt;=$C$7)*(monthly_mortgage_schedule[[#This Row],[Year (Range)]]&lt;=$C$9),AH69,NA())</f>
        <v>735.47766514213072</v>
      </c>
      <c r="R69" s="214">
        <f>IF((monthly_mortgage_schedule[[#This Row],[Year (Range)]]&gt;=$C$7)*(monthly_mortgage_schedule[[#This Row],[Year (Range)]]&lt;=$C$9),AO69,NA())</f>
        <v>304.38072079807625</v>
      </c>
      <c r="S69" s="214">
        <f>IF((monthly_mortgage_schedule[[#This Row],[Year (Range)]]&gt;=$C$7)*(monthly_mortgage_schedule[[#This Row],[Year (Range)]]&lt;=$C$9),AP69,NA())</f>
        <v>0</v>
      </c>
      <c r="T69" s="214">
        <f>IF((monthly_mortgage_schedule[[#This Row],[Year (Range)]]&gt;=$C$7)*(monthly_mortgage_schedule[[#This Row],[Year (Range)]]&lt;=$C$9),AR69,NA())</f>
        <v>470.78700451829809</v>
      </c>
      <c r="U69" s="214">
        <f>IF((monthly_mortgage_schedule[[#This Row],[Year (Range)]]&gt;=$C$7)*(monthly_mortgage_schedule[[#This Row],[Year (Range)]]&lt;=$C$9),AB69,NA())</f>
        <v>37350.823317095055</v>
      </c>
      <c r="V69" s="214">
        <f>IF((monthly_mortgage_schedule[[#This Row],[Year (Range)]]&gt;=$C$7)*(monthly_mortgage_schedule[[#This Row],[Year (Range)]]&lt;=$C$9),AI69,NA())</f>
        <v>34046.442596296984</v>
      </c>
      <c r="W69" s="187">
        <f t="shared" si="2"/>
        <v>503400.00316360476</v>
      </c>
      <c r="X69" s="4">
        <f t="shared" si="6"/>
        <v>2349.200014763489</v>
      </c>
      <c r="Y69" s="4">
        <f t="shared" si="3"/>
        <v>750.8264806999191</v>
      </c>
      <c r="Z69" s="4">
        <f>_xlfn.IFNA(INDEX(additional_mortgage_payments[],MATCH(monthly_mortgage_schedule[[#This Row],[Month]],additional_mortgage_payments[Month],0),3),0)</f>
        <v>0</v>
      </c>
      <c r="AA69" s="4">
        <f>AA68+monthly_mortgage_schedule[[#This Row],[Extra Payments Towards Equity]]</f>
        <v>3000</v>
      </c>
      <c r="AB69" s="4">
        <f>AB68+monthly_mortgage_schedule[[#This Row],[Principal With Extra Principal Payments]]+monthly_mortgage_schedule[[#This Row],[Extra Payments Towards Equity]]</f>
        <v>37350.823317095055</v>
      </c>
      <c r="AC69" s="4">
        <f>monthly_mortgage_schedule[[#This Row],[Cumulative Principal With Extra Principal Payments]]+down_payment_dollars</f>
        <v>97350.823317095055</v>
      </c>
      <c r="AD69" s="200">
        <f t="shared" si="0"/>
        <v>90</v>
      </c>
      <c r="AE6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502649.17668290483</v>
      </c>
      <c r="AF69" s="187">
        <f t="shared" si="7"/>
        <v>506689.03506884514</v>
      </c>
      <c r="AG69" s="4">
        <f>IF(monthly_mortgage_schedule[[#This Row],[Loan Balance (BOY) Without Extra Principal Payments]]&gt;0,monthly_mortgage_schedule[[#This Row],[Loan Balance (BOY) Without Extra Principal Payments]]*monthly_interest_rate,0)</f>
        <v>2364.5488303212774</v>
      </c>
      <c r="AH69" s="4">
        <f>IF(monthly_mortgage_schedule[[#This Row],[Loan Balance (BOY) Without Extra Principal Payments]]&gt;1,monthly_principal_and_interest-monthly_mortgage_schedule[[#This Row],[Interest Without Extra Principal Payments]],0)</f>
        <v>735.47766514213072</v>
      </c>
      <c r="AI69" s="4">
        <f>AI68+monthly_mortgage_schedule[[#This Row],[Principal Without Extra Principal Payments]]</f>
        <v>34046.442596296984</v>
      </c>
      <c r="AJ69" s="4">
        <f>monthly_mortgage_schedule[[#This Row],[Cumulative Principal Without Extra Principal Payments]]+down_payment_dollars</f>
        <v>94046.442596296984</v>
      </c>
      <c r="AK69" s="200">
        <f t="shared" si="1"/>
        <v>90</v>
      </c>
      <c r="AL6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505953.55740370299</v>
      </c>
      <c r="AN69" s="196">
        <f>monthly_mortgage_schedule[[#This Row],[Extra Payments Towards Equity]]+AN68+IF(monthly_mortgage_schedule[[#This Row],[Interest With Extra Principal Payments]]&gt;0,monthly_mortgage_schedule[[#This Row],[Interest Without Extra Principal Payments]]-monthly_mortgage_schedule[[#This Row],[Interest With Extra Principal Payments]],0)</f>
        <v>3304.3807207980763</v>
      </c>
      <c r="AO69" s="4">
        <f>AO68+IF(monthly_mortgage_schedule[[#This Row],[Interest With Extra Principal Payments]]&gt;0,monthly_mortgage_schedule[[#This Row],[Interest Without Extra Principal Payments]]-monthly_mortgage_schedule[[#This Row],[Interest With Extra Principal Payments]],0)</f>
        <v>304.38072079807625</v>
      </c>
      <c r="AP69" s="4">
        <f>AP68+monthly_mortgage_schedule[[#This Row],[PMI Without Extra Principal Payments]]-monthly_mortgage_schedule[[#This Row],[PMI with Additional Payments]]</f>
        <v>0</v>
      </c>
      <c r="AQ69" s="4">
        <f t="shared" si="4"/>
        <v>3470.7870045182981</v>
      </c>
      <c r="AR69" s="4">
        <f>Table60[[#This Row],[Cumulative Investments]]-monthly_mortgage_schedule[[#This Row],[Cumulative Extra Payments Towards Equity]]</f>
        <v>470.78700451829809</v>
      </c>
    </row>
    <row r="70" spans="9:44" x14ac:dyDescent="0.25">
      <c r="I70">
        <v>53</v>
      </c>
      <c r="J70">
        <f>IF(MOD(ROWS($J$18:J69),12)=0,J69+1,J69)</f>
        <v>2026</v>
      </c>
      <c r="K70" s="198">
        <f>IF(M70="#N/A",NA(),monthly_mortgage_schedule[[#This Row],[Month]])</f>
        <v>53</v>
      </c>
      <c r="L70" s="198">
        <f>IF(monthly_mortgage_schedule[[#This Row],[Calendar Year]]&gt;=$C$7,monthly_mortgage_schedule[[#This Row],[Calendar Year]],NA())</f>
        <v>2026</v>
      </c>
      <c r="M70" s="199">
        <f>IF((monthly_mortgage_schedule[[#This Row],[Calendar Year]]&gt;=$C$7)*(monthly_mortgage_schedule[[#This Row],[Calendar Year]]&lt;=$C$9),monthly_mortgage_schedule[[#This Row],[Begin Year (Range)]],NA())</f>
        <v>2026</v>
      </c>
      <c r="N70" s="214">
        <f>IF((monthly_mortgage_schedule[[#This Row],[Year (Range)]]&gt;=$C$7)*(monthly_mortgage_schedule[[#This Row],[Year (Range)]]&lt;=$C$9),X70,NA())</f>
        <v>2345.6961578535561</v>
      </c>
      <c r="O70" s="214">
        <f>IF((monthly_mortgage_schedule[[#This Row],[Year (Range)]]&gt;=$C$7)*(monthly_mortgage_schedule[[#This Row],[Year (Range)]]&lt;=$C$9),Y70,NA())</f>
        <v>754.33033760985199</v>
      </c>
      <c r="P70" s="214">
        <f>IF((monthly_mortgage_schedule[[#This Row],[Year (Range)]]&gt;=$C$7)*(monthly_mortgage_schedule[[#This Row],[Year (Range)]]&lt;=$C$9),AG70,NA())</f>
        <v>2361.1166012172807</v>
      </c>
      <c r="Q70" s="214">
        <f>IF((monthly_mortgage_schedule[[#This Row],[Year (Range)]]&gt;=$C$7)*(monthly_mortgage_schedule[[#This Row],[Year (Range)]]&lt;=$C$9),AH70,NA())</f>
        <v>738.90989424612735</v>
      </c>
      <c r="R70" s="214">
        <f>IF((monthly_mortgage_schedule[[#This Row],[Year (Range)]]&gt;=$C$7)*(monthly_mortgage_schedule[[#This Row],[Year (Range)]]&lt;=$C$9),AO70,NA())</f>
        <v>319.8011641618009</v>
      </c>
      <c r="S70" s="214">
        <f>IF((monthly_mortgage_schedule[[#This Row],[Year (Range)]]&gt;=$C$7)*(monthly_mortgage_schedule[[#This Row],[Year (Range)]]&lt;=$C$9),AP70,NA())</f>
        <v>0</v>
      </c>
      <c r="T70" s="214">
        <f>IF((monthly_mortgage_schedule[[#This Row],[Year (Range)]]&gt;=$C$7)*(monthly_mortgage_schedule[[#This Row],[Year (Range)]]&lt;=$C$9),AR70,NA())</f>
        <v>493.92558454841992</v>
      </c>
      <c r="U70" s="214">
        <f>IF((monthly_mortgage_schedule[[#This Row],[Year (Range)]]&gt;=$C$7)*(monthly_mortgage_schedule[[#This Row],[Year (Range)]]&lt;=$C$9),AB70,NA())</f>
        <v>38105.153654704904</v>
      </c>
      <c r="V70" s="214">
        <f>IF((monthly_mortgage_schedule[[#This Row],[Year (Range)]]&gt;=$C$7)*(monthly_mortgage_schedule[[#This Row],[Year (Range)]]&lt;=$C$9),AI70,NA())</f>
        <v>34785.352490543111</v>
      </c>
      <c r="W70" s="187">
        <f t="shared" si="2"/>
        <v>502649.17668290483</v>
      </c>
      <c r="X70" s="4">
        <f t="shared" si="6"/>
        <v>2345.6961578535561</v>
      </c>
      <c r="Y70" s="4">
        <f t="shared" si="3"/>
        <v>754.33033760985199</v>
      </c>
      <c r="Z70" s="4">
        <f>_xlfn.IFNA(INDEX(additional_mortgage_payments[],MATCH(monthly_mortgage_schedule[[#This Row],[Month]],additional_mortgage_payments[Month],0),3),0)</f>
        <v>0</v>
      </c>
      <c r="AA70" s="4">
        <f>AA69+monthly_mortgage_schedule[[#This Row],[Extra Payments Towards Equity]]</f>
        <v>3000</v>
      </c>
      <c r="AB70" s="4">
        <f>AB69+monthly_mortgage_schedule[[#This Row],[Principal With Extra Principal Payments]]+monthly_mortgage_schedule[[#This Row],[Extra Payments Towards Equity]]</f>
        <v>38105.153654704904</v>
      </c>
      <c r="AC70" s="4">
        <f>monthly_mortgage_schedule[[#This Row],[Cumulative Principal With Extra Principal Payments]]+down_payment_dollars</f>
        <v>98105.153654704904</v>
      </c>
      <c r="AD70" s="200">
        <f t="shared" si="0"/>
        <v>90</v>
      </c>
      <c r="AE7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501894.84634529497</v>
      </c>
      <c r="AF70" s="187">
        <f t="shared" si="7"/>
        <v>505953.55740370299</v>
      </c>
      <c r="AG70" s="4">
        <f>IF(monthly_mortgage_schedule[[#This Row],[Loan Balance (BOY) Without Extra Principal Payments]]&gt;0,monthly_mortgage_schedule[[#This Row],[Loan Balance (BOY) Without Extra Principal Payments]]*monthly_interest_rate,0)</f>
        <v>2361.1166012172807</v>
      </c>
      <c r="AH70" s="4">
        <f>IF(monthly_mortgage_schedule[[#This Row],[Loan Balance (BOY) Without Extra Principal Payments]]&gt;1,monthly_principal_and_interest-monthly_mortgage_schedule[[#This Row],[Interest Without Extra Principal Payments]],0)</f>
        <v>738.90989424612735</v>
      </c>
      <c r="AI70" s="4">
        <f>AI69+monthly_mortgage_schedule[[#This Row],[Principal Without Extra Principal Payments]]</f>
        <v>34785.352490543111</v>
      </c>
      <c r="AJ70" s="4">
        <f>monthly_mortgage_schedule[[#This Row],[Cumulative Principal Without Extra Principal Payments]]+down_payment_dollars</f>
        <v>94785.352490543111</v>
      </c>
      <c r="AK70" s="200">
        <f t="shared" si="1"/>
        <v>90</v>
      </c>
      <c r="AL7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505214.64750945685</v>
      </c>
      <c r="AN70" s="196">
        <f>monthly_mortgage_schedule[[#This Row],[Extra Payments Towards Equity]]+AN69+IF(monthly_mortgage_schedule[[#This Row],[Interest With Extra Principal Payments]]&gt;0,monthly_mortgage_schedule[[#This Row],[Interest Without Extra Principal Payments]]-monthly_mortgage_schedule[[#This Row],[Interest With Extra Principal Payments]],0)</f>
        <v>3319.8011641618009</v>
      </c>
      <c r="AO70" s="4">
        <f>AO69+IF(monthly_mortgage_schedule[[#This Row],[Interest With Extra Principal Payments]]&gt;0,monthly_mortgage_schedule[[#This Row],[Interest Without Extra Principal Payments]]-monthly_mortgage_schedule[[#This Row],[Interest With Extra Principal Payments]],0)</f>
        <v>319.8011641618009</v>
      </c>
      <c r="AP70" s="4">
        <f>AP69+monthly_mortgage_schedule[[#This Row],[PMI Without Extra Principal Payments]]-monthly_mortgage_schedule[[#This Row],[PMI with Additional Payments]]</f>
        <v>0</v>
      </c>
      <c r="AQ70" s="4">
        <f t="shared" si="4"/>
        <v>3493.9255845484199</v>
      </c>
      <c r="AR70" s="4">
        <f>Table60[[#This Row],[Cumulative Investments]]-monthly_mortgage_schedule[[#This Row],[Cumulative Extra Payments Towards Equity]]</f>
        <v>493.92558454841992</v>
      </c>
    </row>
    <row r="71" spans="9:44" x14ac:dyDescent="0.25">
      <c r="I71">
        <v>54</v>
      </c>
      <c r="J71">
        <f>IF(MOD(ROWS($J$18:J70),12)=0,J70+1,J70)</f>
        <v>2026</v>
      </c>
      <c r="K71" s="198">
        <f>IF(M71="#N/A",NA(),monthly_mortgage_schedule[[#This Row],[Month]])</f>
        <v>54</v>
      </c>
      <c r="L71" s="198">
        <f>IF(monthly_mortgage_schedule[[#This Row],[Calendar Year]]&gt;=$C$7,monthly_mortgage_schedule[[#This Row],[Calendar Year]],NA())</f>
        <v>2026</v>
      </c>
      <c r="M71" s="199">
        <f>IF((monthly_mortgage_schedule[[#This Row],[Calendar Year]]&gt;=$C$7)*(monthly_mortgage_schedule[[#This Row],[Calendar Year]]&lt;=$C$9),monthly_mortgage_schedule[[#This Row],[Begin Year (Range)]],NA())</f>
        <v>2026</v>
      </c>
      <c r="N71" s="214">
        <f>IF((monthly_mortgage_schedule[[#This Row],[Year (Range)]]&gt;=$C$7)*(monthly_mortgage_schedule[[#This Row],[Year (Range)]]&lt;=$C$9),X71,NA())</f>
        <v>2342.1759496113768</v>
      </c>
      <c r="O71" s="214">
        <f>IF((monthly_mortgage_schedule[[#This Row],[Year (Range)]]&gt;=$C$7)*(monthly_mortgage_schedule[[#This Row],[Year (Range)]]&lt;=$C$9),Y71,NA())</f>
        <v>757.85054585203125</v>
      </c>
      <c r="P71" s="214">
        <f>IF((monthly_mortgage_schedule[[#This Row],[Year (Range)]]&gt;=$C$7)*(monthly_mortgage_schedule[[#This Row],[Year (Range)]]&lt;=$C$9),AG71,NA())</f>
        <v>2357.6683550441321</v>
      </c>
      <c r="Q71" s="214">
        <f>IF((monthly_mortgage_schedule[[#This Row],[Year (Range)]]&gt;=$C$7)*(monthly_mortgage_schedule[[#This Row],[Year (Range)]]&lt;=$C$9),AH71,NA())</f>
        <v>742.35814041927597</v>
      </c>
      <c r="R71" s="214">
        <f>IF((monthly_mortgage_schedule[[#This Row],[Year (Range)]]&gt;=$C$7)*(monthly_mortgage_schedule[[#This Row],[Year (Range)]]&lt;=$C$9),AO71,NA())</f>
        <v>335.29356959455617</v>
      </c>
      <c r="S71" s="214">
        <f>IF((monthly_mortgage_schedule[[#This Row],[Year (Range)]]&gt;=$C$7)*(monthly_mortgage_schedule[[#This Row],[Year (Range)]]&lt;=$C$9),AP71,NA())</f>
        <v>0</v>
      </c>
      <c r="T71" s="214">
        <f>IF((monthly_mortgage_schedule[[#This Row],[Year (Range)]]&gt;=$C$7)*(monthly_mortgage_schedule[[#This Row],[Year (Range)]]&lt;=$C$9),AR71,NA())</f>
        <v>517.2184217787426</v>
      </c>
      <c r="U71" s="214">
        <f>IF((monthly_mortgage_schedule[[#This Row],[Year (Range)]]&gt;=$C$7)*(monthly_mortgage_schedule[[#This Row],[Year (Range)]]&lt;=$C$9),AB71,NA())</f>
        <v>38863.004200556934</v>
      </c>
      <c r="V71" s="214">
        <f>IF((monthly_mortgage_schedule[[#This Row],[Year (Range)]]&gt;=$C$7)*(monthly_mortgage_schedule[[#This Row],[Year (Range)]]&lt;=$C$9),AI71,NA())</f>
        <v>35527.710630962385</v>
      </c>
      <c r="W71" s="187">
        <f t="shared" si="2"/>
        <v>501894.84634529497</v>
      </c>
      <c r="X71" s="4">
        <f t="shared" si="6"/>
        <v>2342.1759496113768</v>
      </c>
      <c r="Y71" s="4">
        <f t="shared" si="3"/>
        <v>757.85054585203125</v>
      </c>
      <c r="Z71" s="4">
        <f>_xlfn.IFNA(INDEX(additional_mortgage_payments[],MATCH(monthly_mortgage_schedule[[#This Row],[Month]],additional_mortgage_payments[Month],0),3),0)</f>
        <v>0</v>
      </c>
      <c r="AA71" s="4">
        <f>AA70+monthly_mortgage_schedule[[#This Row],[Extra Payments Towards Equity]]</f>
        <v>3000</v>
      </c>
      <c r="AB71" s="4">
        <f>AB70+monthly_mortgage_schedule[[#This Row],[Principal With Extra Principal Payments]]+monthly_mortgage_schedule[[#This Row],[Extra Payments Towards Equity]]</f>
        <v>38863.004200556934</v>
      </c>
      <c r="AC71" s="4">
        <f>monthly_mortgage_schedule[[#This Row],[Cumulative Principal With Extra Principal Payments]]+down_payment_dollars</f>
        <v>98863.004200556927</v>
      </c>
      <c r="AD71" s="200">
        <f t="shared" si="0"/>
        <v>90</v>
      </c>
      <c r="AE7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501136.99579944293</v>
      </c>
      <c r="AF71" s="187">
        <f t="shared" si="7"/>
        <v>505214.64750945685</v>
      </c>
      <c r="AG71" s="4">
        <f>IF(monthly_mortgage_schedule[[#This Row],[Loan Balance (BOY) Without Extra Principal Payments]]&gt;0,monthly_mortgage_schedule[[#This Row],[Loan Balance (BOY) Without Extra Principal Payments]]*monthly_interest_rate,0)</f>
        <v>2357.6683550441321</v>
      </c>
      <c r="AH71" s="4">
        <f>IF(monthly_mortgage_schedule[[#This Row],[Loan Balance (BOY) Without Extra Principal Payments]]&gt;1,monthly_principal_and_interest-monthly_mortgage_schedule[[#This Row],[Interest Without Extra Principal Payments]],0)</f>
        <v>742.35814041927597</v>
      </c>
      <c r="AI71" s="4">
        <f>AI70+monthly_mortgage_schedule[[#This Row],[Principal Without Extra Principal Payments]]</f>
        <v>35527.710630962385</v>
      </c>
      <c r="AJ71" s="4">
        <f>monthly_mortgage_schedule[[#This Row],[Cumulative Principal Without Extra Principal Payments]]+down_payment_dollars</f>
        <v>95527.710630962392</v>
      </c>
      <c r="AK71" s="200">
        <f t="shared" si="1"/>
        <v>90</v>
      </c>
      <c r="AL7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504472.28936903755</v>
      </c>
      <c r="AN71" s="196">
        <f>monthly_mortgage_schedule[[#This Row],[Extra Payments Towards Equity]]+AN70+IF(monthly_mortgage_schedule[[#This Row],[Interest With Extra Principal Payments]]&gt;0,monthly_mortgage_schedule[[#This Row],[Interest Without Extra Principal Payments]]-monthly_mortgage_schedule[[#This Row],[Interest With Extra Principal Payments]],0)</f>
        <v>3335.2935695945562</v>
      </c>
      <c r="AO71" s="4">
        <f>AO70+IF(monthly_mortgage_schedule[[#This Row],[Interest With Extra Principal Payments]]&gt;0,monthly_mortgage_schedule[[#This Row],[Interest Without Extra Principal Payments]]-monthly_mortgage_schedule[[#This Row],[Interest With Extra Principal Payments]],0)</f>
        <v>335.29356959455617</v>
      </c>
      <c r="AP71" s="4">
        <f>AP70+monthly_mortgage_schedule[[#This Row],[PMI Without Extra Principal Payments]]-monthly_mortgage_schedule[[#This Row],[PMI with Additional Payments]]</f>
        <v>0</v>
      </c>
      <c r="AQ71" s="4">
        <f t="shared" si="4"/>
        <v>3517.2184217787426</v>
      </c>
      <c r="AR71" s="4">
        <f>Table60[[#This Row],[Cumulative Investments]]-monthly_mortgage_schedule[[#This Row],[Cumulative Extra Payments Towards Equity]]</f>
        <v>517.2184217787426</v>
      </c>
    </row>
    <row r="72" spans="9:44" x14ac:dyDescent="0.25">
      <c r="I72">
        <v>55</v>
      </c>
      <c r="J72">
        <f>IF(MOD(ROWS($J$18:J71),12)=0,J71+1,J71)</f>
        <v>2026</v>
      </c>
      <c r="K72" s="198">
        <f>IF(M72="#N/A",NA(),monthly_mortgage_schedule[[#This Row],[Month]])</f>
        <v>55</v>
      </c>
      <c r="L72" s="198">
        <f>IF(monthly_mortgage_schedule[[#This Row],[Calendar Year]]&gt;=$C$7,monthly_mortgage_schedule[[#This Row],[Calendar Year]],NA())</f>
        <v>2026</v>
      </c>
      <c r="M72" s="199">
        <f>IF((monthly_mortgage_schedule[[#This Row],[Calendar Year]]&gt;=$C$7)*(monthly_mortgage_schedule[[#This Row],[Calendar Year]]&lt;=$C$9),monthly_mortgage_schedule[[#This Row],[Begin Year (Range)]],NA())</f>
        <v>2026</v>
      </c>
      <c r="N72" s="214">
        <f>IF((monthly_mortgage_schedule[[#This Row],[Year (Range)]]&gt;=$C$7)*(monthly_mortgage_schedule[[#This Row],[Year (Range)]]&lt;=$C$9),X72,NA())</f>
        <v>2338.6393137307336</v>
      </c>
      <c r="O72" s="214">
        <f>IF((monthly_mortgage_schedule[[#This Row],[Year (Range)]]&gt;=$C$7)*(monthly_mortgage_schedule[[#This Row],[Year (Range)]]&lt;=$C$9),Y72,NA())</f>
        <v>761.38718173267443</v>
      </c>
      <c r="P72" s="214">
        <f>IF((monthly_mortgage_schedule[[#This Row],[Year (Range)]]&gt;=$C$7)*(monthly_mortgage_schedule[[#This Row],[Year (Range)]]&lt;=$C$9),AG72,NA())</f>
        <v>2354.2040170555088</v>
      </c>
      <c r="Q72" s="214">
        <f>IF((monthly_mortgage_schedule[[#This Row],[Year (Range)]]&gt;=$C$7)*(monthly_mortgage_schedule[[#This Row],[Year (Range)]]&lt;=$C$9),AH72,NA())</f>
        <v>745.82247840789933</v>
      </c>
      <c r="R72" s="214">
        <f>IF((monthly_mortgage_schedule[[#This Row],[Year (Range)]]&gt;=$C$7)*(monthly_mortgage_schedule[[#This Row],[Year (Range)]]&lt;=$C$9),AO72,NA())</f>
        <v>350.85827291933128</v>
      </c>
      <c r="S72" s="214">
        <f>IF((monthly_mortgage_schedule[[#This Row],[Year (Range)]]&gt;=$C$7)*(monthly_mortgage_schedule[[#This Row],[Year (Range)]]&lt;=$C$9),AP72,NA())</f>
        <v>0</v>
      </c>
      <c r="T72" s="214">
        <f>IF((monthly_mortgage_schedule[[#This Row],[Year (Range)]]&gt;=$C$7)*(monthly_mortgage_schedule[[#This Row],[Year (Range)]]&lt;=$C$9),AR72,NA())</f>
        <v>540.66654459060055</v>
      </c>
      <c r="U72" s="214">
        <f>IF((monthly_mortgage_schedule[[#This Row],[Year (Range)]]&gt;=$C$7)*(monthly_mortgage_schedule[[#This Row],[Year (Range)]]&lt;=$C$9),AB72,NA())</f>
        <v>39624.391382289607</v>
      </c>
      <c r="V72" s="214">
        <f>IF((monthly_mortgage_schedule[[#This Row],[Year (Range)]]&gt;=$C$7)*(monthly_mortgage_schedule[[#This Row],[Year (Range)]]&lt;=$C$9),AI72,NA())</f>
        <v>36273.533109370284</v>
      </c>
      <c r="W72" s="187">
        <f t="shared" si="2"/>
        <v>501136.99579944293</v>
      </c>
      <c r="X72" s="4">
        <f t="shared" si="6"/>
        <v>2338.6393137307336</v>
      </c>
      <c r="Y72" s="4">
        <f t="shared" si="3"/>
        <v>761.38718173267443</v>
      </c>
      <c r="Z72" s="4">
        <f>_xlfn.IFNA(INDEX(additional_mortgage_payments[],MATCH(monthly_mortgage_schedule[[#This Row],[Month]],additional_mortgage_payments[Month],0),3),0)</f>
        <v>0</v>
      </c>
      <c r="AA72" s="4">
        <f>AA71+monthly_mortgage_schedule[[#This Row],[Extra Payments Towards Equity]]</f>
        <v>3000</v>
      </c>
      <c r="AB72" s="4">
        <f>AB71+monthly_mortgage_schedule[[#This Row],[Principal With Extra Principal Payments]]+monthly_mortgage_schedule[[#This Row],[Extra Payments Towards Equity]]</f>
        <v>39624.391382289607</v>
      </c>
      <c r="AC72" s="4">
        <f>monthly_mortgage_schedule[[#This Row],[Cumulative Principal With Extra Principal Payments]]+down_payment_dollars</f>
        <v>99624.391382289614</v>
      </c>
      <c r="AD72" s="200">
        <f t="shared" si="0"/>
        <v>90</v>
      </c>
      <c r="AE7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500375.60861771024</v>
      </c>
      <c r="AF72" s="187">
        <f t="shared" si="7"/>
        <v>504472.28936903755</v>
      </c>
      <c r="AG72" s="4">
        <f>IF(monthly_mortgage_schedule[[#This Row],[Loan Balance (BOY) Without Extra Principal Payments]]&gt;0,monthly_mortgage_schedule[[#This Row],[Loan Balance (BOY) Without Extra Principal Payments]]*monthly_interest_rate,0)</f>
        <v>2354.2040170555088</v>
      </c>
      <c r="AH72" s="4">
        <f>IF(monthly_mortgage_schedule[[#This Row],[Loan Balance (BOY) Without Extra Principal Payments]]&gt;1,monthly_principal_and_interest-monthly_mortgage_schedule[[#This Row],[Interest Without Extra Principal Payments]],0)</f>
        <v>745.82247840789933</v>
      </c>
      <c r="AI72" s="4">
        <f>AI71+monthly_mortgage_schedule[[#This Row],[Principal Without Extra Principal Payments]]</f>
        <v>36273.533109370284</v>
      </c>
      <c r="AJ72" s="4">
        <f>monthly_mortgage_schedule[[#This Row],[Cumulative Principal Without Extra Principal Payments]]+down_payment_dollars</f>
        <v>96273.533109370284</v>
      </c>
      <c r="AK72" s="200">
        <f t="shared" si="1"/>
        <v>90</v>
      </c>
      <c r="AL7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503726.46689062967</v>
      </c>
      <c r="AN72" s="196">
        <f>monthly_mortgage_schedule[[#This Row],[Extra Payments Towards Equity]]+AN71+IF(monthly_mortgage_schedule[[#This Row],[Interest With Extra Principal Payments]]&gt;0,monthly_mortgage_schedule[[#This Row],[Interest Without Extra Principal Payments]]-monthly_mortgage_schedule[[#This Row],[Interest With Extra Principal Payments]],0)</f>
        <v>3350.8582729193313</v>
      </c>
      <c r="AO72" s="4">
        <f>AO71+IF(monthly_mortgage_schedule[[#This Row],[Interest With Extra Principal Payments]]&gt;0,monthly_mortgage_schedule[[#This Row],[Interest Without Extra Principal Payments]]-monthly_mortgage_schedule[[#This Row],[Interest With Extra Principal Payments]],0)</f>
        <v>350.85827291933128</v>
      </c>
      <c r="AP72" s="4">
        <f>AP71+monthly_mortgage_schedule[[#This Row],[PMI Without Extra Principal Payments]]-monthly_mortgage_schedule[[#This Row],[PMI with Additional Payments]]</f>
        <v>0</v>
      </c>
      <c r="AQ72" s="4">
        <f t="shared" si="4"/>
        <v>3540.6665445906006</v>
      </c>
      <c r="AR72" s="4">
        <f>Table60[[#This Row],[Cumulative Investments]]-monthly_mortgage_schedule[[#This Row],[Cumulative Extra Payments Towards Equity]]</f>
        <v>540.66654459060055</v>
      </c>
    </row>
    <row r="73" spans="9:44" x14ac:dyDescent="0.25">
      <c r="I73">
        <v>56</v>
      </c>
      <c r="J73">
        <f>IF(MOD(ROWS($J$18:J72),12)=0,J72+1,J72)</f>
        <v>2026</v>
      </c>
      <c r="K73" s="198">
        <f>IF(M73="#N/A",NA(),monthly_mortgage_schedule[[#This Row],[Month]])</f>
        <v>56</v>
      </c>
      <c r="L73" s="198">
        <f>IF(monthly_mortgage_schedule[[#This Row],[Calendar Year]]&gt;=$C$7,monthly_mortgage_schedule[[#This Row],[Calendar Year]],NA())</f>
        <v>2026</v>
      </c>
      <c r="M73" s="199">
        <f>IF((monthly_mortgage_schedule[[#This Row],[Calendar Year]]&gt;=$C$7)*(monthly_mortgage_schedule[[#This Row],[Calendar Year]]&lt;=$C$9),monthly_mortgage_schedule[[#This Row],[Begin Year (Range)]],NA())</f>
        <v>2026</v>
      </c>
      <c r="N73" s="214">
        <f>IF((monthly_mortgage_schedule[[#This Row],[Year (Range)]]&gt;=$C$7)*(monthly_mortgage_schedule[[#This Row],[Year (Range)]]&lt;=$C$9),X73,NA())</f>
        <v>2335.0861735493145</v>
      </c>
      <c r="O73" s="214">
        <f>IF((monthly_mortgage_schedule[[#This Row],[Year (Range)]]&gt;=$C$7)*(monthly_mortgage_schedule[[#This Row],[Year (Range)]]&lt;=$C$9),Y73,NA())</f>
        <v>764.9403219140936</v>
      </c>
      <c r="P73" s="214">
        <f>IF((monthly_mortgage_schedule[[#This Row],[Year (Range)]]&gt;=$C$7)*(monthly_mortgage_schedule[[#This Row],[Year (Range)]]&lt;=$C$9),AG73,NA())</f>
        <v>2350.7235121562721</v>
      </c>
      <c r="Q73" s="214">
        <f>IF((monthly_mortgage_schedule[[#This Row],[Year (Range)]]&gt;=$C$7)*(monthly_mortgage_schedule[[#This Row],[Year (Range)]]&lt;=$C$9),AH73,NA())</f>
        <v>749.30298330713595</v>
      </c>
      <c r="R73" s="214">
        <f>IF((monthly_mortgage_schedule[[#This Row],[Year (Range)]]&gt;=$C$7)*(monthly_mortgage_schedule[[#This Row],[Year (Range)]]&lt;=$C$9),AO73,NA())</f>
        <v>366.49561152628894</v>
      </c>
      <c r="S73" s="214">
        <f>IF((monthly_mortgage_schedule[[#This Row],[Year (Range)]]&gt;=$C$7)*(monthly_mortgage_schedule[[#This Row],[Year (Range)]]&lt;=$C$9),AP73,NA())</f>
        <v>0</v>
      </c>
      <c r="T73" s="214">
        <f>IF((monthly_mortgage_schedule[[#This Row],[Year (Range)]]&gt;=$C$7)*(monthly_mortgage_schedule[[#This Row],[Year (Range)]]&lt;=$C$9),AR73,NA())</f>
        <v>564.27098822120433</v>
      </c>
      <c r="U73" s="214">
        <f>IF((monthly_mortgage_schedule[[#This Row],[Year (Range)]]&gt;=$C$7)*(monthly_mortgage_schedule[[#This Row],[Year (Range)]]&lt;=$C$9),AB73,NA())</f>
        <v>40389.331704203702</v>
      </c>
      <c r="V73" s="214">
        <f>IF((monthly_mortgage_schedule[[#This Row],[Year (Range)]]&gt;=$C$7)*(monthly_mortgage_schedule[[#This Row],[Year (Range)]]&lt;=$C$9),AI73,NA())</f>
        <v>37022.836092677418</v>
      </c>
      <c r="W73" s="187">
        <f t="shared" si="2"/>
        <v>500375.60861771024</v>
      </c>
      <c r="X73" s="4">
        <f t="shared" si="6"/>
        <v>2335.0861735493145</v>
      </c>
      <c r="Y73" s="4">
        <f t="shared" si="3"/>
        <v>764.9403219140936</v>
      </c>
      <c r="Z73" s="4">
        <f>_xlfn.IFNA(INDEX(additional_mortgage_payments[],MATCH(monthly_mortgage_schedule[[#This Row],[Month]],additional_mortgage_payments[Month],0),3),0)</f>
        <v>0</v>
      </c>
      <c r="AA73" s="4">
        <f>AA72+monthly_mortgage_schedule[[#This Row],[Extra Payments Towards Equity]]</f>
        <v>3000</v>
      </c>
      <c r="AB73" s="4">
        <f>AB72+monthly_mortgage_schedule[[#This Row],[Principal With Extra Principal Payments]]+monthly_mortgage_schedule[[#This Row],[Extra Payments Towards Equity]]</f>
        <v>40389.331704203702</v>
      </c>
      <c r="AC73" s="4">
        <f>monthly_mortgage_schedule[[#This Row],[Cumulative Principal With Extra Principal Payments]]+down_payment_dollars</f>
        <v>100389.33170420371</v>
      </c>
      <c r="AD73" s="200">
        <f t="shared" si="0"/>
        <v>90</v>
      </c>
      <c r="AE7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499610.66829579615</v>
      </c>
      <c r="AF73" s="187">
        <f t="shared" si="7"/>
        <v>503726.46689062967</v>
      </c>
      <c r="AG73" s="4">
        <f>IF(monthly_mortgage_schedule[[#This Row],[Loan Balance (BOY) Without Extra Principal Payments]]&gt;0,monthly_mortgage_schedule[[#This Row],[Loan Balance (BOY) Without Extra Principal Payments]]*monthly_interest_rate,0)</f>
        <v>2350.7235121562721</v>
      </c>
      <c r="AH73" s="4">
        <f>IF(monthly_mortgage_schedule[[#This Row],[Loan Balance (BOY) Without Extra Principal Payments]]&gt;1,monthly_principal_and_interest-monthly_mortgage_schedule[[#This Row],[Interest Without Extra Principal Payments]],0)</f>
        <v>749.30298330713595</v>
      </c>
      <c r="AI73" s="4">
        <f>AI72+monthly_mortgage_schedule[[#This Row],[Principal Without Extra Principal Payments]]</f>
        <v>37022.836092677418</v>
      </c>
      <c r="AJ73" s="4">
        <f>monthly_mortgage_schedule[[#This Row],[Cumulative Principal Without Extra Principal Payments]]+down_payment_dollars</f>
        <v>97022.836092677418</v>
      </c>
      <c r="AK73" s="200">
        <f t="shared" si="1"/>
        <v>90</v>
      </c>
      <c r="AL7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502977.16390732251</v>
      </c>
      <c r="AN73" s="196">
        <f>monthly_mortgage_schedule[[#This Row],[Extra Payments Towards Equity]]+AN72+IF(monthly_mortgage_schedule[[#This Row],[Interest With Extra Principal Payments]]&gt;0,monthly_mortgage_schedule[[#This Row],[Interest Without Extra Principal Payments]]-monthly_mortgage_schedule[[#This Row],[Interest With Extra Principal Payments]],0)</f>
        <v>3366.4956115262889</v>
      </c>
      <c r="AO73" s="4">
        <f>AO72+IF(monthly_mortgage_schedule[[#This Row],[Interest With Extra Principal Payments]]&gt;0,monthly_mortgage_schedule[[#This Row],[Interest Without Extra Principal Payments]]-monthly_mortgage_schedule[[#This Row],[Interest With Extra Principal Payments]],0)</f>
        <v>366.49561152628894</v>
      </c>
      <c r="AP73" s="4">
        <f>AP72+monthly_mortgage_schedule[[#This Row],[PMI Without Extra Principal Payments]]-monthly_mortgage_schedule[[#This Row],[PMI with Additional Payments]]</f>
        <v>0</v>
      </c>
      <c r="AQ73" s="4">
        <f t="shared" si="4"/>
        <v>3564.2709882212043</v>
      </c>
      <c r="AR73" s="4">
        <f>Table60[[#This Row],[Cumulative Investments]]-monthly_mortgage_schedule[[#This Row],[Cumulative Extra Payments Towards Equity]]</f>
        <v>564.27098822120433</v>
      </c>
    </row>
    <row r="74" spans="9:44" x14ac:dyDescent="0.25">
      <c r="I74">
        <v>57</v>
      </c>
      <c r="J74">
        <f>IF(MOD(ROWS($J$18:J73),12)=0,J73+1,J73)</f>
        <v>2026</v>
      </c>
      <c r="K74" s="198">
        <f>IF(M74="#N/A",NA(),monthly_mortgage_schedule[[#This Row],[Month]])</f>
        <v>57</v>
      </c>
      <c r="L74" s="198">
        <f>IF(monthly_mortgage_schedule[[#This Row],[Calendar Year]]&gt;=$C$7,monthly_mortgage_schedule[[#This Row],[Calendar Year]],NA())</f>
        <v>2026</v>
      </c>
      <c r="M74" s="199">
        <f>IF((monthly_mortgage_schedule[[#This Row],[Calendar Year]]&gt;=$C$7)*(monthly_mortgage_schedule[[#This Row],[Calendar Year]]&lt;=$C$9),monthly_mortgage_schedule[[#This Row],[Begin Year (Range)]],NA())</f>
        <v>2026</v>
      </c>
      <c r="N74" s="214">
        <f>IF((monthly_mortgage_schedule[[#This Row],[Year (Range)]]&gt;=$C$7)*(monthly_mortgage_schedule[[#This Row],[Year (Range)]]&lt;=$C$9),X74,NA())</f>
        <v>2331.5164520470489</v>
      </c>
      <c r="O74" s="214">
        <f>IF((monthly_mortgage_schedule[[#This Row],[Year (Range)]]&gt;=$C$7)*(monthly_mortgage_schedule[[#This Row],[Year (Range)]]&lt;=$C$9),Y74,NA())</f>
        <v>768.51004341635917</v>
      </c>
      <c r="P74" s="214">
        <f>IF((monthly_mortgage_schedule[[#This Row],[Year (Range)]]&gt;=$C$7)*(monthly_mortgage_schedule[[#This Row],[Year (Range)]]&lt;=$C$9),AG74,NA())</f>
        <v>2347.2267649008386</v>
      </c>
      <c r="Q74" s="214">
        <f>IF((monthly_mortgage_schedule[[#This Row],[Year (Range)]]&gt;=$C$7)*(monthly_mortgage_schedule[[#This Row],[Year (Range)]]&lt;=$C$9),AH74,NA())</f>
        <v>752.79973056256949</v>
      </c>
      <c r="R74" s="214">
        <f>IF((monthly_mortgage_schedule[[#This Row],[Year (Range)]]&gt;=$C$7)*(monthly_mortgage_schedule[[#This Row],[Year (Range)]]&lt;=$C$9),AO74,NA())</f>
        <v>382.20592438007861</v>
      </c>
      <c r="S74" s="214">
        <f>IF((monthly_mortgage_schedule[[#This Row],[Year (Range)]]&gt;=$C$7)*(monthly_mortgage_schedule[[#This Row],[Year (Range)]]&lt;=$C$9),AP74,NA())</f>
        <v>0</v>
      </c>
      <c r="T74" s="214">
        <f>IF((monthly_mortgage_schedule[[#This Row],[Year (Range)]]&gt;=$C$7)*(monthly_mortgage_schedule[[#This Row],[Year (Range)]]&lt;=$C$9),AR74,NA())</f>
        <v>588.03279480934543</v>
      </c>
      <c r="U74" s="214">
        <f>IF((monthly_mortgage_schedule[[#This Row],[Year (Range)]]&gt;=$C$7)*(monthly_mortgage_schedule[[#This Row],[Year (Range)]]&lt;=$C$9),AB74,NA())</f>
        <v>41157.841747620063</v>
      </c>
      <c r="V74" s="214">
        <f>IF((monthly_mortgage_schedule[[#This Row],[Year (Range)]]&gt;=$C$7)*(monthly_mortgage_schedule[[#This Row],[Year (Range)]]&lt;=$C$9),AI74,NA())</f>
        <v>37775.635823239987</v>
      </c>
      <c r="W74" s="187">
        <f t="shared" si="2"/>
        <v>499610.66829579615</v>
      </c>
      <c r="X74" s="4">
        <f t="shared" si="6"/>
        <v>2331.5164520470489</v>
      </c>
      <c r="Y74" s="4">
        <f t="shared" si="3"/>
        <v>768.51004341635917</v>
      </c>
      <c r="Z74" s="4">
        <f>_xlfn.IFNA(INDEX(additional_mortgage_payments[],MATCH(monthly_mortgage_schedule[[#This Row],[Month]],additional_mortgage_payments[Month],0),3),0)</f>
        <v>0</v>
      </c>
      <c r="AA74" s="4">
        <f>AA73+monthly_mortgage_schedule[[#This Row],[Extra Payments Towards Equity]]</f>
        <v>3000</v>
      </c>
      <c r="AB74" s="4">
        <f>AB73+monthly_mortgage_schedule[[#This Row],[Principal With Extra Principal Payments]]+monthly_mortgage_schedule[[#This Row],[Extra Payments Towards Equity]]</f>
        <v>41157.841747620063</v>
      </c>
      <c r="AC74" s="4">
        <f>monthly_mortgage_schedule[[#This Row],[Cumulative Principal With Extra Principal Payments]]+down_payment_dollars</f>
        <v>101157.84174762006</v>
      </c>
      <c r="AD74" s="200">
        <f t="shared" si="0"/>
        <v>90</v>
      </c>
      <c r="AE7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498842.1582523798</v>
      </c>
      <c r="AF74" s="187">
        <f t="shared" si="7"/>
        <v>502977.16390732251</v>
      </c>
      <c r="AG74" s="4">
        <f>IF(monthly_mortgage_schedule[[#This Row],[Loan Balance (BOY) Without Extra Principal Payments]]&gt;0,monthly_mortgage_schedule[[#This Row],[Loan Balance (BOY) Without Extra Principal Payments]]*monthly_interest_rate,0)</f>
        <v>2347.2267649008386</v>
      </c>
      <c r="AH74" s="4">
        <f>IF(monthly_mortgage_schedule[[#This Row],[Loan Balance (BOY) Without Extra Principal Payments]]&gt;1,monthly_principal_and_interest-monthly_mortgage_schedule[[#This Row],[Interest Without Extra Principal Payments]],0)</f>
        <v>752.79973056256949</v>
      </c>
      <c r="AI74" s="4">
        <f>AI73+monthly_mortgage_schedule[[#This Row],[Principal Without Extra Principal Payments]]</f>
        <v>37775.635823239987</v>
      </c>
      <c r="AJ74" s="4">
        <f>monthly_mortgage_schedule[[#This Row],[Cumulative Principal Without Extra Principal Payments]]+down_payment_dollars</f>
        <v>97775.63582323998</v>
      </c>
      <c r="AK74" s="200">
        <f t="shared" si="1"/>
        <v>90</v>
      </c>
      <c r="AL7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502224.36417675996</v>
      </c>
      <c r="AN74" s="196">
        <f>monthly_mortgage_schedule[[#This Row],[Extra Payments Towards Equity]]+AN73+IF(monthly_mortgage_schedule[[#This Row],[Interest With Extra Principal Payments]]&gt;0,monthly_mortgage_schedule[[#This Row],[Interest Without Extra Principal Payments]]-monthly_mortgage_schedule[[#This Row],[Interest With Extra Principal Payments]],0)</f>
        <v>3382.2059243800786</v>
      </c>
      <c r="AO74" s="4">
        <f>AO73+IF(monthly_mortgage_schedule[[#This Row],[Interest With Extra Principal Payments]]&gt;0,monthly_mortgage_schedule[[#This Row],[Interest Without Extra Principal Payments]]-monthly_mortgage_schedule[[#This Row],[Interest With Extra Principal Payments]],0)</f>
        <v>382.20592438007861</v>
      </c>
      <c r="AP74" s="4">
        <f>AP73+monthly_mortgage_schedule[[#This Row],[PMI Without Extra Principal Payments]]-monthly_mortgage_schedule[[#This Row],[PMI with Additional Payments]]</f>
        <v>0</v>
      </c>
      <c r="AQ74" s="4">
        <f t="shared" si="4"/>
        <v>3588.0327948093454</v>
      </c>
      <c r="AR74" s="4">
        <f>Table60[[#This Row],[Cumulative Investments]]-monthly_mortgage_schedule[[#This Row],[Cumulative Extra Payments Towards Equity]]</f>
        <v>588.03279480934543</v>
      </c>
    </row>
    <row r="75" spans="9:44" x14ac:dyDescent="0.25">
      <c r="I75">
        <v>58</v>
      </c>
      <c r="J75">
        <f>IF(MOD(ROWS($J$18:J74),12)=0,J74+1,J74)</f>
        <v>2026</v>
      </c>
      <c r="K75" s="198">
        <f>IF(M75="#N/A",NA(),monthly_mortgage_schedule[[#This Row],[Month]])</f>
        <v>58</v>
      </c>
      <c r="L75" s="198">
        <f>IF(monthly_mortgage_schedule[[#This Row],[Calendar Year]]&gt;=$C$7,monthly_mortgage_schedule[[#This Row],[Calendar Year]],NA())</f>
        <v>2026</v>
      </c>
      <c r="M75" s="199">
        <f>IF((monthly_mortgage_schedule[[#This Row],[Calendar Year]]&gt;=$C$7)*(monthly_mortgage_schedule[[#This Row],[Calendar Year]]&lt;=$C$9),monthly_mortgage_schedule[[#This Row],[Begin Year (Range)]],NA())</f>
        <v>2026</v>
      </c>
      <c r="N75" s="214">
        <f>IF((monthly_mortgage_schedule[[#This Row],[Year (Range)]]&gt;=$C$7)*(monthly_mortgage_schedule[[#This Row],[Year (Range)]]&lt;=$C$9),X75,NA())</f>
        <v>2327.9300718444392</v>
      </c>
      <c r="O75" s="214">
        <f>IF((monthly_mortgage_schedule[[#This Row],[Year (Range)]]&gt;=$C$7)*(monthly_mortgage_schedule[[#This Row],[Year (Range)]]&lt;=$C$9),Y75,NA())</f>
        <v>772.09642361896886</v>
      </c>
      <c r="P75" s="214">
        <f>IF((monthly_mortgage_schedule[[#This Row],[Year (Range)]]&gt;=$C$7)*(monthly_mortgage_schedule[[#This Row],[Year (Range)]]&lt;=$C$9),AG75,NA())</f>
        <v>2343.7136994915468</v>
      </c>
      <c r="Q75" s="214">
        <f>IF((monthly_mortgage_schedule[[#This Row],[Year (Range)]]&gt;=$C$7)*(monthly_mortgage_schedule[[#This Row],[Year (Range)]]&lt;=$C$9),AH75,NA())</f>
        <v>756.31279597186131</v>
      </c>
      <c r="R75" s="214">
        <f>IF((monthly_mortgage_schedule[[#This Row],[Year (Range)]]&gt;=$C$7)*(monthly_mortgage_schedule[[#This Row],[Year (Range)]]&lt;=$C$9),AO75,NA())</f>
        <v>397.98955202718616</v>
      </c>
      <c r="S75" s="214">
        <f>IF((monthly_mortgage_schedule[[#This Row],[Year (Range)]]&gt;=$C$7)*(monthly_mortgage_schedule[[#This Row],[Year (Range)]]&lt;=$C$9),AP75,NA())</f>
        <v>0</v>
      </c>
      <c r="T75" s="214">
        <f>IF((monthly_mortgage_schedule[[#This Row],[Year (Range)]]&gt;=$C$7)*(monthly_mortgage_schedule[[#This Row],[Year (Range)]]&lt;=$C$9),AR75,NA())</f>
        <v>611.95301344140762</v>
      </c>
      <c r="U75" s="214">
        <f>IF((monthly_mortgage_schedule[[#This Row],[Year (Range)]]&gt;=$C$7)*(monthly_mortgage_schedule[[#This Row],[Year (Range)]]&lt;=$C$9),AB75,NA())</f>
        <v>41929.938171239031</v>
      </c>
      <c r="V75" s="214">
        <f>IF((monthly_mortgage_schedule[[#This Row],[Year (Range)]]&gt;=$C$7)*(monthly_mortgage_schedule[[#This Row],[Year (Range)]]&lt;=$C$9),AI75,NA())</f>
        <v>38531.948619211849</v>
      </c>
      <c r="W75" s="187">
        <f t="shared" si="2"/>
        <v>498842.1582523798</v>
      </c>
      <c r="X75" s="4">
        <f t="shared" si="6"/>
        <v>2327.9300718444392</v>
      </c>
      <c r="Y75" s="4">
        <f t="shared" si="3"/>
        <v>772.09642361896886</v>
      </c>
      <c r="Z75" s="4">
        <f>_xlfn.IFNA(INDEX(additional_mortgage_payments[],MATCH(monthly_mortgage_schedule[[#This Row],[Month]],additional_mortgage_payments[Month],0),3),0)</f>
        <v>0</v>
      </c>
      <c r="AA75" s="4">
        <f>AA74+monthly_mortgage_schedule[[#This Row],[Extra Payments Towards Equity]]</f>
        <v>3000</v>
      </c>
      <c r="AB75" s="4">
        <f>AB74+monthly_mortgage_schedule[[#This Row],[Principal With Extra Principal Payments]]+monthly_mortgage_schedule[[#This Row],[Extra Payments Towards Equity]]</f>
        <v>41929.938171239031</v>
      </c>
      <c r="AC75" s="4">
        <f>monthly_mortgage_schedule[[#This Row],[Cumulative Principal With Extra Principal Payments]]+down_payment_dollars</f>
        <v>101929.93817123903</v>
      </c>
      <c r="AD75" s="200">
        <f t="shared" si="0"/>
        <v>90</v>
      </c>
      <c r="AE7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498070.06182876084</v>
      </c>
      <c r="AF75" s="187">
        <f t="shared" si="7"/>
        <v>502224.36417675996</v>
      </c>
      <c r="AG75" s="4">
        <f>IF(monthly_mortgage_schedule[[#This Row],[Loan Balance (BOY) Without Extra Principal Payments]]&gt;0,monthly_mortgage_schedule[[#This Row],[Loan Balance (BOY) Without Extra Principal Payments]]*monthly_interest_rate,0)</f>
        <v>2343.7136994915468</v>
      </c>
      <c r="AH75" s="4">
        <f>IF(monthly_mortgage_schedule[[#This Row],[Loan Balance (BOY) Without Extra Principal Payments]]&gt;1,monthly_principal_and_interest-monthly_mortgage_schedule[[#This Row],[Interest Without Extra Principal Payments]],0)</f>
        <v>756.31279597186131</v>
      </c>
      <c r="AI75" s="4">
        <f>AI74+monthly_mortgage_schedule[[#This Row],[Principal Without Extra Principal Payments]]</f>
        <v>38531.948619211849</v>
      </c>
      <c r="AJ75" s="4">
        <f>monthly_mortgage_schedule[[#This Row],[Cumulative Principal Without Extra Principal Payments]]+down_payment_dollars</f>
        <v>98531.948619211849</v>
      </c>
      <c r="AK75" s="200">
        <f t="shared" si="1"/>
        <v>90</v>
      </c>
      <c r="AL7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501468.05138078809</v>
      </c>
      <c r="AN75" s="196">
        <f>monthly_mortgage_schedule[[#This Row],[Extra Payments Towards Equity]]+AN74+IF(monthly_mortgage_schedule[[#This Row],[Interest With Extra Principal Payments]]&gt;0,monthly_mortgage_schedule[[#This Row],[Interest Without Extra Principal Payments]]-monthly_mortgage_schedule[[#This Row],[Interest With Extra Principal Payments]],0)</f>
        <v>3397.9895520271862</v>
      </c>
      <c r="AO75" s="4">
        <f>AO74+IF(monthly_mortgage_schedule[[#This Row],[Interest With Extra Principal Payments]]&gt;0,monthly_mortgage_schedule[[#This Row],[Interest Without Extra Principal Payments]]-monthly_mortgage_schedule[[#This Row],[Interest With Extra Principal Payments]],0)</f>
        <v>397.98955202718616</v>
      </c>
      <c r="AP75" s="4">
        <f>AP74+monthly_mortgage_schedule[[#This Row],[PMI Without Extra Principal Payments]]-monthly_mortgage_schedule[[#This Row],[PMI with Additional Payments]]</f>
        <v>0</v>
      </c>
      <c r="AQ75" s="4">
        <f t="shared" si="4"/>
        <v>3611.9530134414076</v>
      </c>
      <c r="AR75" s="4">
        <f>Table60[[#This Row],[Cumulative Investments]]-monthly_mortgage_schedule[[#This Row],[Cumulative Extra Payments Towards Equity]]</f>
        <v>611.95301344140762</v>
      </c>
    </row>
    <row r="76" spans="9:44" x14ac:dyDescent="0.25">
      <c r="I76">
        <v>59</v>
      </c>
      <c r="J76">
        <f>IF(MOD(ROWS($J$18:J75),12)=0,J75+1,J75)</f>
        <v>2026</v>
      </c>
      <c r="K76" s="198">
        <f>IF(M76="#N/A",NA(),monthly_mortgage_schedule[[#This Row],[Month]])</f>
        <v>59</v>
      </c>
      <c r="L76" s="198">
        <f>IF(monthly_mortgage_schedule[[#This Row],[Calendar Year]]&gt;=$C$7,monthly_mortgage_schedule[[#This Row],[Calendar Year]],NA())</f>
        <v>2026</v>
      </c>
      <c r="M76" s="199">
        <f>IF((monthly_mortgage_schedule[[#This Row],[Calendar Year]]&gt;=$C$7)*(monthly_mortgage_schedule[[#This Row],[Calendar Year]]&lt;=$C$9),monthly_mortgage_schedule[[#This Row],[Begin Year (Range)]],NA())</f>
        <v>2026</v>
      </c>
      <c r="N76" s="214">
        <f>IF((monthly_mortgage_schedule[[#This Row],[Year (Range)]]&gt;=$C$7)*(monthly_mortgage_schedule[[#This Row],[Year (Range)]]&lt;=$C$9),X76,NA())</f>
        <v>2324.3269552008842</v>
      </c>
      <c r="O76" s="214">
        <f>IF((monthly_mortgage_schedule[[#This Row],[Year (Range)]]&gt;=$C$7)*(monthly_mortgage_schedule[[#This Row],[Year (Range)]]&lt;=$C$9),Y76,NA())</f>
        <v>775.6995402625239</v>
      </c>
      <c r="P76" s="214">
        <f>IF((monthly_mortgage_schedule[[#This Row],[Year (Range)]]&gt;=$C$7)*(monthly_mortgage_schedule[[#This Row],[Year (Range)]]&lt;=$C$9),AG76,NA())</f>
        <v>2340.1842397770115</v>
      </c>
      <c r="Q76" s="214">
        <f>IF((monthly_mortgage_schedule[[#This Row],[Year (Range)]]&gt;=$C$7)*(monthly_mortgage_schedule[[#This Row],[Year (Range)]]&lt;=$C$9),AH76,NA())</f>
        <v>759.84225568639658</v>
      </c>
      <c r="R76" s="214">
        <f>IF((monthly_mortgage_schedule[[#This Row],[Year (Range)]]&gt;=$C$7)*(monthly_mortgage_schedule[[#This Row],[Year (Range)]]&lt;=$C$9),AO76,NA())</f>
        <v>413.84683660331348</v>
      </c>
      <c r="S76" s="214">
        <f>IF((monthly_mortgage_schedule[[#This Row],[Year (Range)]]&gt;=$C$7)*(monthly_mortgage_schedule[[#This Row],[Year (Range)]]&lt;=$C$9),AP76,NA())</f>
        <v>0</v>
      </c>
      <c r="T76" s="214">
        <f>IF((monthly_mortgage_schedule[[#This Row],[Year (Range)]]&gt;=$C$7)*(monthly_mortgage_schedule[[#This Row],[Year (Range)]]&lt;=$C$9),AR76,NA())</f>
        <v>636.03270019768343</v>
      </c>
      <c r="U76" s="214">
        <f>IF((monthly_mortgage_schedule[[#This Row],[Year (Range)]]&gt;=$C$7)*(monthly_mortgage_schedule[[#This Row],[Year (Range)]]&lt;=$C$9),AB76,NA())</f>
        <v>42705.637711501557</v>
      </c>
      <c r="V76" s="214">
        <f>IF((monthly_mortgage_schedule[[#This Row],[Year (Range)]]&gt;=$C$7)*(monthly_mortgage_schedule[[#This Row],[Year (Range)]]&lt;=$C$9),AI76,NA())</f>
        <v>39291.790874898245</v>
      </c>
      <c r="W76" s="187">
        <f t="shared" si="2"/>
        <v>498070.06182876084</v>
      </c>
      <c r="X76" s="4">
        <f t="shared" si="6"/>
        <v>2324.3269552008842</v>
      </c>
      <c r="Y76" s="4">
        <f t="shared" si="3"/>
        <v>775.6995402625239</v>
      </c>
      <c r="Z76" s="4">
        <f>_xlfn.IFNA(INDEX(additional_mortgage_payments[],MATCH(monthly_mortgage_schedule[[#This Row],[Month]],additional_mortgage_payments[Month],0),3),0)</f>
        <v>0</v>
      </c>
      <c r="AA76" s="4">
        <f>AA75+monthly_mortgage_schedule[[#This Row],[Extra Payments Towards Equity]]</f>
        <v>3000</v>
      </c>
      <c r="AB76" s="4">
        <f>AB75+monthly_mortgage_schedule[[#This Row],[Principal With Extra Principal Payments]]+monthly_mortgage_schedule[[#This Row],[Extra Payments Towards Equity]]</f>
        <v>42705.637711501557</v>
      </c>
      <c r="AC76" s="4">
        <f>monthly_mortgage_schedule[[#This Row],[Cumulative Principal With Extra Principal Payments]]+down_payment_dollars</f>
        <v>102705.63771150156</v>
      </c>
      <c r="AD76" s="200">
        <f t="shared" si="0"/>
        <v>90</v>
      </c>
      <c r="AE7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497294.36228849832</v>
      </c>
      <c r="AF76" s="187">
        <f t="shared" si="7"/>
        <v>501468.05138078809</v>
      </c>
      <c r="AG76" s="4">
        <f>IF(monthly_mortgage_schedule[[#This Row],[Loan Balance (BOY) Without Extra Principal Payments]]&gt;0,monthly_mortgage_schedule[[#This Row],[Loan Balance (BOY) Without Extra Principal Payments]]*monthly_interest_rate,0)</f>
        <v>2340.1842397770115</v>
      </c>
      <c r="AH76" s="4">
        <f>IF(monthly_mortgage_schedule[[#This Row],[Loan Balance (BOY) Without Extra Principal Payments]]&gt;1,monthly_principal_and_interest-monthly_mortgage_schedule[[#This Row],[Interest Without Extra Principal Payments]],0)</f>
        <v>759.84225568639658</v>
      </c>
      <c r="AI76" s="4">
        <f>AI75+monthly_mortgage_schedule[[#This Row],[Principal Without Extra Principal Payments]]</f>
        <v>39291.790874898245</v>
      </c>
      <c r="AJ76" s="4">
        <f>monthly_mortgage_schedule[[#This Row],[Cumulative Principal Without Extra Principal Payments]]+down_payment_dollars</f>
        <v>99291.790874898245</v>
      </c>
      <c r="AK76" s="200">
        <f t="shared" si="1"/>
        <v>90</v>
      </c>
      <c r="AL7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500708.20912510168</v>
      </c>
      <c r="AN76" s="196">
        <f>monthly_mortgage_schedule[[#This Row],[Extra Payments Towards Equity]]+AN75+IF(monthly_mortgage_schedule[[#This Row],[Interest With Extra Principal Payments]]&gt;0,monthly_mortgage_schedule[[#This Row],[Interest Without Extra Principal Payments]]-monthly_mortgage_schedule[[#This Row],[Interest With Extra Principal Payments]],0)</f>
        <v>3413.8468366033135</v>
      </c>
      <c r="AO76" s="4">
        <f>AO75+IF(monthly_mortgage_schedule[[#This Row],[Interest With Extra Principal Payments]]&gt;0,monthly_mortgage_schedule[[#This Row],[Interest Without Extra Principal Payments]]-monthly_mortgage_schedule[[#This Row],[Interest With Extra Principal Payments]],0)</f>
        <v>413.84683660331348</v>
      </c>
      <c r="AP76" s="4">
        <f>AP75+monthly_mortgage_schedule[[#This Row],[PMI Without Extra Principal Payments]]-monthly_mortgage_schedule[[#This Row],[PMI with Additional Payments]]</f>
        <v>0</v>
      </c>
      <c r="AQ76" s="4">
        <f t="shared" si="4"/>
        <v>3636.0327001976834</v>
      </c>
      <c r="AR76" s="4">
        <f>Table60[[#This Row],[Cumulative Investments]]-monthly_mortgage_schedule[[#This Row],[Cumulative Extra Payments Towards Equity]]</f>
        <v>636.03270019768343</v>
      </c>
    </row>
    <row r="77" spans="9:44" x14ac:dyDescent="0.25">
      <c r="I77">
        <v>60</v>
      </c>
      <c r="J77">
        <f>IF(MOD(ROWS($J$18:J76),12)=0,J76+1,J76)</f>
        <v>2026</v>
      </c>
      <c r="K77" s="198">
        <f>IF(M77="#N/A",NA(),monthly_mortgage_schedule[[#This Row],[Month]])</f>
        <v>60</v>
      </c>
      <c r="L77" s="198">
        <f>IF(monthly_mortgage_schedule[[#This Row],[Calendar Year]]&gt;=$C$7,monthly_mortgage_schedule[[#This Row],[Calendar Year]],NA())</f>
        <v>2026</v>
      </c>
      <c r="M77" s="199">
        <f>IF((monthly_mortgage_schedule[[#This Row],[Calendar Year]]&gt;=$C$7)*(monthly_mortgage_schedule[[#This Row],[Calendar Year]]&lt;=$C$9),monthly_mortgage_schedule[[#This Row],[Begin Year (Range)]],NA())</f>
        <v>2026</v>
      </c>
      <c r="N77" s="214">
        <f>IF((monthly_mortgage_schedule[[#This Row],[Year (Range)]]&gt;=$C$7)*(monthly_mortgage_schedule[[#This Row],[Year (Range)]]&lt;=$C$9),X77,NA())</f>
        <v>2320.7070240129924</v>
      </c>
      <c r="O77" s="214">
        <f>IF((monthly_mortgage_schedule[[#This Row],[Year (Range)]]&gt;=$C$7)*(monthly_mortgage_schedule[[#This Row],[Year (Range)]]&lt;=$C$9),Y77,NA())</f>
        <v>779.31947145041568</v>
      </c>
      <c r="P77" s="214">
        <f>IF((monthly_mortgage_schedule[[#This Row],[Year (Range)]]&gt;=$C$7)*(monthly_mortgage_schedule[[#This Row],[Year (Range)]]&lt;=$C$9),AG77,NA())</f>
        <v>2336.6383092504748</v>
      </c>
      <c r="Q77" s="214">
        <f>IF((monthly_mortgage_schedule[[#This Row],[Year (Range)]]&gt;=$C$7)*(monthly_mortgage_schedule[[#This Row],[Year (Range)]]&lt;=$C$9),AH77,NA())</f>
        <v>763.38818621293331</v>
      </c>
      <c r="R77" s="214">
        <f>IF((monthly_mortgage_schedule[[#This Row],[Year (Range)]]&gt;=$C$7)*(monthly_mortgage_schedule[[#This Row],[Year (Range)]]&lt;=$C$9),AO77,NA())</f>
        <v>429.77812184079585</v>
      </c>
      <c r="S77" s="214">
        <f>IF((monthly_mortgage_schedule[[#This Row],[Year (Range)]]&gt;=$C$7)*(monthly_mortgage_schedule[[#This Row],[Year (Range)]]&lt;=$C$9),AP77,NA())</f>
        <v>0</v>
      </c>
      <c r="T77" s="214">
        <f>IF((monthly_mortgage_schedule[[#This Row],[Year (Range)]]&gt;=$C$7)*(monthly_mortgage_schedule[[#This Row],[Year (Range)]]&lt;=$C$9),AR77,NA())</f>
        <v>693.60625153233377</v>
      </c>
      <c r="U77" s="214">
        <f>IF((monthly_mortgage_schedule[[#This Row],[Year (Range)]]&gt;=$C$7)*(monthly_mortgage_schedule[[#This Row],[Year (Range)]]&lt;=$C$9),AB77,NA())</f>
        <v>48484.95718295197</v>
      </c>
      <c r="V77" s="214">
        <f>IF((monthly_mortgage_schedule[[#This Row],[Year (Range)]]&gt;=$C$7)*(monthly_mortgage_schedule[[#This Row],[Year (Range)]]&lt;=$C$9),AI77,NA())</f>
        <v>40055.179061111179</v>
      </c>
      <c r="W77" s="187">
        <f t="shared" si="2"/>
        <v>497294.36228849832</v>
      </c>
      <c r="X77" s="4">
        <f t="shared" si="6"/>
        <v>2320.7070240129924</v>
      </c>
      <c r="Y77" s="4">
        <f t="shared" si="3"/>
        <v>779.31947145041568</v>
      </c>
      <c r="Z77" s="4">
        <f>_xlfn.IFNA(INDEX(additional_mortgage_payments[],MATCH(monthly_mortgage_schedule[[#This Row],[Month]],additional_mortgage_payments[Month],0),3),0)</f>
        <v>5000</v>
      </c>
      <c r="AA77" s="4">
        <f>AA76+monthly_mortgage_schedule[[#This Row],[Extra Payments Towards Equity]]</f>
        <v>8000</v>
      </c>
      <c r="AB77" s="4">
        <f>AB76+monthly_mortgage_schedule[[#This Row],[Principal With Extra Principal Payments]]+monthly_mortgage_schedule[[#This Row],[Extra Payments Towards Equity]]</f>
        <v>48484.95718295197</v>
      </c>
      <c r="AC77" s="4">
        <f>monthly_mortgage_schedule[[#This Row],[Cumulative Principal With Extra Principal Payments]]+down_payment_dollars</f>
        <v>108484.95718295197</v>
      </c>
      <c r="AD77" s="200">
        <f t="shared" si="0"/>
        <v>90</v>
      </c>
      <c r="AE7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491515.04281704791</v>
      </c>
      <c r="AF77" s="187">
        <f t="shared" si="7"/>
        <v>500708.20912510168</v>
      </c>
      <c r="AG77" s="4">
        <f>IF(monthly_mortgage_schedule[[#This Row],[Loan Balance (BOY) Without Extra Principal Payments]]&gt;0,monthly_mortgage_schedule[[#This Row],[Loan Balance (BOY) Without Extra Principal Payments]]*monthly_interest_rate,0)</f>
        <v>2336.6383092504748</v>
      </c>
      <c r="AH77" s="4">
        <f>IF(monthly_mortgage_schedule[[#This Row],[Loan Balance (BOY) Without Extra Principal Payments]]&gt;1,monthly_principal_and_interest-monthly_mortgage_schedule[[#This Row],[Interest Without Extra Principal Payments]],0)</f>
        <v>763.38818621293331</v>
      </c>
      <c r="AI77" s="4">
        <f>AI76+monthly_mortgage_schedule[[#This Row],[Principal Without Extra Principal Payments]]</f>
        <v>40055.179061111179</v>
      </c>
      <c r="AJ77" s="4">
        <f>monthly_mortgage_schedule[[#This Row],[Cumulative Principal Without Extra Principal Payments]]+down_payment_dollars</f>
        <v>100055.17906111118</v>
      </c>
      <c r="AK77" s="200">
        <f t="shared" si="1"/>
        <v>90</v>
      </c>
      <c r="AL7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499944.82093888876</v>
      </c>
      <c r="AN77" s="196">
        <f>monthly_mortgage_schedule[[#This Row],[Extra Payments Towards Equity]]+AN76+IF(monthly_mortgage_schedule[[#This Row],[Interest With Extra Principal Payments]]&gt;0,monthly_mortgage_schedule[[#This Row],[Interest Without Extra Principal Payments]]-monthly_mortgage_schedule[[#This Row],[Interest With Extra Principal Payments]],0)</f>
        <v>8429.7781218407963</v>
      </c>
      <c r="AO77" s="4">
        <f>AO76+IF(monthly_mortgage_schedule[[#This Row],[Interest With Extra Principal Payments]]&gt;0,monthly_mortgage_schedule[[#This Row],[Interest Without Extra Principal Payments]]-monthly_mortgage_schedule[[#This Row],[Interest With Extra Principal Payments]],0)</f>
        <v>429.77812184079585</v>
      </c>
      <c r="AP77" s="4">
        <f>AP76+monthly_mortgage_schedule[[#This Row],[PMI Without Extra Principal Payments]]-monthly_mortgage_schedule[[#This Row],[PMI with Additional Payments]]</f>
        <v>0</v>
      </c>
      <c r="AQ77" s="4">
        <f t="shared" si="4"/>
        <v>8693.6062515323338</v>
      </c>
      <c r="AR77" s="4">
        <f>Table60[[#This Row],[Cumulative Investments]]-monthly_mortgage_schedule[[#This Row],[Cumulative Extra Payments Towards Equity]]</f>
        <v>693.60625153233377</v>
      </c>
    </row>
    <row r="78" spans="9:44" x14ac:dyDescent="0.25">
      <c r="I78">
        <v>61</v>
      </c>
      <c r="J78">
        <f>IF(MOD(ROWS($J$18:J77),12)=0,J77+1,J77)</f>
        <v>2027</v>
      </c>
      <c r="K78" s="198">
        <f>IF(M78="#N/A",NA(),monthly_mortgage_schedule[[#This Row],[Month]])</f>
        <v>61</v>
      </c>
      <c r="L78" s="198">
        <f>IF(monthly_mortgage_schedule[[#This Row],[Calendar Year]]&gt;=$C$7,monthly_mortgage_schedule[[#This Row],[Calendar Year]],NA())</f>
        <v>2027</v>
      </c>
      <c r="M78" s="199">
        <f>IF((monthly_mortgage_schedule[[#This Row],[Calendar Year]]&gt;=$C$7)*(monthly_mortgage_schedule[[#This Row],[Calendar Year]]&lt;=$C$9),monthly_mortgage_schedule[[#This Row],[Begin Year (Range)]],NA())</f>
        <v>2027</v>
      </c>
      <c r="N78" s="214">
        <f>IF((monthly_mortgage_schedule[[#This Row],[Year (Range)]]&gt;=$C$7)*(monthly_mortgage_schedule[[#This Row],[Year (Range)]]&lt;=$C$9),X78,NA())</f>
        <v>2293.7368664795572</v>
      </c>
      <c r="O78" s="214">
        <f>IF((monthly_mortgage_schedule[[#This Row],[Year (Range)]]&gt;=$C$7)*(monthly_mortgage_schedule[[#This Row],[Year (Range)]]&lt;=$C$9),Y78,NA())</f>
        <v>806.28962898385089</v>
      </c>
      <c r="P78" s="214">
        <f>IF((monthly_mortgage_schedule[[#This Row],[Year (Range)]]&gt;=$C$7)*(monthly_mortgage_schedule[[#This Row],[Year (Range)]]&lt;=$C$9),AG78,NA())</f>
        <v>2333.0758310481478</v>
      </c>
      <c r="Q78" s="214">
        <f>IF((monthly_mortgage_schedule[[#This Row],[Year (Range)]]&gt;=$C$7)*(monthly_mortgage_schedule[[#This Row],[Year (Range)]]&lt;=$C$9),AH78,NA())</f>
        <v>766.95066441526023</v>
      </c>
      <c r="R78" s="214">
        <f>IF((monthly_mortgage_schedule[[#This Row],[Year (Range)]]&gt;=$C$7)*(monthly_mortgage_schedule[[#This Row],[Year (Range)]]&lt;=$C$9),AO78,NA())</f>
        <v>469.1170864093865</v>
      </c>
      <c r="S78" s="214">
        <f>IF((monthly_mortgage_schedule[[#This Row],[Year (Range)]]&gt;=$C$7)*(monthly_mortgage_schedule[[#This Row],[Year (Range)]]&lt;=$C$9),AP78,NA())</f>
        <v>0</v>
      </c>
      <c r="T78" s="214">
        <f>IF((monthly_mortgage_schedule[[#This Row],[Year (Range)]]&gt;=$C$7)*(monthly_mortgage_schedule[[#This Row],[Year (Range)]]&lt;=$C$9),AR78,NA())</f>
        <v>751.56362654254917</v>
      </c>
      <c r="U78" s="214">
        <f>IF((monthly_mortgage_schedule[[#This Row],[Year (Range)]]&gt;=$C$7)*(monthly_mortgage_schedule[[#This Row],[Year (Range)]]&lt;=$C$9),AB78,NA())</f>
        <v>49291.246811935824</v>
      </c>
      <c r="V78" s="214">
        <f>IF((monthly_mortgage_schedule[[#This Row],[Year (Range)]]&gt;=$C$7)*(monthly_mortgage_schedule[[#This Row],[Year (Range)]]&lt;=$C$9),AI78,NA())</f>
        <v>40822.129725526436</v>
      </c>
      <c r="W78" s="187">
        <f t="shared" si="2"/>
        <v>491515.04281704791</v>
      </c>
      <c r="X78" s="4">
        <f t="shared" si="6"/>
        <v>2293.7368664795572</v>
      </c>
      <c r="Y78" s="4">
        <f t="shared" si="3"/>
        <v>806.28962898385089</v>
      </c>
      <c r="Z78" s="4">
        <f>_xlfn.IFNA(INDEX(additional_mortgage_payments[],MATCH(monthly_mortgage_schedule[[#This Row],[Month]],additional_mortgage_payments[Month],0),3),0)</f>
        <v>0</v>
      </c>
      <c r="AA78" s="4">
        <f>AA77+monthly_mortgage_schedule[[#This Row],[Extra Payments Towards Equity]]</f>
        <v>8000</v>
      </c>
      <c r="AB78" s="4">
        <f>AB77+monthly_mortgage_schedule[[#This Row],[Principal With Extra Principal Payments]]+monthly_mortgage_schedule[[#This Row],[Extra Payments Towards Equity]]</f>
        <v>49291.246811935824</v>
      </c>
      <c r="AC78" s="4">
        <f>monthly_mortgage_schedule[[#This Row],[Cumulative Principal With Extra Principal Payments]]+down_payment_dollars</f>
        <v>109291.24681193582</v>
      </c>
      <c r="AD78" s="200">
        <f t="shared" si="0"/>
        <v>90</v>
      </c>
      <c r="AE7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490708.75318806409</v>
      </c>
      <c r="AF78" s="187">
        <f t="shared" si="7"/>
        <v>499944.82093888876</v>
      </c>
      <c r="AG78" s="4">
        <f>IF(monthly_mortgage_schedule[[#This Row],[Loan Balance (BOY) Without Extra Principal Payments]]&gt;0,monthly_mortgage_schedule[[#This Row],[Loan Balance (BOY) Without Extra Principal Payments]]*monthly_interest_rate,0)</f>
        <v>2333.0758310481478</v>
      </c>
      <c r="AH78" s="4">
        <f>IF(monthly_mortgage_schedule[[#This Row],[Loan Balance (BOY) Without Extra Principal Payments]]&gt;1,monthly_principal_and_interest-monthly_mortgage_schedule[[#This Row],[Interest Without Extra Principal Payments]],0)</f>
        <v>766.95066441526023</v>
      </c>
      <c r="AI78" s="4">
        <f>AI77+monthly_mortgage_schedule[[#This Row],[Principal Without Extra Principal Payments]]</f>
        <v>40822.129725526436</v>
      </c>
      <c r="AJ78" s="4">
        <f>monthly_mortgage_schedule[[#This Row],[Cumulative Principal Without Extra Principal Payments]]+down_payment_dollars</f>
        <v>100822.12972552644</v>
      </c>
      <c r="AK78" s="200">
        <f t="shared" si="1"/>
        <v>90</v>
      </c>
      <c r="AL7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499177.87027447351</v>
      </c>
      <c r="AN78" s="196">
        <f>monthly_mortgage_schedule[[#This Row],[Extra Payments Towards Equity]]+AN77+IF(monthly_mortgage_schedule[[#This Row],[Interest With Extra Principal Payments]]&gt;0,monthly_mortgage_schedule[[#This Row],[Interest Without Extra Principal Payments]]-monthly_mortgage_schedule[[#This Row],[Interest With Extra Principal Payments]],0)</f>
        <v>8469.1170864093874</v>
      </c>
      <c r="AO78" s="4">
        <f>AO77+IF(monthly_mortgage_schedule[[#This Row],[Interest With Extra Principal Payments]]&gt;0,monthly_mortgage_schedule[[#This Row],[Interest Without Extra Principal Payments]]-monthly_mortgage_schedule[[#This Row],[Interest With Extra Principal Payments]],0)</f>
        <v>469.1170864093865</v>
      </c>
      <c r="AP78" s="4">
        <f>AP77+monthly_mortgage_schedule[[#This Row],[PMI Without Extra Principal Payments]]-monthly_mortgage_schedule[[#This Row],[PMI with Additional Payments]]</f>
        <v>0</v>
      </c>
      <c r="AQ78" s="4">
        <f t="shared" si="4"/>
        <v>8751.5636265425492</v>
      </c>
      <c r="AR78" s="4">
        <f>Table60[[#This Row],[Cumulative Investments]]-monthly_mortgage_schedule[[#This Row],[Cumulative Extra Payments Towards Equity]]</f>
        <v>751.56362654254917</v>
      </c>
    </row>
    <row r="79" spans="9:44" x14ac:dyDescent="0.25">
      <c r="I79">
        <v>62</v>
      </c>
      <c r="J79">
        <f>IF(MOD(ROWS($J$18:J78),12)=0,J78+1,J78)</f>
        <v>2027</v>
      </c>
      <c r="K79" s="198">
        <f>IF(M79="#N/A",NA(),monthly_mortgage_schedule[[#This Row],[Month]])</f>
        <v>62</v>
      </c>
      <c r="L79" s="198">
        <f>IF(monthly_mortgage_schedule[[#This Row],[Calendar Year]]&gt;=$C$7,monthly_mortgage_schedule[[#This Row],[Calendar Year]],NA())</f>
        <v>2027</v>
      </c>
      <c r="M79" s="199">
        <f>IF((monthly_mortgage_schedule[[#This Row],[Calendar Year]]&gt;=$C$7)*(monthly_mortgage_schedule[[#This Row],[Calendar Year]]&lt;=$C$9),monthly_mortgage_schedule[[#This Row],[Begin Year (Range)]],NA())</f>
        <v>2027</v>
      </c>
      <c r="N79" s="214">
        <f>IF((monthly_mortgage_schedule[[#This Row],[Year (Range)]]&gt;=$C$7)*(monthly_mortgage_schedule[[#This Row],[Year (Range)]]&lt;=$C$9),X79,NA())</f>
        <v>2289.9741815442994</v>
      </c>
      <c r="O79" s="214">
        <f>IF((monthly_mortgage_schedule[[#This Row],[Year (Range)]]&gt;=$C$7)*(monthly_mortgage_schedule[[#This Row],[Year (Range)]]&lt;=$C$9),Y79,NA())</f>
        <v>810.05231391910866</v>
      </c>
      <c r="P79" s="214">
        <f>IF((monthly_mortgage_schedule[[#This Row],[Year (Range)]]&gt;=$C$7)*(monthly_mortgage_schedule[[#This Row],[Year (Range)]]&lt;=$C$9),AG79,NA())</f>
        <v>2329.4967279475431</v>
      </c>
      <c r="Q79" s="214">
        <f>IF((monthly_mortgage_schedule[[#This Row],[Year (Range)]]&gt;=$C$7)*(monthly_mortgage_schedule[[#This Row],[Year (Range)]]&lt;=$C$9),AH79,NA())</f>
        <v>770.52976751586493</v>
      </c>
      <c r="R79" s="214">
        <f>IF((monthly_mortgage_schedule[[#This Row],[Year (Range)]]&gt;=$C$7)*(monthly_mortgage_schedule[[#This Row],[Year (Range)]]&lt;=$C$9),AO79,NA())</f>
        <v>508.63963281263023</v>
      </c>
      <c r="S79" s="214">
        <f>IF((monthly_mortgage_schedule[[#This Row],[Year (Range)]]&gt;=$C$7)*(monthly_mortgage_schedule[[#This Row],[Year (Range)]]&lt;=$C$9),AP79,NA())</f>
        <v>0</v>
      </c>
      <c r="T79" s="214">
        <f>IF((monthly_mortgage_schedule[[#This Row],[Year (Range)]]&gt;=$C$7)*(monthly_mortgage_schedule[[#This Row],[Year (Range)]]&lt;=$C$9),AR79,NA())</f>
        <v>809.90738405283264</v>
      </c>
      <c r="U79" s="214">
        <f>IF((monthly_mortgage_schedule[[#This Row],[Year (Range)]]&gt;=$C$7)*(monthly_mortgage_schedule[[#This Row],[Year (Range)]]&lt;=$C$9),AB79,NA())</f>
        <v>50101.29912585493</v>
      </c>
      <c r="V79" s="214">
        <f>IF((monthly_mortgage_schedule[[#This Row],[Year (Range)]]&gt;=$C$7)*(monthly_mortgage_schedule[[#This Row],[Year (Range)]]&lt;=$C$9),AI79,NA())</f>
        <v>41592.659493042302</v>
      </c>
      <c r="W79" s="187">
        <f t="shared" si="2"/>
        <v>490708.75318806409</v>
      </c>
      <c r="X79" s="4">
        <f t="shared" si="6"/>
        <v>2289.9741815442994</v>
      </c>
      <c r="Y79" s="4">
        <f t="shared" si="3"/>
        <v>810.05231391910866</v>
      </c>
      <c r="Z79" s="4">
        <f>_xlfn.IFNA(INDEX(additional_mortgage_payments[],MATCH(monthly_mortgage_schedule[[#This Row],[Month]],additional_mortgage_payments[Month],0),3),0)</f>
        <v>0</v>
      </c>
      <c r="AA79" s="4">
        <f>AA78+monthly_mortgage_schedule[[#This Row],[Extra Payments Towards Equity]]</f>
        <v>8000</v>
      </c>
      <c r="AB79" s="4">
        <f>AB78+monthly_mortgage_schedule[[#This Row],[Principal With Extra Principal Payments]]+monthly_mortgage_schedule[[#This Row],[Extra Payments Towards Equity]]</f>
        <v>50101.29912585493</v>
      </c>
      <c r="AC79" s="4">
        <f>monthly_mortgage_schedule[[#This Row],[Cumulative Principal With Extra Principal Payments]]+down_payment_dollars</f>
        <v>110101.29912585493</v>
      </c>
      <c r="AD79" s="200">
        <f t="shared" si="0"/>
        <v>90</v>
      </c>
      <c r="AE7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489898.70087414497</v>
      </c>
      <c r="AF79" s="187">
        <f t="shared" si="7"/>
        <v>499177.87027447351</v>
      </c>
      <c r="AG79" s="4">
        <f>IF(monthly_mortgage_schedule[[#This Row],[Loan Balance (BOY) Without Extra Principal Payments]]&gt;0,monthly_mortgage_schedule[[#This Row],[Loan Balance (BOY) Without Extra Principal Payments]]*monthly_interest_rate,0)</f>
        <v>2329.4967279475431</v>
      </c>
      <c r="AH79" s="4">
        <f>IF(monthly_mortgage_schedule[[#This Row],[Loan Balance (BOY) Without Extra Principal Payments]]&gt;1,monthly_principal_and_interest-monthly_mortgage_schedule[[#This Row],[Interest Without Extra Principal Payments]],0)</f>
        <v>770.52976751586493</v>
      </c>
      <c r="AI79" s="4">
        <f>AI78+monthly_mortgage_schedule[[#This Row],[Principal Without Extra Principal Payments]]</f>
        <v>41592.659493042302</v>
      </c>
      <c r="AJ79" s="4">
        <f>monthly_mortgage_schedule[[#This Row],[Cumulative Principal Without Extra Principal Payments]]+down_payment_dollars</f>
        <v>101592.6594930423</v>
      </c>
      <c r="AK79" s="200">
        <f t="shared" si="1"/>
        <v>90</v>
      </c>
      <c r="AL7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498407.34050695767</v>
      </c>
      <c r="AN79" s="196">
        <f>monthly_mortgage_schedule[[#This Row],[Extra Payments Towards Equity]]+AN78+IF(monthly_mortgage_schedule[[#This Row],[Interest With Extra Principal Payments]]&gt;0,monthly_mortgage_schedule[[#This Row],[Interest Without Extra Principal Payments]]-monthly_mortgage_schedule[[#This Row],[Interest With Extra Principal Payments]],0)</f>
        <v>8508.639632812632</v>
      </c>
      <c r="AO79" s="4">
        <f>AO78+IF(monthly_mortgage_schedule[[#This Row],[Interest With Extra Principal Payments]]&gt;0,monthly_mortgage_schedule[[#This Row],[Interest Without Extra Principal Payments]]-monthly_mortgage_schedule[[#This Row],[Interest With Extra Principal Payments]],0)</f>
        <v>508.63963281263023</v>
      </c>
      <c r="AP79" s="4">
        <f>AP78+monthly_mortgage_schedule[[#This Row],[PMI Without Extra Principal Payments]]-monthly_mortgage_schedule[[#This Row],[PMI with Additional Payments]]</f>
        <v>0</v>
      </c>
      <c r="AQ79" s="4">
        <f t="shared" si="4"/>
        <v>8809.9073840528326</v>
      </c>
      <c r="AR79" s="4">
        <f>Table60[[#This Row],[Cumulative Investments]]-monthly_mortgage_schedule[[#This Row],[Cumulative Extra Payments Towards Equity]]</f>
        <v>809.90738405283264</v>
      </c>
    </row>
    <row r="80" spans="9:44" x14ac:dyDescent="0.25">
      <c r="I80">
        <v>63</v>
      </c>
      <c r="J80">
        <f>IF(MOD(ROWS($J$18:J79),12)=0,J79+1,J79)</f>
        <v>2027</v>
      </c>
      <c r="K80" s="198">
        <f>IF(M80="#N/A",NA(),monthly_mortgage_schedule[[#This Row],[Month]])</f>
        <v>63</v>
      </c>
      <c r="L80" s="198">
        <f>IF(monthly_mortgage_schedule[[#This Row],[Calendar Year]]&gt;=$C$7,monthly_mortgage_schedule[[#This Row],[Calendar Year]],NA())</f>
        <v>2027</v>
      </c>
      <c r="M80" s="199">
        <f>IF((monthly_mortgage_schedule[[#This Row],[Calendar Year]]&gt;=$C$7)*(monthly_mortgage_schedule[[#This Row],[Calendar Year]]&lt;=$C$9),monthly_mortgage_schedule[[#This Row],[Begin Year (Range)]],NA())</f>
        <v>2027</v>
      </c>
      <c r="N80" s="214">
        <f>IF((monthly_mortgage_schedule[[#This Row],[Year (Range)]]&gt;=$C$7)*(monthly_mortgage_schedule[[#This Row],[Year (Range)]]&lt;=$C$9),X80,NA())</f>
        <v>2286.1939374126769</v>
      </c>
      <c r="O80" s="214">
        <f>IF((monthly_mortgage_schedule[[#This Row],[Year (Range)]]&gt;=$C$7)*(monthly_mortgage_schedule[[#This Row],[Year (Range)]]&lt;=$C$9),Y80,NA())</f>
        <v>813.83255805073122</v>
      </c>
      <c r="P80" s="214">
        <f>IF((monthly_mortgage_schedule[[#This Row],[Year (Range)]]&gt;=$C$7)*(monthly_mortgage_schedule[[#This Row],[Year (Range)]]&lt;=$C$9),AG80,NA())</f>
        <v>2325.9009223658027</v>
      </c>
      <c r="Q80" s="214">
        <f>IF((monthly_mortgage_schedule[[#This Row],[Year (Range)]]&gt;=$C$7)*(monthly_mortgage_schedule[[#This Row],[Year (Range)]]&lt;=$C$9),AH80,NA())</f>
        <v>774.12557309760541</v>
      </c>
      <c r="R80" s="214">
        <f>IF((monthly_mortgage_schedule[[#This Row],[Year (Range)]]&gt;=$C$7)*(monthly_mortgage_schedule[[#This Row],[Year (Range)]]&lt;=$C$9),AO80,NA())</f>
        <v>548.34661776575604</v>
      </c>
      <c r="S80" s="214">
        <f>IF((monthly_mortgage_schedule[[#This Row],[Year (Range)]]&gt;=$C$7)*(monthly_mortgage_schedule[[#This Row],[Year (Range)]]&lt;=$C$9),AP80,NA())</f>
        <v>0</v>
      </c>
      <c r="T80" s="214">
        <f>IF((monthly_mortgage_schedule[[#This Row],[Year (Range)]]&gt;=$C$7)*(monthly_mortgage_schedule[[#This Row],[Year (Range)]]&lt;=$C$9),AR80,NA())</f>
        <v>868.64009994651678</v>
      </c>
      <c r="U80" s="214">
        <f>IF((monthly_mortgage_schedule[[#This Row],[Year (Range)]]&gt;=$C$7)*(monthly_mortgage_schedule[[#This Row],[Year (Range)]]&lt;=$C$9),AB80,NA())</f>
        <v>50915.13168390566</v>
      </c>
      <c r="V80" s="214">
        <f>IF((monthly_mortgage_schedule[[#This Row],[Year (Range)]]&gt;=$C$7)*(monthly_mortgage_schedule[[#This Row],[Year (Range)]]&lt;=$C$9),AI80,NA())</f>
        <v>42366.785066139906</v>
      </c>
      <c r="W80" s="187">
        <f t="shared" si="2"/>
        <v>489898.70087414497</v>
      </c>
      <c r="X80" s="4">
        <f t="shared" si="6"/>
        <v>2286.1939374126769</v>
      </c>
      <c r="Y80" s="4">
        <f t="shared" si="3"/>
        <v>813.83255805073122</v>
      </c>
      <c r="Z80" s="4">
        <f>_xlfn.IFNA(INDEX(additional_mortgage_payments[],MATCH(monthly_mortgage_schedule[[#This Row],[Month]],additional_mortgage_payments[Month],0),3),0)</f>
        <v>0</v>
      </c>
      <c r="AA80" s="4">
        <f>AA79+monthly_mortgage_schedule[[#This Row],[Extra Payments Towards Equity]]</f>
        <v>8000</v>
      </c>
      <c r="AB80" s="4">
        <f>AB79+monthly_mortgage_schedule[[#This Row],[Principal With Extra Principal Payments]]+monthly_mortgage_schedule[[#This Row],[Extra Payments Towards Equity]]</f>
        <v>50915.13168390566</v>
      </c>
      <c r="AC80" s="4">
        <f>monthly_mortgage_schedule[[#This Row],[Cumulative Principal With Extra Principal Payments]]+down_payment_dollars</f>
        <v>110915.13168390567</v>
      </c>
      <c r="AD80" s="200">
        <f t="shared" si="0"/>
        <v>90</v>
      </c>
      <c r="AE8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489084.86831609422</v>
      </c>
      <c r="AF80" s="187">
        <f t="shared" si="7"/>
        <v>498407.34050695767</v>
      </c>
      <c r="AG80" s="4">
        <f>IF(monthly_mortgage_schedule[[#This Row],[Loan Balance (BOY) Without Extra Principal Payments]]&gt;0,monthly_mortgage_schedule[[#This Row],[Loan Balance (BOY) Without Extra Principal Payments]]*monthly_interest_rate,0)</f>
        <v>2325.9009223658027</v>
      </c>
      <c r="AH80" s="4">
        <f>IF(monthly_mortgage_schedule[[#This Row],[Loan Balance (BOY) Without Extra Principal Payments]]&gt;1,monthly_principal_and_interest-monthly_mortgage_schedule[[#This Row],[Interest Without Extra Principal Payments]],0)</f>
        <v>774.12557309760541</v>
      </c>
      <c r="AI80" s="4">
        <f>AI79+monthly_mortgage_schedule[[#This Row],[Principal Without Extra Principal Payments]]</f>
        <v>42366.785066139906</v>
      </c>
      <c r="AJ80" s="4">
        <f>monthly_mortgage_schedule[[#This Row],[Cumulative Principal Without Extra Principal Payments]]+down_payment_dollars</f>
        <v>102366.78506613991</v>
      </c>
      <c r="AK80" s="200">
        <f t="shared" si="1"/>
        <v>90</v>
      </c>
      <c r="AL8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497633.21493386006</v>
      </c>
      <c r="AN80" s="196">
        <f>monthly_mortgage_schedule[[#This Row],[Extra Payments Towards Equity]]+AN79+IF(monthly_mortgage_schedule[[#This Row],[Interest With Extra Principal Payments]]&gt;0,monthly_mortgage_schedule[[#This Row],[Interest Without Extra Principal Payments]]-monthly_mortgage_schedule[[#This Row],[Interest With Extra Principal Payments]],0)</f>
        <v>8548.3466177657574</v>
      </c>
      <c r="AO80" s="4">
        <f>AO79+IF(monthly_mortgage_schedule[[#This Row],[Interest With Extra Principal Payments]]&gt;0,monthly_mortgage_schedule[[#This Row],[Interest Without Extra Principal Payments]]-monthly_mortgage_schedule[[#This Row],[Interest With Extra Principal Payments]],0)</f>
        <v>548.34661776575604</v>
      </c>
      <c r="AP80" s="4">
        <f>AP79+monthly_mortgage_schedule[[#This Row],[PMI Without Extra Principal Payments]]-monthly_mortgage_schedule[[#This Row],[PMI with Additional Payments]]</f>
        <v>0</v>
      </c>
      <c r="AQ80" s="4">
        <f t="shared" si="4"/>
        <v>8868.6400999465168</v>
      </c>
      <c r="AR80" s="4">
        <f>Table60[[#This Row],[Cumulative Investments]]-monthly_mortgage_schedule[[#This Row],[Cumulative Extra Payments Towards Equity]]</f>
        <v>868.64009994651678</v>
      </c>
    </row>
    <row r="81" spans="9:44" x14ac:dyDescent="0.25">
      <c r="I81">
        <v>64</v>
      </c>
      <c r="J81">
        <f>IF(MOD(ROWS($J$18:J80),12)=0,J80+1,J80)</f>
        <v>2027</v>
      </c>
      <c r="K81" s="198">
        <f>IF(M81="#N/A",NA(),monthly_mortgage_schedule[[#This Row],[Month]])</f>
        <v>64</v>
      </c>
      <c r="L81" s="198">
        <f>IF(monthly_mortgage_schedule[[#This Row],[Calendar Year]]&gt;=$C$7,monthly_mortgage_schedule[[#This Row],[Calendar Year]],NA())</f>
        <v>2027</v>
      </c>
      <c r="M81" s="199">
        <f>IF((monthly_mortgage_schedule[[#This Row],[Calendar Year]]&gt;=$C$7)*(monthly_mortgage_schedule[[#This Row],[Calendar Year]]&lt;=$C$9),monthly_mortgage_schedule[[#This Row],[Begin Year (Range)]],NA())</f>
        <v>2027</v>
      </c>
      <c r="N81" s="214">
        <f>IF((monthly_mortgage_schedule[[#This Row],[Year (Range)]]&gt;=$C$7)*(monthly_mortgage_schedule[[#This Row],[Year (Range)]]&lt;=$C$9),X81,NA())</f>
        <v>2282.396052141773</v>
      </c>
      <c r="O81" s="214">
        <f>IF((monthly_mortgage_schedule[[#This Row],[Year (Range)]]&gt;=$C$7)*(monthly_mortgage_schedule[[#This Row],[Year (Range)]]&lt;=$C$9),Y81,NA())</f>
        <v>817.63044332163508</v>
      </c>
      <c r="P81" s="214">
        <f>IF((monthly_mortgage_schedule[[#This Row],[Year (Range)]]&gt;=$C$7)*(monthly_mortgage_schedule[[#This Row],[Year (Range)]]&lt;=$C$9),AG81,NA())</f>
        <v>2322.288336358014</v>
      </c>
      <c r="Q81" s="214">
        <f>IF((monthly_mortgage_schedule[[#This Row],[Year (Range)]]&gt;=$C$7)*(monthly_mortgage_schedule[[#This Row],[Year (Range)]]&lt;=$C$9),AH81,NA())</f>
        <v>777.73815910539406</v>
      </c>
      <c r="R81" s="214">
        <f>IF((monthly_mortgage_schedule[[#This Row],[Year (Range)]]&gt;=$C$7)*(monthly_mortgage_schedule[[#This Row],[Year (Range)]]&lt;=$C$9),AO81,NA())</f>
        <v>588.23890198199706</v>
      </c>
      <c r="S81" s="214">
        <f>IF((monthly_mortgage_schedule[[#This Row],[Year (Range)]]&gt;=$C$7)*(monthly_mortgage_schedule[[#This Row],[Year (Range)]]&lt;=$C$9),AP81,NA())</f>
        <v>0</v>
      </c>
      <c r="T81" s="214">
        <f>IF((monthly_mortgage_schedule[[#This Row],[Year (Range)]]&gt;=$C$7)*(monthly_mortgage_schedule[[#This Row],[Year (Range)]]&lt;=$C$9),AR81,NA())</f>
        <v>927.76436727949294</v>
      </c>
      <c r="U81" s="214">
        <f>IF((monthly_mortgage_schedule[[#This Row],[Year (Range)]]&gt;=$C$7)*(monthly_mortgage_schedule[[#This Row],[Year (Range)]]&lt;=$C$9),AB81,NA())</f>
        <v>51732.762127227295</v>
      </c>
      <c r="V81" s="214">
        <f>IF((monthly_mortgage_schedule[[#This Row],[Year (Range)]]&gt;=$C$7)*(monthly_mortgage_schedule[[#This Row],[Year (Range)]]&lt;=$C$9),AI81,NA())</f>
        <v>43144.523225245299</v>
      </c>
      <c r="W81" s="187">
        <f t="shared" si="2"/>
        <v>489084.86831609422</v>
      </c>
      <c r="X81" s="4">
        <f t="shared" si="6"/>
        <v>2282.396052141773</v>
      </c>
      <c r="Y81" s="4">
        <f t="shared" si="3"/>
        <v>817.63044332163508</v>
      </c>
      <c r="Z81" s="4">
        <f>_xlfn.IFNA(INDEX(additional_mortgage_payments[],MATCH(monthly_mortgage_schedule[[#This Row],[Month]],additional_mortgage_payments[Month],0),3),0)</f>
        <v>0</v>
      </c>
      <c r="AA81" s="4">
        <f>AA80+monthly_mortgage_schedule[[#This Row],[Extra Payments Towards Equity]]</f>
        <v>8000</v>
      </c>
      <c r="AB81" s="4">
        <f>AB80+monthly_mortgage_schedule[[#This Row],[Principal With Extra Principal Payments]]+monthly_mortgage_schedule[[#This Row],[Extra Payments Towards Equity]]</f>
        <v>51732.762127227295</v>
      </c>
      <c r="AC81" s="4">
        <f>monthly_mortgage_schedule[[#This Row],[Cumulative Principal With Extra Principal Payments]]+down_payment_dollars</f>
        <v>111732.7621272273</v>
      </c>
      <c r="AD81" s="200">
        <f t="shared" si="0"/>
        <v>90</v>
      </c>
      <c r="AE8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488267.23787277256</v>
      </c>
      <c r="AF81" s="187">
        <f t="shared" si="7"/>
        <v>497633.21493386006</v>
      </c>
      <c r="AG81" s="4">
        <f>IF(monthly_mortgage_schedule[[#This Row],[Loan Balance (BOY) Without Extra Principal Payments]]&gt;0,monthly_mortgage_schedule[[#This Row],[Loan Balance (BOY) Without Extra Principal Payments]]*monthly_interest_rate,0)</f>
        <v>2322.288336358014</v>
      </c>
      <c r="AH81" s="4">
        <f>IF(monthly_mortgage_schedule[[#This Row],[Loan Balance (BOY) Without Extra Principal Payments]]&gt;1,monthly_principal_and_interest-monthly_mortgage_schedule[[#This Row],[Interest Without Extra Principal Payments]],0)</f>
        <v>777.73815910539406</v>
      </c>
      <c r="AI81" s="4">
        <f>AI80+monthly_mortgage_schedule[[#This Row],[Principal Without Extra Principal Payments]]</f>
        <v>43144.523225245299</v>
      </c>
      <c r="AJ81" s="4">
        <f>monthly_mortgage_schedule[[#This Row],[Cumulative Principal Without Extra Principal Payments]]+down_payment_dollars</f>
        <v>103144.5232252453</v>
      </c>
      <c r="AK81" s="200">
        <f t="shared" si="1"/>
        <v>90</v>
      </c>
      <c r="AL8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496855.47677475464</v>
      </c>
      <c r="AN81" s="196">
        <f>monthly_mortgage_schedule[[#This Row],[Extra Payments Towards Equity]]+AN80+IF(monthly_mortgage_schedule[[#This Row],[Interest With Extra Principal Payments]]&gt;0,monthly_mortgage_schedule[[#This Row],[Interest Without Extra Principal Payments]]-monthly_mortgage_schedule[[#This Row],[Interest With Extra Principal Payments]],0)</f>
        <v>8588.2389019819984</v>
      </c>
      <c r="AO81" s="4">
        <f>AO80+IF(monthly_mortgage_schedule[[#This Row],[Interest With Extra Principal Payments]]&gt;0,monthly_mortgage_schedule[[#This Row],[Interest Without Extra Principal Payments]]-monthly_mortgage_schedule[[#This Row],[Interest With Extra Principal Payments]],0)</f>
        <v>588.23890198199706</v>
      </c>
      <c r="AP81" s="4">
        <f>AP80+monthly_mortgage_schedule[[#This Row],[PMI Without Extra Principal Payments]]-monthly_mortgage_schedule[[#This Row],[PMI with Additional Payments]]</f>
        <v>0</v>
      </c>
      <c r="AQ81" s="4">
        <f t="shared" si="4"/>
        <v>8927.7643672794929</v>
      </c>
      <c r="AR81" s="4">
        <f>Table60[[#This Row],[Cumulative Investments]]-monthly_mortgage_schedule[[#This Row],[Cumulative Extra Payments Towards Equity]]</f>
        <v>927.76436727949294</v>
      </c>
    </row>
    <row r="82" spans="9:44" x14ac:dyDescent="0.25">
      <c r="I82">
        <v>65</v>
      </c>
      <c r="J82">
        <f>IF(MOD(ROWS($J$18:J81),12)=0,J81+1,J81)</f>
        <v>2027</v>
      </c>
      <c r="K82" s="198">
        <f>IF(M82="#N/A",NA(),monthly_mortgage_schedule[[#This Row],[Month]])</f>
        <v>65</v>
      </c>
      <c r="L82" s="198">
        <f>IF(monthly_mortgage_schedule[[#This Row],[Calendar Year]]&gt;=$C$7,monthly_mortgage_schedule[[#This Row],[Calendar Year]],NA())</f>
        <v>2027</v>
      </c>
      <c r="M82" s="199">
        <f>IF((monthly_mortgage_schedule[[#This Row],[Calendar Year]]&gt;=$C$7)*(monthly_mortgage_schedule[[#This Row],[Calendar Year]]&lt;=$C$9),monthly_mortgage_schedule[[#This Row],[Begin Year (Range)]],NA())</f>
        <v>2027</v>
      </c>
      <c r="N82" s="214">
        <f>IF((monthly_mortgage_schedule[[#This Row],[Year (Range)]]&gt;=$C$7)*(monthly_mortgage_schedule[[#This Row],[Year (Range)]]&lt;=$C$9),X82,NA())</f>
        <v>2278.580443406272</v>
      </c>
      <c r="O82" s="214">
        <f>IF((monthly_mortgage_schedule[[#This Row],[Year (Range)]]&gt;=$C$7)*(monthly_mortgage_schedule[[#This Row],[Year (Range)]]&lt;=$C$9),Y82,NA())</f>
        <v>821.44605205713606</v>
      </c>
      <c r="P82" s="214">
        <f>IF((monthly_mortgage_schedule[[#This Row],[Year (Range)]]&gt;=$C$7)*(monthly_mortgage_schedule[[#This Row],[Year (Range)]]&lt;=$C$9),AG82,NA())</f>
        <v>2318.658891615522</v>
      </c>
      <c r="Q82" s="214">
        <f>IF((monthly_mortgage_schedule[[#This Row],[Year (Range)]]&gt;=$C$7)*(monthly_mortgage_schedule[[#This Row],[Year (Range)]]&lt;=$C$9),AH82,NA())</f>
        <v>781.36760384788613</v>
      </c>
      <c r="R82" s="214">
        <f>IF((monthly_mortgage_schedule[[#This Row],[Year (Range)]]&gt;=$C$7)*(monthly_mortgage_schedule[[#This Row],[Year (Range)]]&lt;=$C$9),AO82,NA())</f>
        <v>628.31735019124699</v>
      </c>
      <c r="S82" s="214">
        <f>IF((monthly_mortgage_schedule[[#This Row],[Year (Range)]]&gt;=$C$7)*(monthly_mortgage_schedule[[#This Row],[Year (Range)]]&lt;=$C$9),AP82,NA())</f>
        <v>0</v>
      </c>
      <c r="T82" s="214">
        <f>IF((monthly_mortgage_schedule[[#This Row],[Year (Range)]]&gt;=$C$7)*(monthly_mortgage_schedule[[#This Row],[Year (Range)]]&lt;=$C$9),AR82,NA())</f>
        <v>987.28279639468929</v>
      </c>
      <c r="U82" s="214">
        <f>IF((monthly_mortgage_schedule[[#This Row],[Year (Range)]]&gt;=$C$7)*(monthly_mortgage_schedule[[#This Row],[Year (Range)]]&lt;=$C$9),AB82,NA())</f>
        <v>52554.208179284433</v>
      </c>
      <c r="V82" s="214">
        <f>IF((monthly_mortgage_schedule[[#This Row],[Year (Range)]]&gt;=$C$7)*(monthly_mortgage_schedule[[#This Row],[Year (Range)]]&lt;=$C$9),AI82,NA())</f>
        <v>43925.890829093187</v>
      </c>
      <c r="W82" s="187">
        <f t="shared" si="2"/>
        <v>488267.23787277256</v>
      </c>
      <c r="X82" s="4">
        <f t="shared" si="6"/>
        <v>2278.580443406272</v>
      </c>
      <c r="Y82" s="4">
        <f t="shared" si="3"/>
        <v>821.44605205713606</v>
      </c>
      <c r="Z82" s="4">
        <f>_xlfn.IFNA(INDEX(additional_mortgage_payments[],MATCH(monthly_mortgage_schedule[[#This Row],[Month]],additional_mortgage_payments[Month],0),3),0)</f>
        <v>0</v>
      </c>
      <c r="AA82" s="4">
        <f>AA81+monthly_mortgage_schedule[[#This Row],[Extra Payments Towards Equity]]</f>
        <v>8000</v>
      </c>
      <c r="AB82" s="4">
        <f>AB81+monthly_mortgage_schedule[[#This Row],[Principal With Extra Principal Payments]]+monthly_mortgage_schedule[[#This Row],[Extra Payments Towards Equity]]</f>
        <v>52554.208179284433</v>
      </c>
      <c r="AC82" s="4">
        <f>monthly_mortgage_schedule[[#This Row],[Cumulative Principal With Extra Principal Payments]]+down_payment_dollars</f>
        <v>112554.20817928444</v>
      </c>
      <c r="AD82" s="200">
        <f t="shared" ref="AD82:AD145" si="8">IF((AC82)/purchase_price&lt;pmi_until_percentage_equity,(annual_pmi/12),0)</f>
        <v>90</v>
      </c>
      <c r="AE8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487445.79182071541</v>
      </c>
      <c r="AF82" s="187">
        <f t="shared" si="7"/>
        <v>496855.47677475464</v>
      </c>
      <c r="AG82" s="4">
        <f>IF(monthly_mortgage_schedule[[#This Row],[Loan Balance (BOY) Without Extra Principal Payments]]&gt;0,monthly_mortgage_schedule[[#This Row],[Loan Balance (BOY) Without Extra Principal Payments]]*monthly_interest_rate,0)</f>
        <v>2318.658891615522</v>
      </c>
      <c r="AH82" s="4">
        <f>IF(monthly_mortgage_schedule[[#This Row],[Loan Balance (BOY) Without Extra Principal Payments]]&gt;1,monthly_principal_and_interest-monthly_mortgage_schedule[[#This Row],[Interest Without Extra Principal Payments]],0)</f>
        <v>781.36760384788613</v>
      </c>
      <c r="AI82" s="4">
        <f>AI81+monthly_mortgage_schedule[[#This Row],[Principal Without Extra Principal Payments]]</f>
        <v>43925.890829093187</v>
      </c>
      <c r="AJ82" s="4">
        <f>monthly_mortgage_schedule[[#This Row],[Cumulative Principal Without Extra Principal Payments]]+down_payment_dollars</f>
        <v>103925.89082909319</v>
      </c>
      <c r="AK82" s="200">
        <f t="shared" ref="AK82:AK145" si="9">IF((AJ82)/purchase_price&lt;pmi_until_percentage_equity,(annual_pmi/12),0)</f>
        <v>90</v>
      </c>
      <c r="AL8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496074.10917090677</v>
      </c>
      <c r="AN82" s="196">
        <f>monthly_mortgage_schedule[[#This Row],[Extra Payments Towards Equity]]+AN81+IF(monthly_mortgage_schedule[[#This Row],[Interest With Extra Principal Payments]]&gt;0,monthly_mortgage_schedule[[#This Row],[Interest Without Extra Principal Payments]]-monthly_mortgage_schedule[[#This Row],[Interest With Extra Principal Payments]],0)</f>
        <v>8628.3173501912479</v>
      </c>
      <c r="AO82" s="4">
        <f>AO81+IF(monthly_mortgage_schedule[[#This Row],[Interest With Extra Principal Payments]]&gt;0,monthly_mortgage_schedule[[#This Row],[Interest Without Extra Principal Payments]]-monthly_mortgage_schedule[[#This Row],[Interest With Extra Principal Payments]],0)</f>
        <v>628.31735019124699</v>
      </c>
      <c r="AP82" s="4">
        <f>AP81+monthly_mortgage_schedule[[#This Row],[PMI Without Extra Principal Payments]]-monthly_mortgage_schedule[[#This Row],[PMI with Additional Payments]]</f>
        <v>0</v>
      </c>
      <c r="AQ82" s="4">
        <f t="shared" si="4"/>
        <v>8987.2827963946893</v>
      </c>
      <c r="AR82" s="4">
        <f>Table60[[#This Row],[Cumulative Investments]]-monthly_mortgage_schedule[[#This Row],[Cumulative Extra Payments Towards Equity]]</f>
        <v>987.28279639468929</v>
      </c>
    </row>
    <row r="83" spans="9:44" x14ac:dyDescent="0.25">
      <c r="I83">
        <v>66</v>
      </c>
      <c r="J83">
        <f>IF(MOD(ROWS($J$18:J82),12)=0,J82+1,J82)</f>
        <v>2027</v>
      </c>
      <c r="K83" s="198">
        <f>IF(M83="#N/A",NA(),monthly_mortgage_schedule[[#This Row],[Month]])</f>
        <v>66</v>
      </c>
      <c r="L83" s="198">
        <f>IF(monthly_mortgage_schedule[[#This Row],[Calendar Year]]&gt;=$C$7,monthly_mortgage_schedule[[#This Row],[Calendar Year]],NA())</f>
        <v>2027</v>
      </c>
      <c r="M83" s="199">
        <f>IF((monthly_mortgage_schedule[[#This Row],[Calendar Year]]&gt;=$C$7)*(monthly_mortgage_schedule[[#This Row],[Calendar Year]]&lt;=$C$9),monthly_mortgage_schedule[[#This Row],[Begin Year (Range)]],NA())</f>
        <v>2027</v>
      </c>
      <c r="N83" s="214">
        <f>IF((monthly_mortgage_schedule[[#This Row],[Year (Range)]]&gt;=$C$7)*(monthly_mortgage_schedule[[#This Row],[Year (Range)]]&lt;=$C$9),X83,NA())</f>
        <v>2274.7470284966721</v>
      </c>
      <c r="O83" s="214">
        <f>IF((monthly_mortgage_schedule[[#This Row],[Year (Range)]]&gt;=$C$7)*(monthly_mortgage_schedule[[#This Row],[Year (Range)]]&lt;=$C$9),Y83,NA())</f>
        <v>825.27946696673598</v>
      </c>
      <c r="P83" s="214">
        <f>IF((monthly_mortgage_schedule[[#This Row],[Year (Range)]]&gt;=$C$7)*(monthly_mortgage_schedule[[#This Row],[Year (Range)]]&lt;=$C$9),AG83,NA())</f>
        <v>2315.0125094642317</v>
      </c>
      <c r="Q83" s="214">
        <f>IF((monthly_mortgage_schedule[[#This Row],[Year (Range)]]&gt;=$C$7)*(monthly_mortgage_schedule[[#This Row],[Year (Range)]]&lt;=$C$9),AH83,NA())</f>
        <v>785.01398599917638</v>
      </c>
      <c r="R83" s="214">
        <f>IF((monthly_mortgage_schedule[[#This Row],[Year (Range)]]&gt;=$C$7)*(monthly_mortgage_schedule[[#This Row],[Year (Range)]]&lt;=$C$9),AO83,NA())</f>
        <v>668.58283115880658</v>
      </c>
      <c r="S83" s="214">
        <f>IF((monthly_mortgage_schedule[[#This Row],[Year (Range)]]&gt;=$C$7)*(monthly_mortgage_schedule[[#This Row],[Year (Range)]]&lt;=$C$9),AP83,NA())</f>
        <v>0</v>
      </c>
      <c r="T83" s="214">
        <f>IF((monthly_mortgage_schedule[[#This Row],[Year (Range)]]&gt;=$C$7)*(monthly_mortgage_schedule[[#This Row],[Year (Range)]]&lt;=$C$9),AR83,NA())</f>
        <v>1047.1980150373201</v>
      </c>
      <c r="U83" s="214">
        <f>IF((monthly_mortgage_schedule[[#This Row],[Year (Range)]]&gt;=$C$7)*(monthly_mortgage_schedule[[#This Row],[Year (Range)]]&lt;=$C$9),AB83,NA())</f>
        <v>53379.487646251167</v>
      </c>
      <c r="V83" s="214">
        <f>IF((monthly_mortgage_schedule[[#This Row],[Year (Range)]]&gt;=$C$7)*(monthly_mortgage_schedule[[#This Row],[Year (Range)]]&lt;=$C$9),AI83,NA())</f>
        <v>44710.904815092363</v>
      </c>
      <c r="W83" s="187">
        <f t="shared" ref="W83:W146" si="10">AE82</f>
        <v>487445.79182071541</v>
      </c>
      <c r="X83" s="4">
        <f t="shared" si="6"/>
        <v>2274.7470284966721</v>
      </c>
      <c r="Y83" s="4">
        <f t="shared" ref="Y83:Y146" si="11">IF(W83&gt;1,monthly_principal_and_interest-X83,0)</f>
        <v>825.27946696673598</v>
      </c>
      <c r="Z83" s="4">
        <f>_xlfn.IFNA(INDEX(additional_mortgage_payments[],MATCH(monthly_mortgage_schedule[[#This Row],[Month]],additional_mortgage_payments[Month],0),3),0)</f>
        <v>0</v>
      </c>
      <c r="AA83" s="4">
        <f>AA82+monthly_mortgage_schedule[[#This Row],[Extra Payments Towards Equity]]</f>
        <v>8000</v>
      </c>
      <c r="AB83" s="4">
        <f>AB82+monthly_mortgage_schedule[[#This Row],[Principal With Extra Principal Payments]]+monthly_mortgage_schedule[[#This Row],[Extra Payments Towards Equity]]</f>
        <v>53379.487646251167</v>
      </c>
      <c r="AC83" s="4">
        <f>monthly_mortgage_schedule[[#This Row],[Cumulative Principal With Extra Principal Payments]]+down_payment_dollars</f>
        <v>113379.48764625116</v>
      </c>
      <c r="AD83" s="200">
        <f t="shared" si="8"/>
        <v>90</v>
      </c>
      <c r="AE8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486620.51235374867</v>
      </c>
      <c r="AF83" s="187">
        <f t="shared" si="7"/>
        <v>496074.10917090677</v>
      </c>
      <c r="AG83" s="4">
        <f>IF(monthly_mortgage_schedule[[#This Row],[Loan Balance (BOY) Without Extra Principal Payments]]&gt;0,monthly_mortgage_schedule[[#This Row],[Loan Balance (BOY) Without Extra Principal Payments]]*monthly_interest_rate,0)</f>
        <v>2315.0125094642317</v>
      </c>
      <c r="AH83" s="4">
        <f>IF(monthly_mortgage_schedule[[#This Row],[Loan Balance (BOY) Without Extra Principal Payments]]&gt;1,monthly_principal_and_interest-monthly_mortgage_schedule[[#This Row],[Interest Without Extra Principal Payments]],0)</f>
        <v>785.01398599917638</v>
      </c>
      <c r="AI83" s="4">
        <f>AI82+monthly_mortgage_schedule[[#This Row],[Principal Without Extra Principal Payments]]</f>
        <v>44710.904815092363</v>
      </c>
      <c r="AJ83" s="4">
        <f>monthly_mortgage_schedule[[#This Row],[Cumulative Principal Without Extra Principal Payments]]+down_payment_dollars</f>
        <v>104710.90481509236</v>
      </c>
      <c r="AK83" s="200">
        <f t="shared" si="9"/>
        <v>90</v>
      </c>
      <c r="AL8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495289.09518490761</v>
      </c>
      <c r="AN83" s="196">
        <f>monthly_mortgage_schedule[[#This Row],[Extra Payments Towards Equity]]+AN82+IF(monthly_mortgage_schedule[[#This Row],[Interest With Extra Principal Payments]]&gt;0,monthly_mortgage_schedule[[#This Row],[Interest Without Extra Principal Payments]]-monthly_mortgage_schedule[[#This Row],[Interest With Extra Principal Payments]],0)</f>
        <v>8668.5828311588084</v>
      </c>
      <c r="AO83" s="4">
        <f>AO82+IF(monthly_mortgage_schedule[[#This Row],[Interest With Extra Principal Payments]]&gt;0,monthly_mortgage_schedule[[#This Row],[Interest Without Extra Principal Payments]]-monthly_mortgage_schedule[[#This Row],[Interest With Extra Principal Payments]],0)</f>
        <v>668.58283115880658</v>
      </c>
      <c r="AP83" s="4">
        <f>AP82+monthly_mortgage_schedule[[#This Row],[PMI Without Extra Principal Payments]]-monthly_mortgage_schedule[[#This Row],[PMI with Additional Payments]]</f>
        <v>0</v>
      </c>
      <c r="AQ83" s="4">
        <f t="shared" ref="AQ83:AQ146" si="12">(AQ82+Z83)*(1+monthly_stock_market_return)</f>
        <v>9047.1980150373201</v>
      </c>
      <c r="AR83" s="4">
        <f>Table60[[#This Row],[Cumulative Investments]]-monthly_mortgage_schedule[[#This Row],[Cumulative Extra Payments Towards Equity]]</f>
        <v>1047.1980150373201</v>
      </c>
    </row>
    <row r="84" spans="9:44" x14ac:dyDescent="0.25">
      <c r="I84">
        <v>67</v>
      </c>
      <c r="J84">
        <f>IF(MOD(ROWS($J$18:J83),12)=0,J83+1,J83)</f>
        <v>2027</v>
      </c>
      <c r="K84" s="198">
        <f>IF(M84="#N/A",NA(),monthly_mortgage_schedule[[#This Row],[Month]])</f>
        <v>67</v>
      </c>
      <c r="L84" s="198">
        <f>IF(monthly_mortgage_schedule[[#This Row],[Calendar Year]]&gt;=$C$7,monthly_mortgage_schedule[[#This Row],[Calendar Year]],NA())</f>
        <v>2027</v>
      </c>
      <c r="M84" s="199">
        <f>IF((monthly_mortgage_schedule[[#This Row],[Calendar Year]]&gt;=$C$7)*(monthly_mortgage_schedule[[#This Row],[Calendar Year]]&lt;=$C$9),monthly_mortgage_schedule[[#This Row],[Begin Year (Range)]],NA())</f>
        <v>2027</v>
      </c>
      <c r="N84" s="214">
        <f>IF((monthly_mortgage_schedule[[#This Row],[Year (Range)]]&gt;=$C$7)*(monthly_mortgage_schedule[[#This Row],[Year (Range)]]&lt;=$C$9),X84,NA())</f>
        <v>2270.8957243174941</v>
      </c>
      <c r="O84" s="214">
        <f>IF((monthly_mortgage_schedule[[#This Row],[Year (Range)]]&gt;=$C$7)*(monthly_mortgage_schedule[[#This Row],[Year (Range)]]&lt;=$C$9),Y84,NA())</f>
        <v>829.13077114591397</v>
      </c>
      <c r="P84" s="214">
        <f>IF((monthly_mortgage_schedule[[#This Row],[Year (Range)]]&gt;=$C$7)*(monthly_mortgage_schedule[[#This Row],[Year (Range)]]&lt;=$C$9),AG84,NA())</f>
        <v>2311.3491108629023</v>
      </c>
      <c r="Q84" s="214">
        <f>IF((monthly_mortgage_schedule[[#This Row],[Year (Range)]]&gt;=$C$7)*(monthly_mortgage_schedule[[#This Row],[Year (Range)]]&lt;=$C$9),AH84,NA())</f>
        <v>788.67738460050577</v>
      </c>
      <c r="R84" s="214">
        <f>IF((monthly_mortgage_schedule[[#This Row],[Year (Range)]]&gt;=$C$7)*(monthly_mortgage_schedule[[#This Row],[Year (Range)]]&lt;=$C$9),AO84,NA())</f>
        <v>709.03621770421478</v>
      </c>
      <c r="S84" s="214">
        <f>IF((monthly_mortgage_schedule[[#This Row],[Year (Range)]]&gt;=$C$7)*(monthly_mortgage_schedule[[#This Row],[Year (Range)]]&lt;=$C$9),AP84,NA())</f>
        <v>0</v>
      </c>
      <c r="T84" s="214">
        <f>IF((monthly_mortgage_schedule[[#This Row],[Year (Range)]]&gt;=$C$7)*(monthly_mortgage_schedule[[#This Row],[Year (Range)]]&lt;=$C$9),AR84,NA())</f>
        <v>1107.5126684709012</v>
      </c>
      <c r="U84" s="214">
        <f>IF((monthly_mortgage_schedule[[#This Row],[Year (Range)]]&gt;=$C$7)*(monthly_mortgage_schedule[[#This Row],[Year (Range)]]&lt;=$C$9),AB84,NA())</f>
        <v>54208.618417397083</v>
      </c>
      <c r="V84" s="214">
        <f>IF((monthly_mortgage_schedule[[#This Row],[Year (Range)]]&gt;=$C$7)*(monthly_mortgage_schedule[[#This Row],[Year (Range)]]&lt;=$C$9),AI84,NA())</f>
        <v>45499.582199692872</v>
      </c>
      <c r="W84" s="187">
        <f t="shared" si="10"/>
        <v>486620.51235374867</v>
      </c>
      <c r="X84" s="4">
        <f t="shared" ref="X84:X147" si="13">IF(W84&gt;0,W84*monthly_interest_rate,0)</f>
        <v>2270.8957243174941</v>
      </c>
      <c r="Y84" s="4">
        <f t="shared" si="11"/>
        <v>829.13077114591397</v>
      </c>
      <c r="Z84" s="4">
        <f>_xlfn.IFNA(INDEX(additional_mortgage_payments[],MATCH(monthly_mortgage_schedule[[#This Row],[Month]],additional_mortgage_payments[Month],0),3),0)</f>
        <v>0</v>
      </c>
      <c r="AA84" s="4">
        <f>AA83+monthly_mortgage_schedule[[#This Row],[Extra Payments Towards Equity]]</f>
        <v>8000</v>
      </c>
      <c r="AB84" s="4">
        <f>AB83+monthly_mortgage_schedule[[#This Row],[Principal With Extra Principal Payments]]+monthly_mortgage_schedule[[#This Row],[Extra Payments Towards Equity]]</f>
        <v>54208.618417397083</v>
      </c>
      <c r="AC84" s="4">
        <f>monthly_mortgage_schedule[[#This Row],[Cumulative Principal With Extra Principal Payments]]+down_payment_dollars</f>
        <v>114208.61841739708</v>
      </c>
      <c r="AD84" s="200">
        <f t="shared" si="8"/>
        <v>90</v>
      </c>
      <c r="AE8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485791.38158260274</v>
      </c>
      <c r="AF84" s="187">
        <f t="shared" ref="AF84:AF147" si="14">AL83</f>
        <v>495289.09518490761</v>
      </c>
      <c r="AG84" s="4">
        <f>IF(monthly_mortgage_schedule[[#This Row],[Loan Balance (BOY) Without Extra Principal Payments]]&gt;0,monthly_mortgage_schedule[[#This Row],[Loan Balance (BOY) Without Extra Principal Payments]]*monthly_interest_rate,0)</f>
        <v>2311.3491108629023</v>
      </c>
      <c r="AH84" s="4">
        <f>IF(monthly_mortgage_schedule[[#This Row],[Loan Balance (BOY) Without Extra Principal Payments]]&gt;1,monthly_principal_and_interest-monthly_mortgage_schedule[[#This Row],[Interest Without Extra Principal Payments]],0)</f>
        <v>788.67738460050577</v>
      </c>
      <c r="AI84" s="4">
        <f>AI83+monthly_mortgage_schedule[[#This Row],[Principal Without Extra Principal Payments]]</f>
        <v>45499.582199692872</v>
      </c>
      <c r="AJ84" s="4">
        <f>monthly_mortgage_schedule[[#This Row],[Cumulative Principal Without Extra Principal Payments]]+down_payment_dollars</f>
        <v>105499.58219969287</v>
      </c>
      <c r="AK84" s="200">
        <f t="shared" si="9"/>
        <v>90</v>
      </c>
      <c r="AL8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494500.4178003071</v>
      </c>
      <c r="AN84" s="196">
        <f>monthly_mortgage_schedule[[#This Row],[Extra Payments Towards Equity]]+AN83+IF(monthly_mortgage_schedule[[#This Row],[Interest With Extra Principal Payments]]&gt;0,monthly_mortgage_schedule[[#This Row],[Interest Without Extra Principal Payments]]-monthly_mortgage_schedule[[#This Row],[Interest With Extra Principal Payments]],0)</f>
        <v>8709.0362177042171</v>
      </c>
      <c r="AO84" s="4">
        <f>AO83+IF(monthly_mortgage_schedule[[#This Row],[Interest With Extra Principal Payments]]&gt;0,monthly_mortgage_schedule[[#This Row],[Interest Without Extra Principal Payments]]-monthly_mortgage_schedule[[#This Row],[Interest With Extra Principal Payments]],0)</f>
        <v>709.03621770421478</v>
      </c>
      <c r="AP84" s="4">
        <f>AP83+monthly_mortgage_schedule[[#This Row],[PMI Without Extra Principal Payments]]-monthly_mortgage_schedule[[#This Row],[PMI with Additional Payments]]</f>
        <v>0</v>
      </c>
      <c r="AQ84" s="4">
        <f t="shared" si="12"/>
        <v>9107.5126684709012</v>
      </c>
      <c r="AR84" s="4">
        <f>Table60[[#This Row],[Cumulative Investments]]-monthly_mortgage_schedule[[#This Row],[Cumulative Extra Payments Towards Equity]]</f>
        <v>1107.5126684709012</v>
      </c>
    </row>
    <row r="85" spans="9:44" x14ac:dyDescent="0.25">
      <c r="I85">
        <v>68</v>
      </c>
      <c r="J85">
        <f>IF(MOD(ROWS($J$18:J84),12)=0,J84+1,J84)</f>
        <v>2027</v>
      </c>
      <c r="K85" s="198">
        <f>IF(M85="#N/A",NA(),monthly_mortgage_schedule[[#This Row],[Month]])</f>
        <v>68</v>
      </c>
      <c r="L85" s="198">
        <f>IF(monthly_mortgage_schedule[[#This Row],[Calendar Year]]&gt;=$C$7,monthly_mortgage_schedule[[#This Row],[Calendar Year]],NA())</f>
        <v>2027</v>
      </c>
      <c r="M85" s="199">
        <f>IF((monthly_mortgage_schedule[[#This Row],[Calendar Year]]&gt;=$C$7)*(monthly_mortgage_schedule[[#This Row],[Calendar Year]]&lt;=$C$9),monthly_mortgage_schedule[[#This Row],[Begin Year (Range)]],NA())</f>
        <v>2027</v>
      </c>
      <c r="N85" s="214">
        <f>IF((monthly_mortgage_schedule[[#This Row],[Year (Range)]]&gt;=$C$7)*(monthly_mortgage_schedule[[#This Row],[Year (Range)]]&lt;=$C$9),X85,NA())</f>
        <v>2267.0264473854795</v>
      </c>
      <c r="O85" s="214">
        <f>IF((monthly_mortgage_schedule[[#This Row],[Year (Range)]]&gt;=$C$7)*(monthly_mortgage_schedule[[#This Row],[Year (Range)]]&lt;=$C$9),Y85,NA())</f>
        <v>833.00004807792857</v>
      </c>
      <c r="P85" s="214">
        <f>IF((monthly_mortgage_schedule[[#This Row],[Year (Range)]]&gt;=$C$7)*(monthly_mortgage_schedule[[#This Row],[Year (Range)]]&lt;=$C$9),AG85,NA())</f>
        <v>2307.6686164014332</v>
      </c>
      <c r="Q85" s="214">
        <f>IF((monthly_mortgage_schedule[[#This Row],[Year (Range)]]&gt;=$C$7)*(monthly_mortgage_schedule[[#This Row],[Year (Range)]]&lt;=$C$9),AH85,NA())</f>
        <v>792.35787906197493</v>
      </c>
      <c r="R85" s="214">
        <f>IF((monthly_mortgage_schedule[[#This Row],[Year (Range)]]&gt;=$C$7)*(monthly_mortgage_schedule[[#This Row],[Year (Range)]]&lt;=$C$9),AO85,NA())</f>
        <v>749.67838672016842</v>
      </c>
      <c r="S85" s="214">
        <f>IF((monthly_mortgage_schedule[[#This Row],[Year (Range)]]&gt;=$C$7)*(monthly_mortgage_schedule[[#This Row],[Year (Range)]]&lt;=$C$9),AP85,NA())</f>
        <v>0</v>
      </c>
      <c r="T85" s="214">
        <f>IF((monthly_mortgage_schedule[[#This Row],[Year (Range)]]&gt;=$C$7)*(monthly_mortgage_schedule[[#This Row],[Year (Range)]]&lt;=$C$9),AR85,NA())</f>
        <v>1168.2294195940394</v>
      </c>
      <c r="U85" s="214">
        <f>IF((monthly_mortgage_schedule[[#This Row],[Year (Range)]]&gt;=$C$7)*(monthly_mortgage_schedule[[#This Row],[Year (Range)]]&lt;=$C$9),AB85,NA())</f>
        <v>55041.61846547501</v>
      </c>
      <c r="V85" s="214">
        <f>IF((monthly_mortgage_schedule[[#This Row],[Year (Range)]]&gt;=$C$7)*(monthly_mortgage_schedule[[#This Row],[Year (Range)]]&lt;=$C$9),AI85,NA())</f>
        <v>46291.940078754844</v>
      </c>
      <c r="W85" s="187">
        <f t="shared" si="10"/>
        <v>485791.38158260274</v>
      </c>
      <c r="X85" s="4">
        <f t="shared" si="13"/>
        <v>2267.0264473854795</v>
      </c>
      <c r="Y85" s="4">
        <f t="shared" si="11"/>
        <v>833.00004807792857</v>
      </c>
      <c r="Z85" s="4">
        <f>_xlfn.IFNA(INDEX(additional_mortgage_payments[],MATCH(monthly_mortgage_schedule[[#This Row],[Month]],additional_mortgage_payments[Month],0),3),0)</f>
        <v>0</v>
      </c>
      <c r="AA85" s="4">
        <f>AA84+monthly_mortgage_schedule[[#This Row],[Extra Payments Towards Equity]]</f>
        <v>8000</v>
      </c>
      <c r="AB85" s="4">
        <f>AB84+monthly_mortgage_schedule[[#This Row],[Principal With Extra Principal Payments]]+monthly_mortgage_schedule[[#This Row],[Extra Payments Towards Equity]]</f>
        <v>55041.61846547501</v>
      </c>
      <c r="AC85" s="4">
        <f>monthly_mortgage_schedule[[#This Row],[Cumulative Principal With Extra Principal Payments]]+down_payment_dollars</f>
        <v>115041.61846547501</v>
      </c>
      <c r="AD85" s="200">
        <f t="shared" si="8"/>
        <v>90</v>
      </c>
      <c r="AE8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484958.38153452479</v>
      </c>
      <c r="AF85" s="187">
        <f t="shared" si="14"/>
        <v>494500.4178003071</v>
      </c>
      <c r="AG85" s="4">
        <f>IF(monthly_mortgage_schedule[[#This Row],[Loan Balance (BOY) Without Extra Principal Payments]]&gt;0,monthly_mortgage_schedule[[#This Row],[Loan Balance (BOY) Without Extra Principal Payments]]*monthly_interest_rate,0)</f>
        <v>2307.6686164014332</v>
      </c>
      <c r="AH85" s="4">
        <f>IF(monthly_mortgage_schedule[[#This Row],[Loan Balance (BOY) Without Extra Principal Payments]]&gt;1,monthly_principal_and_interest-monthly_mortgage_schedule[[#This Row],[Interest Without Extra Principal Payments]],0)</f>
        <v>792.35787906197493</v>
      </c>
      <c r="AI85" s="4">
        <f>AI84+monthly_mortgage_schedule[[#This Row],[Principal Without Extra Principal Payments]]</f>
        <v>46291.940078754844</v>
      </c>
      <c r="AJ85" s="4">
        <f>monthly_mortgage_schedule[[#This Row],[Cumulative Principal Without Extra Principal Payments]]+down_payment_dollars</f>
        <v>106291.94007875485</v>
      </c>
      <c r="AK85" s="200">
        <f t="shared" si="9"/>
        <v>90</v>
      </c>
      <c r="AL8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493708.05992124515</v>
      </c>
      <c r="AN85" s="196">
        <f>monthly_mortgage_schedule[[#This Row],[Extra Payments Towards Equity]]+AN84+IF(monthly_mortgage_schedule[[#This Row],[Interest With Extra Principal Payments]]&gt;0,monthly_mortgage_schedule[[#This Row],[Interest Without Extra Principal Payments]]-monthly_mortgage_schedule[[#This Row],[Interest With Extra Principal Payments]],0)</f>
        <v>8749.6783867201702</v>
      </c>
      <c r="AO85" s="4">
        <f>AO84+IF(monthly_mortgage_schedule[[#This Row],[Interest With Extra Principal Payments]]&gt;0,monthly_mortgage_schedule[[#This Row],[Interest Without Extra Principal Payments]]-monthly_mortgage_schedule[[#This Row],[Interest With Extra Principal Payments]],0)</f>
        <v>749.67838672016842</v>
      </c>
      <c r="AP85" s="4">
        <f>AP84+monthly_mortgage_schedule[[#This Row],[PMI Without Extra Principal Payments]]-monthly_mortgage_schedule[[#This Row],[PMI with Additional Payments]]</f>
        <v>0</v>
      </c>
      <c r="AQ85" s="4">
        <f t="shared" si="12"/>
        <v>9168.2294195940394</v>
      </c>
      <c r="AR85" s="4">
        <f>Table60[[#This Row],[Cumulative Investments]]-monthly_mortgage_schedule[[#This Row],[Cumulative Extra Payments Towards Equity]]</f>
        <v>1168.2294195940394</v>
      </c>
    </row>
    <row r="86" spans="9:44" x14ac:dyDescent="0.25">
      <c r="I86">
        <v>69</v>
      </c>
      <c r="J86">
        <f>IF(MOD(ROWS($J$18:J85),12)=0,J85+1,J85)</f>
        <v>2027</v>
      </c>
      <c r="K86" s="198">
        <f>IF(M86="#N/A",NA(),monthly_mortgage_schedule[[#This Row],[Month]])</f>
        <v>69</v>
      </c>
      <c r="L86" s="198">
        <f>IF(monthly_mortgage_schedule[[#This Row],[Calendar Year]]&gt;=$C$7,monthly_mortgage_schedule[[#This Row],[Calendar Year]],NA())</f>
        <v>2027</v>
      </c>
      <c r="M86" s="199">
        <f>IF((monthly_mortgage_schedule[[#This Row],[Calendar Year]]&gt;=$C$7)*(monthly_mortgage_schedule[[#This Row],[Calendar Year]]&lt;=$C$9),monthly_mortgage_schedule[[#This Row],[Begin Year (Range)]],NA())</f>
        <v>2027</v>
      </c>
      <c r="N86" s="214">
        <f>IF((monthly_mortgage_schedule[[#This Row],[Year (Range)]]&gt;=$C$7)*(monthly_mortgage_schedule[[#This Row],[Year (Range)]]&lt;=$C$9),X86,NA())</f>
        <v>2263.1391138277827</v>
      </c>
      <c r="O86" s="214">
        <f>IF((monthly_mortgage_schedule[[#This Row],[Year (Range)]]&gt;=$C$7)*(monthly_mortgage_schedule[[#This Row],[Year (Range)]]&lt;=$C$9),Y86,NA())</f>
        <v>836.88738163562539</v>
      </c>
      <c r="P86" s="214">
        <f>IF((monthly_mortgage_schedule[[#This Row],[Year (Range)]]&gt;=$C$7)*(monthly_mortgage_schedule[[#This Row],[Year (Range)]]&lt;=$C$9),AG86,NA())</f>
        <v>2303.9709462991441</v>
      </c>
      <c r="Q86" s="214">
        <f>IF((monthly_mortgage_schedule[[#This Row],[Year (Range)]]&gt;=$C$7)*(monthly_mortgage_schedule[[#This Row],[Year (Range)]]&lt;=$C$9),AH86,NA())</f>
        <v>796.05554916426399</v>
      </c>
      <c r="R86" s="214">
        <f>IF((monthly_mortgage_schedule[[#This Row],[Year (Range)]]&gt;=$C$7)*(monthly_mortgage_schedule[[#This Row],[Year (Range)]]&lt;=$C$9),AO86,NA())</f>
        <v>790.51021919152981</v>
      </c>
      <c r="S86" s="214">
        <f>IF((monthly_mortgage_schedule[[#This Row],[Year (Range)]]&gt;=$C$7)*(monthly_mortgage_schedule[[#This Row],[Year (Range)]]&lt;=$C$9),AP86,NA())</f>
        <v>0</v>
      </c>
      <c r="T86" s="214">
        <f>IF((monthly_mortgage_schedule[[#This Row],[Year (Range)]]&gt;=$C$7)*(monthly_mortgage_schedule[[#This Row],[Year (Range)]]&lt;=$C$9),AR86,NA())</f>
        <v>1229.350949058</v>
      </c>
      <c r="U86" s="214">
        <f>IF((monthly_mortgage_schedule[[#This Row],[Year (Range)]]&gt;=$C$7)*(monthly_mortgage_schedule[[#This Row],[Year (Range)]]&lt;=$C$9),AB86,NA())</f>
        <v>55878.505847110639</v>
      </c>
      <c r="V86" s="214">
        <f>IF((monthly_mortgage_schedule[[#This Row],[Year (Range)]]&gt;=$C$7)*(monthly_mortgage_schedule[[#This Row],[Year (Range)]]&lt;=$C$9),AI86,NA())</f>
        <v>47087.99562791911</v>
      </c>
      <c r="W86" s="187">
        <f t="shared" si="10"/>
        <v>484958.38153452479</v>
      </c>
      <c r="X86" s="4">
        <f t="shared" si="13"/>
        <v>2263.1391138277827</v>
      </c>
      <c r="Y86" s="4">
        <f t="shared" si="11"/>
        <v>836.88738163562539</v>
      </c>
      <c r="Z86" s="4">
        <f>_xlfn.IFNA(INDEX(additional_mortgage_payments[],MATCH(monthly_mortgage_schedule[[#This Row],[Month]],additional_mortgage_payments[Month],0),3),0)</f>
        <v>0</v>
      </c>
      <c r="AA86" s="4">
        <f>AA85+monthly_mortgage_schedule[[#This Row],[Extra Payments Towards Equity]]</f>
        <v>8000</v>
      </c>
      <c r="AB86" s="4">
        <f>AB85+monthly_mortgage_schedule[[#This Row],[Principal With Extra Principal Payments]]+monthly_mortgage_schedule[[#This Row],[Extra Payments Towards Equity]]</f>
        <v>55878.505847110639</v>
      </c>
      <c r="AC86" s="4">
        <f>monthly_mortgage_schedule[[#This Row],[Cumulative Principal With Extra Principal Payments]]+down_payment_dollars</f>
        <v>115878.50584711065</v>
      </c>
      <c r="AD86" s="200">
        <f t="shared" si="8"/>
        <v>90</v>
      </c>
      <c r="AE8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484121.49415288918</v>
      </c>
      <c r="AF86" s="187">
        <f t="shared" si="14"/>
        <v>493708.05992124515</v>
      </c>
      <c r="AG86" s="4">
        <f>IF(monthly_mortgage_schedule[[#This Row],[Loan Balance (BOY) Without Extra Principal Payments]]&gt;0,monthly_mortgage_schedule[[#This Row],[Loan Balance (BOY) Without Extra Principal Payments]]*monthly_interest_rate,0)</f>
        <v>2303.9709462991441</v>
      </c>
      <c r="AH86" s="4">
        <f>IF(monthly_mortgage_schedule[[#This Row],[Loan Balance (BOY) Without Extra Principal Payments]]&gt;1,monthly_principal_and_interest-monthly_mortgage_schedule[[#This Row],[Interest Without Extra Principal Payments]],0)</f>
        <v>796.05554916426399</v>
      </c>
      <c r="AI86" s="4">
        <f>AI85+monthly_mortgage_schedule[[#This Row],[Principal Without Extra Principal Payments]]</f>
        <v>47087.99562791911</v>
      </c>
      <c r="AJ86" s="4">
        <f>monthly_mortgage_schedule[[#This Row],[Cumulative Principal Without Extra Principal Payments]]+down_payment_dollars</f>
        <v>107087.99562791911</v>
      </c>
      <c r="AK86" s="200">
        <f t="shared" si="9"/>
        <v>90</v>
      </c>
      <c r="AL8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492912.0043720809</v>
      </c>
      <c r="AN86" s="196">
        <f>monthly_mortgage_schedule[[#This Row],[Extra Payments Towards Equity]]+AN85+IF(monthly_mortgage_schedule[[#This Row],[Interest With Extra Principal Payments]]&gt;0,monthly_mortgage_schedule[[#This Row],[Interest Without Extra Principal Payments]]-monthly_mortgage_schedule[[#This Row],[Interest With Extra Principal Payments]],0)</f>
        <v>8790.5102191915321</v>
      </c>
      <c r="AO86" s="4">
        <f>AO85+IF(monthly_mortgage_schedule[[#This Row],[Interest With Extra Principal Payments]]&gt;0,monthly_mortgage_schedule[[#This Row],[Interest Without Extra Principal Payments]]-monthly_mortgage_schedule[[#This Row],[Interest With Extra Principal Payments]],0)</f>
        <v>790.51021919152981</v>
      </c>
      <c r="AP86" s="4">
        <f>AP85+monthly_mortgage_schedule[[#This Row],[PMI Without Extra Principal Payments]]-monthly_mortgage_schedule[[#This Row],[PMI with Additional Payments]]</f>
        <v>0</v>
      </c>
      <c r="AQ86" s="4">
        <f t="shared" si="12"/>
        <v>9229.350949058</v>
      </c>
      <c r="AR86" s="4">
        <f>Table60[[#This Row],[Cumulative Investments]]-monthly_mortgage_schedule[[#This Row],[Cumulative Extra Payments Towards Equity]]</f>
        <v>1229.350949058</v>
      </c>
    </row>
    <row r="87" spans="9:44" x14ac:dyDescent="0.25">
      <c r="I87">
        <v>70</v>
      </c>
      <c r="J87">
        <f>IF(MOD(ROWS($J$18:J86),12)=0,J86+1,J86)</f>
        <v>2027</v>
      </c>
      <c r="K87" s="198">
        <f>IF(M87="#N/A",NA(),monthly_mortgage_schedule[[#This Row],[Month]])</f>
        <v>70</v>
      </c>
      <c r="L87" s="198">
        <f>IF(monthly_mortgage_schedule[[#This Row],[Calendar Year]]&gt;=$C$7,monthly_mortgage_schedule[[#This Row],[Calendar Year]],NA())</f>
        <v>2027</v>
      </c>
      <c r="M87" s="199">
        <f>IF((monthly_mortgage_schedule[[#This Row],[Calendar Year]]&gt;=$C$7)*(monthly_mortgage_schedule[[#This Row],[Calendar Year]]&lt;=$C$9),monthly_mortgage_schedule[[#This Row],[Begin Year (Range)]],NA())</f>
        <v>2027</v>
      </c>
      <c r="N87" s="214">
        <f>IF((monthly_mortgage_schedule[[#This Row],[Year (Range)]]&gt;=$C$7)*(monthly_mortgage_schedule[[#This Row],[Year (Range)]]&lt;=$C$9),X87,NA())</f>
        <v>2259.2336393801497</v>
      </c>
      <c r="O87" s="214">
        <f>IF((monthly_mortgage_schedule[[#This Row],[Year (Range)]]&gt;=$C$7)*(monthly_mortgage_schedule[[#This Row],[Year (Range)]]&lt;=$C$9),Y87,NA())</f>
        <v>840.79285608325836</v>
      </c>
      <c r="P87" s="214">
        <f>IF((monthly_mortgage_schedule[[#This Row],[Year (Range)]]&gt;=$C$7)*(monthly_mortgage_schedule[[#This Row],[Year (Range)]]&lt;=$C$9),AG87,NA())</f>
        <v>2300.2560204030442</v>
      </c>
      <c r="Q87" s="214">
        <f>IF((monthly_mortgage_schedule[[#This Row],[Year (Range)]]&gt;=$C$7)*(monthly_mortgage_schedule[[#This Row],[Year (Range)]]&lt;=$C$9),AH87,NA())</f>
        <v>799.77047506036388</v>
      </c>
      <c r="R87" s="214">
        <f>IF((monthly_mortgage_schedule[[#This Row],[Year (Range)]]&gt;=$C$7)*(monthly_mortgage_schedule[[#This Row],[Year (Range)]]&lt;=$C$9),AO87,NA())</f>
        <v>831.53260021442429</v>
      </c>
      <c r="S87" s="214">
        <f>IF((monthly_mortgage_schedule[[#This Row],[Year (Range)]]&gt;=$C$7)*(monthly_mortgage_schedule[[#This Row],[Year (Range)]]&lt;=$C$9),AP87,NA())</f>
        <v>0</v>
      </c>
      <c r="T87" s="214">
        <f>IF((monthly_mortgage_schedule[[#This Row],[Year (Range)]]&gt;=$C$7)*(monthly_mortgage_schedule[[#This Row],[Year (Range)]]&lt;=$C$9),AR87,NA())</f>
        <v>1294.2132887183852</v>
      </c>
      <c r="U87" s="214">
        <f>IF((monthly_mortgage_schedule[[#This Row],[Year (Range)]]&gt;=$C$7)*(monthly_mortgage_schedule[[#This Row],[Year (Range)]]&lt;=$C$9),AB87,NA())</f>
        <v>57219.298703193897</v>
      </c>
      <c r="V87" s="214">
        <f>IF((monthly_mortgage_schedule[[#This Row],[Year (Range)]]&gt;=$C$7)*(monthly_mortgage_schedule[[#This Row],[Year (Range)]]&lt;=$C$9),AI87,NA())</f>
        <v>47887.766102979476</v>
      </c>
      <c r="W87" s="187">
        <f t="shared" si="10"/>
        <v>484121.49415288918</v>
      </c>
      <c r="X87" s="4">
        <f t="shared" si="13"/>
        <v>2259.2336393801497</v>
      </c>
      <c r="Y87" s="4">
        <f t="shared" si="11"/>
        <v>840.79285608325836</v>
      </c>
      <c r="Z87" s="4">
        <f>_xlfn.IFNA(INDEX(additional_mortgage_payments[],MATCH(monthly_mortgage_schedule[[#This Row],[Month]],additional_mortgage_payments[Month],0),3),0)</f>
        <v>500</v>
      </c>
      <c r="AA87" s="4">
        <f>AA86+monthly_mortgage_schedule[[#This Row],[Extra Payments Towards Equity]]</f>
        <v>8500</v>
      </c>
      <c r="AB87" s="4">
        <f>AB86+monthly_mortgage_schedule[[#This Row],[Principal With Extra Principal Payments]]+monthly_mortgage_schedule[[#This Row],[Extra Payments Towards Equity]]</f>
        <v>57219.298703193897</v>
      </c>
      <c r="AC87" s="4">
        <f>monthly_mortgage_schedule[[#This Row],[Cumulative Principal With Extra Principal Payments]]+down_payment_dollars</f>
        <v>117219.2987031939</v>
      </c>
      <c r="AD87" s="200">
        <f t="shared" si="8"/>
        <v>90</v>
      </c>
      <c r="AE8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482780.70129680593</v>
      </c>
      <c r="AF87" s="187">
        <f t="shared" si="14"/>
        <v>492912.0043720809</v>
      </c>
      <c r="AG87" s="4">
        <f>IF(monthly_mortgage_schedule[[#This Row],[Loan Balance (BOY) Without Extra Principal Payments]]&gt;0,monthly_mortgage_schedule[[#This Row],[Loan Balance (BOY) Without Extra Principal Payments]]*monthly_interest_rate,0)</f>
        <v>2300.2560204030442</v>
      </c>
      <c r="AH87" s="4">
        <f>IF(monthly_mortgage_schedule[[#This Row],[Loan Balance (BOY) Without Extra Principal Payments]]&gt;1,monthly_principal_and_interest-monthly_mortgage_schedule[[#This Row],[Interest Without Extra Principal Payments]],0)</f>
        <v>799.77047506036388</v>
      </c>
      <c r="AI87" s="4">
        <f>AI86+monthly_mortgage_schedule[[#This Row],[Principal Without Extra Principal Payments]]</f>
        <v>47887.766102979476</v>
      </c>
      <c r="AJ87" s="4">
        <f>monthly_mortgage_schedule[[#This Row],[Cumulative Principal Without Extra Principal Payments]]+down_payment_dollars</f>
        <v>107887.76610297948</v>
      </c>
      <c r="AK87" s="200">
        <f t="shared" si="9"/>
        <v>90</v>
      </c>
      <c r="AL8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492112.23389702052</v>
      </c>
      <c r="AN87" s="196">
        <f>monthly_mortgage_schedule[[#This Row],[Extra Payments Towards Equity]]+AN86+IF(monthly_mortgage_schedule[[#This Row],[Interest With Extra Principal Payments]]&gt;0,monthly_mortgage_schedule[[#This Row],[Interest Without Extra Principal Payments]]-monthly_mortgage_schedule[[#This Row],[Interest With Extra Principal Payments]],0)</f>
        <v>9331.5326002144266</v>
      </c>
      <c r="AO87" s="4">
        <f>AO86+IF(monthly_mortgage_schedule[[#This Row],[Interest With Extra Principal Payments]]&gt;0,monthly_mortgage_schedule[[#This Row],[Interest Without Extra Principal Payments]]-monthly_mortgage_schedule[[#This Row],[Interest With Extra Principal Payments]],0)</f>
        <v>831.53260021442429</v>
      </c>
      <c r="AP87" s="4">
        <f>AP86+monthly_mortgage_schedule[[#This Row],[PMI Without Extra Principal Payments]]-monthly_mortgage_schedule[[#This Row],[PMI with Additional Payments]]</f>
        <v>0</v>
      </c>
      <c r="AQ87" s="4">
        <f t="shared" si="12"/>
        <v>9794.2132887183852</v>
      </c>
      <c r="AR87" s="4">
        <f>Table60[[#This Row],[Cumulative Investments]]-monthly_mortgage_schedule[[#This Row],[Cumulative Extra Payments Towards Equity]]</f>
        <v>1294.2132887183852</v>
      </c>
    </row>
    <row r="88" spans="9:44" x14ac:dyDescent="0.25">
      <c r="I88">
        <v>71</v>
      </c>
      <c r="J88">
        <f>IF(MOD(ROWS($J$18:J87),12)=0,J87+1,J87)</f>
        <v>2027</v>
      </c>
      <c r="K88" s="198">
        <f>IF(M88="#N/A",NA(),monthly_mortgage_schedule[[#This Row],[Month]])</f>
        <v>71</v>
      </c>
      <c r="L88" s="198">
        <f>IF(monthly_mortgage_schedule[[#This Row],[Calendar Year]]&gt;=$C$7,monthly_mortgage_schedule[[#This Row],[Calendar Year]],NA())</f>
        <v>2027</v>
      </c>
      <c r="M88" s="199">
        <f>IF((monthly_mortgage_schedule[[#This Row],[Calendar Year]]&gt;=$C$7)*(monthly_mortgage_schedule[[#This Row],[Calendar Year]]&lt;=$C$9),monthly_mortgage_schedule[[#This Row],[Begin Year (Range)]],NA())</f>
        <v>2027</v>
      </c>
      <c r="N88" s="214">
        <f>IF((monthly_mortgage_schedule[[#This Row],[Year (Range)]]&gt;=$C$7)*(monthly_mortgage_schedule[[#This Row],[Year (Range)]]&lt;=$C$9),X88,NA())</f>
        <v>2252.9766060517613</v>
      </c>
      <c r="O88" s="214">
        <f>IF((monthly_mortgage_schedule[[#This Row],[Year (Range)]]&gt;=$C$7)*(monthly_mortgage_schedule[[#This Row],[Year (Range)]]&lt;=$C$9),Y88,NA())</f>
        <v>847.04988941164675</v>
      </c>
      <c r="P88" s="214">
        <f>IF((monthly_mortgage_schedule[[#This Row],[Year (Range)]]&gt;=$C$7)*(monthly_mortgage_schedule[[#This Row],[Year (Range)]]&lt;=$C$9),AG88,NA())</f>
        <v>2296.5237581860961</v>
      </c>
      <c r="Q88" s="214">
        <f>IF((monthly_mortgage_schedule[[#This Row],[Year (Range)]]&gt;=$C$7)*(monthly_mortgage_schedule[[#This Row],[Year (Range)]]&lt;=$C$9),AH88,NA())</f>
        <v>803.50273727731201</v>
      </c>
      <c r="R88" s="214">
        <f>IF((monthly_mortgage_schedule[[#This Row],[Year (Range)]]&gt;=$C$7)*(monthly_mortgage_schedule[[#This Row],[Year (Range)]]&lt;=$C$9),AO88,NA())</f>
        <v>875.07975234875903</v>
      </c>
      <c r="S88" s="214">
        <f>IF((monthly_mortgage_schedule[[#This Row],[Year (Range)]]&gt;=$C$7)*(monthly_mortgage_schedule[[#This Row],[Year (Range)]]&lt;=$C$9),AP88,NA())</f>
        <v>0</v>
      </c>
      <c r="T88" s="214">
        <f>IF((monthly_mortgage_schedule[[#This Row],[Year (Range)]]&gt;=$C$7)*(monthly_mortgage_schedule[[#This Row],[Year (Range)]]&lt;=$C$9),AR88,NA())</f>
        <v>1359.5080439765079</v>
      </c>
      <c r="U88" s="214">
        <f>IF((monthly_mortgage_schedule[[#This Row],[Year (Range)]]&gt;=$C$7)*(monthly_mortgage_schedule[[#This Row],[Year (Range)]]&lt;=$C$9),AB88,NA())</f>
        <v>58066.348592605544</v>
      </c>
      <c r="V88" s="214">
        <f>IF((monthly_mortgage_schedule[[#This Row],[Year (Range)]]&gt;=$C$7)*(monthly_mortgage_schedule[[#This Row],[Year (Range)]]&lt;=$C$9),AI88,NA())</f>
        <v>48691.268840256787</v>
      </c>
      <c r="W88" s="187">
        <f t="shared" si="10"/>
        <v>482780.70129680593</v>
      </c>
      <c r="X88" s="4">
        <f t="shared" si="13"/>
        <v>2252.9766060517613</v>
      </c>
      <c r="Y88" s="4">
        <f t="shared" si="11"/>
        <v>847.04988941164675</v>
      </c>
      <c r="Z88" s="4">
        <f>_xlfn.IFNA(INDEX(additional_mortgage_payments[],MATCH(monthly_mortgage_schedule[[#This Row],[Month]],additional_mortgage_payments[Month],0),3),0)</f>
        <v>0</v>
      </c>
      <c r="AA88" s="4">
        <f>AA87+monthly_mortgage_schedule[[#This Row],[Extra Payments Towards Equity]]</f>
        <v>8500</v>
      </c>
      <c r="AB88" s="4">
        <f>AB87+monthly_mortgage_schedule[[#This Row],[Principal With Extra Principal Payments]]+monthly_mortgage_schedule[[#This Row],[Extra Payments Towards Equity]]</f>
        <v>58066.348592605544</v>
      </c>
      <c r="AC88" s="4">
        <f>monthly_mortgage_schedule[[#This Row],[Cumulative Principal With Extra Principal Payments]]+down_payment_dollars</f>
        <v>118066.34859260554</v>
      </c>
      <c r="AD88" s="200">
        <f t="shared" si="8"/>
        <v>90</v>
      </c>
      <c r="AE8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481933.65140739427</v>
      </c>
      <c r="AF88" s="187">
        <f t="shared" si="14"/>
        <v>492112.23389702052</v>
      </c>
      <c r="AG88" s="4">
        <f>IF(monthly_mortgage_schedule[[#This Row],[Loan Balance (BOY) Without Extra Principal Payments]]&gt;0,monthly_mortgage_schedule[[#This Row],[Loan Balance (BOY) Without Extra Principal Payments]]*monthly_interest_rate,0)</f>
        <v>2296.5237581860961</v>
      </c>
      <c r="AH88" s="4">
        <f>IF(monthly_mortgage_schedule[[#This Row],[Loan Balance (BOY) Without Extra Principal Payments]]&gt;1,monthly_principal_and_interest-monthly_mortgage_schedule[[#This Row],[Interest Without Extra Principal Payments]],0)</f>
        <v>803.50273727731201</v>
      </c>
      <c r="AI88" s="4">
        <f>AI87+monthly_mortgage_schedule[[#This Row],[Principal Without Extra Principal Payments]]</f>
        <v>48691.268840256787</v>
      </c>
      <c r="AJ88" s="4">
        <f>monthly_mortgage_schedule[[#This Row],[Cumulative Principal Without Extra Principal Payments]]+down_payment_dollars</f>
        <v>108691.26884025679</v>
      </c>
      <c r="AK88" s="200">
        <f t="shared" si="9"/>
        <v>90</v>
      </c>
      <c r="AL8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491308.73115974321</v>
      </c>
      <c r="AN88" s="196">
        <f>monthly_mortgage_schedule[[#This Row],[Extra Payments Towards Equity]]+AN87+IF(monthly_mortgage_schedule[[#This Row],[Interest With Extra Principal Payments]]&gt;0,monthly_mortgage_schedule[[#This Row],[Interest Without Extra Principal Payments]]-monthly_mortgage_schedule[[#This Row],[Interest With Extra Principal Payments]],0)</f>
        <v>9375.0797523487618</v>
      </c>
      <c r="AO88" s="4">
        <f>AO87+IF(monthly_mortgage_schedule[[#This Row],[Interest With Extra Principal Payments]]&gt;0,monthly_mortgage_schedule[[#This Row],[Interest Without Extra Principal Payments]]-monthly_mortgage_schedule[[#This Row],[Interest With Extra Principal Payments]],0)</f>
        <v>875.07975234875903</v>
      </c>
      <c r="AP88" s="4">
        <f>AP87+monthly_mortgage_schedule[[#This Row],[PMI Without Extra Principal Payments]]-monthly_mortgage_schedule[[#This Row],[PMI with Additional Payments]]</f>
        <v>0</v>
      </c>
      <c r="AQ88" s="4">
        <f t="shared" si="12"/>
        <v>9859.5080439765079</v>
      </c>
      <c r="AR88" s="4">
        <f>Table60[[#This Row],[Cumulative Investments]]-monthly_mortgage_schedule[[#This Row],[Cumulative Extra Payments Towards Equity]]</f>
        <v>1359.5080439765079</v>
      </c>
    </row>
    <row r="89" spans="9:44" x14ac:dyDescent="0.25">
      <c r="I89">
        <v>72</v>
      </c>
      <c r="J89">
        <f>IF(MOD(ROWS($J$18:J88),12)=0,J88+1,J88)</f>
        <v>2027</v>
      </c>
      <c r="K89" s="198">
        <f>IF(M89="#N/A",NA(),monthly_mortgage_schedule[[#This Row],[Month]])</f>
        <v>72</v>
      </c>
      <c r="L89" s="198">
        <f>IF(monthly_mortgage_schedule[[#This Row],[Calendar Year]]&gt;=$C$7,monthly_mortgage_schedule[[#This Row],[Calendar Year]],NA())</f>
        <v>2027</v>
      </c>
      <c r="M89" s="199">
        <f>IF((monthly_mortgage_schedule[[#This Row],[Calendar Year]]&gt;=$C$7)*(monthly_mortgage_schedule[[#This Row],[Calendar Year]]&lt;=$C$9),monthly_mortgage_schedule[[#This Row],[Begin Year (Range)]],NA())</f>
        <v>2027</v>
      </c>
      <c r="N89" s="214">
        <f>IF((monthly_mortgage_schedule[[#This Row],[Year (Range)]]&gt;=$C$7)*(monthly_mortgage_schedule[[#This Row],[Year (Range)]]&lt;=$C$9),X89,NA())</f>
        <v>2249.0237065678402</v>
      </c>
      <c r="O89" s="214">
        <f>IF((monthly_mortgage_schedule[[#This Row],[Year (Range)]]&gt;=$C$7)*(monthly_mortgage_schedule[[#This Row],[Year (Range)]]&lt;=$C$9),Y89,NA())</f>
        <v>851.00278889556785</v>
      </c>
      <c r="P89" s="214">
        <f>IF((monthly_mortgage_schedule[[#This Row],[Year (Range)]]&gt;=$C$7)*(monthly_mortgage_schedule[[#This Row],[Year (Range)]]&lt;=$C$9),AG89,NA())</f>
        <v>2292.7740787454686</v>
      </c>
      <c r="Q89" s="214">
        <f>IF((monthly_mortgage_schedule[[#This Row],[Year (Range)]]&gt;=$C$7)*(monthly_mortgage_schedule[[#This Row],[Year (Range)]]&lt;=$C$9),AH89,NA())</f>
        <v>807.25241671793947</v>
      </c>
      <c r="R89" s="214">
        <f>IF((monthly_mortgage_schedule[[#This Row],[Year (Range)]]&gt;=$C$7)*(monthly_mortgage_schedule[[#This Row],[Year (Range)]]&lt;=$C$9),AO89,NA())</f>
        <v>918.83012452638741</v>
      </c>
      <c r="S89" s="214">
        <f>IF((monthly_mortgage_schedule[[#This Row],[Year (Range)]]&gt;=$C$7)*(monthly_mortgage_schedule[[#This Row],[Year (Range)]]&lt;=$C$9),AP89,NA())</f>
        <v>0</v>
      </c>
      <c r="T89" s="214">
        <f>IF((monthly_mortgage_schedule[[#This Row],[Year (Range)]]&gt;=$C$7)*(monthly_mortgage_schedule[[#This Row],[Year (Range)]]&lt;=$C$9),AR89,NA())</f>
        <v>1425.2380976030181</v>
      </c>
      <c r="U89" s="214">
        <f>IF((monthly_mortgage_schedule[[#This Row],[Year (Range)]]&gt;=$C$7)*(monthly_mortgage_schedule[[#This Row],[Year (Range)]]&lt;=$C$9),AB89,NA())</f>
        <v>58917.35138150111</v>
      </c>
      <c r="V89" s="214">
        <f>IF((monthly_mortgage_schedule[[#This Row],[Year (Range)]]&gt;=$C$7)*(monthly_mortgage_schedule[[#This Row],[Year (Range)]]&lt;=$C$9),AI89,NA())</f>
        <v>49498.521256974724</v>
      </c>
      <c r="W89" s="187">
        <f t="shared" si="10"/>
        <v>481933.65140739427</v>
      </c>
      <c r="X89" s="4">
        <f t="shared" si="13"/>
        <v>2249.0237065678402</v>
      </c>
      <c r="Y89" s="4">
        <f t="shared" si="11"/>
        <v>851.00278889556785</v>
      </c>
      <c r="Z89" s="4">
        <f>_xlfn.IFNA(INDEX(additional_mortgage_payments[],MATCH(monthly_mortgage_schedule[[#This Row],[Month]],additional_mortgage_payments[Month],0),3),0)</f>
        <v>0</v>
      </c>
      <c r="AA89" s="4">
        <f>AA88+monthly_mortgage_schedule[[#This Row],[Extra Payments Towards Equity]]</f>
        <v>8500</v>
      </c>
      <c r="AB89" s="4">
        <f>AB88+monthly_mortgage_schedule[[#This Row],[Principal With Extra Principal Payments]]+monthly_mortgage_schedule[[#This Row],[Extra Payments Towards Equity]]</f>
        <v>58917.35138150111</v>
      </c>
      <c r="AC89" s="4">
        <f>monthly_mortgage_schedule[[#This Row],[Cumulative Principal With Extra Principal Payments]]+down_payment_dollars</f>
        <v>118917.35138150111</v>
      </c>
      <c r="AD89" s="200">
        <f t="shared" si="8"/>
        <v>90</v>
      </c>
      <c r="AE8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481082.6486184987</v>
      </c>
      <c r="AF89" s="187">
        <f t="shared" si="14"/>
        <v>491308.73115974321</v>
      </c>
      <c r="AG89" s="4">
        <f>IF(monthly_mortgage_schedule[[#This Row],[Loan Balance (BOY) Without Extra Principal Payments]]&gt;0,monthly_mortgage_schedule[[#This Row],[Loan Balance (BOY) Without Extra Principal Payments]]*monthly_interest_rate,0)</f>
        <v>2292.7740787454686</v>
      </c>
      <c r="AH89" s="4">
        <f>IF(monthly_mortgage_schedule[[#This Row],[Loan Balance (BOY) Without Extra Principal Payments]]&gt;1,monthly_principal_and_interest-monthly_mortgage_schedule[[#This Row],[Interest Without Extra Principal Payments]],0)</f>
        <v>807.25241671793947</v>
      </c>
      <c r="AI89" s="4">
        <f>AI88+monthly_mortgage_schedule[[#This Row],[Principal Without Extra Principal Payments]]</f>
        <v>49498.521256974724</v>
      </c>
      <c r="AJ89" s="4">
        <f>monthly_mortgage_schedule[[#This Row],[Cumulative Principal Without Extra Principal Payments]]+down_payment_dollars</f>
        <v>109498.52125697472</v>
      </c>
      <c r="AK89" s="200">
        <f t="shared" si="9"/>
        <v>90</v>
      </c>
      <c r="AL8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490501.47874302528</v>
      </c>
      <c r="AN89" s="196">
        <f>monthly_mortgage_schedule[[#This Row],[Extra Payments Towards Equity]]+AN88+IF(monthly_mortgage_schedule[[#This Row],[Interest With Extra Principal Payments]]&gt;0,monthly_mortgage_schedule[[#This Row],[Interest Without Extra Principal Payments]]-monthly_mortgage_schedule[[#This Row],[Interest With Extra Principal Payments]],0)</f>
        <v>9418.8301245263901</v>
      </c>
      <c r="AO89" s="4">
        <f>AO88+IF(monthly_mortgage_schedule[[#This Row],[Interest With Extra Principal Payments]]&gt;0,monthly_mortgage_schedule[[#This Row],[Interest Without Extra Principal Payments]]-monthly_mortgage_schedule[[#This Row],[Interest With Extra Principal Payments]],0)</f>
        <v>918.83012452638741</v>
      </c>
      <c r="AP89" s="4">
        <f>AP88+monthly_mortgage_schedule[[#This Row],[PMI Without Extra Principal Payments]]-monthly_mortgage_schedule[[#This Row],[PMI with Additional Payments]]</f>
        <v>0</v>
      </c>
      <c r="AQ89" s="4">
        <f t="shared" si="12"/>
        <v>9925.2380976030181</v>
      </c>
      <c r="AR89" s="4">
        <f>Table60[[#This Row],[Cumulative Investments]]-monthly_mortgage_schedule[[#This Row],[Cumulative Extra Payments Towards Equity]]</f>
        <v>1425.2380976030181</v>
      </c>
    </row>
    <row r="90" spans="9:44" x14ac:dyDescent="0.25">
      <c r="I90">
        <v>73</v>
      </c>
      <c r="J90">
        <f>IF(MOD(ROWS($J$18:J89),12)=0,J89+1,J89)</f>
        <v>2028</v>
      </c>
      <c r="K90" s="198">
        <f>IF(M90="#N/A",NA(),monthly_mortgage_schedule[[#This Row],[Month]])</f>
        <v>73</v>
      </c>
      <c r="L90" s="198">
        <f>IF(monthly_mortgage_schedule[[#This Row],[Calendar Year]]&gt;=$C$7,monthly_mortgage_schedule[[#This Row],[Calendar Year]],NA())</f>
        <v>2028</v>
      </c>
      <c r="M90" s="199">
        <f>IF((monthly_mortgage_schedule[[#This Row],[Calendar Year]]&gt;=$C$7)*(monthly_mortgage_schedule[[#This Row],[Calendar Year]]&lt;=$C$9),monthly_mortgage_schedule[[#This Row],[Begin Year (Range)]],NA())</f>
        <v>2028</v>
      </c>
      <c r="N90" s="214">
        <f>IF((monthly_mortgage_schedule[[#This Row],[Year (Range)]]&gt;=$C$7)*(monthly_mortgage_schedule[[#This Row],[Year (Range)]]&lt;=$C$9),X90,NA())</f>
        <v>2245.0523602196608</v>
      </c>
      <c r="O90" s="214">
        <f>IF((monthly_mortgage_schedule[[#This Row],[Year (Range)]]&gt;=$C$7)*(monthly_mortgage_schedule[[#This Row],[Year (Range)]]&lt;=$C$9),Y90,NA())</f>
        <v>854.97413524374724</v>
      </c>
      <c r="P90" s="214">
        <f>IF((monthly_mortgage_schedule[[#This Row],[Year (Range)]]&gt;=$C$7)*(monthly_mortgage_schedule[[#This Row],[Year (Range)]]&lt;=$C$9),AG90,NA())</f>
        <v>2289.0069008007849</v>
      </c>
      <c r="Q90" s="214">
        <f>IF((monthly_mortgage_schedule[[#This Row],[Year (Range)]]&gt;=$C$7)*(monthly_mortgage_schedule[[#This Row],[Year (Range)]]&lt;=$C$9),AH90,NA())</f>
        <v>811.01959466262315</v>
      </c>
      <c r="R90" s="214">
        <f>IF((monthly_mortgage_schedule[[#This Row],[Year (Range)]]&gt;=$C$7)*(monthly_mortgage_schedule[[#This Row],[Year (Range)]]&lt;=$C$9),AO90,NA())</f>
        <v>962.7846651075115</v>
      </c>
      <c r="S90" s="214">
        <f>IF((monthly_mortgage_schedule[[#This Row],[Year (Range)]]&gt;=$C$7)*(monthly_mortgage_schedule[[#This Row],[Year (Range)]]&lt;=$C$9),AP90,NA())</f>
        <v>0</v>
      </c>
      <c r="T90" s="214">
        <f>IF((monthly_mortgage_schedule[[#This Row],[Year (Range)]]&gt;=$C$7)*(monthly_mortgage_schedule[[#This Row],[Year (Range)]]&lt;=$C$9),AR90,NA())</f>
        <v>1491.4063515870384</v>
      </c>
      <c r="U90" s="214">
        <f>IF((monthly_mortgage_schedule[[#This Row],[Year (Range)]]&gt;=$C$7)*(monthly_mortgage_schedule[[#This Row],[Year (Range)]]&lt;=$C$9),AB90,NA())</f>
        <v>59772.325516744859</v>
      </c>
      <c r="V90" s="214">
        <f>IF((monthly_mortgage_schedule[[#This Row],[Year (Range)]]&gt;=$C$7)*(monthly_mortgage_schedule[[#This Row],[Year (Range)]]&lt;=$C$9),AI90,NA())</f>
        <v>50309.54085163735</v>
      </c>
      <c r="W90" s="187">
        <f t="shared" si="10"/>
        <v>481082.6486184987</v>
      </c>
      <c r="X90" s="4">
        <f t="shared" si="13"/>
        <v>2245.0523602196608</v>
      </c>
      <c r="Y90" s="4">
        <f t="shared" si="11"/>
        <v>854.97413524374724</v>
      </c>
      <c r="Z90" s="4">
        <f>_xlfn.IFNA(INDEX(additional_mortgage_payments[],MATCH(monthly_mortgage_schedule[[#This Row],[Month]],additional_mortgage_payments[Month],0),3),0)</f>
        <v>0</v>
      </c>
      <c r="AA90" s="4">
        <f>AA89+monthly_mortgage_schedule[[#This Row],[Extra Payments Towards Equity]]</f>
        <v>8500</v>
      </c>
      <c r="AB90" s="4">
        <f>AB89+monthly_mortgage_schedule[[#This Row],[Principal With Extra Principal Payments]]+monthly_mortgage_schedule[[#This Row],[Extra Payments Towards Equity]]</f>
        <v>59772.325516744859</v>
      </c>
      <c r="AC90" s="4">
        <f>monthly_mortgage_schedule[[#This Row],[Cumulative Principal With Extra Principal Payments]]+down_payment_dollars</f>
        <v>119772.32551674487</v>
      </c>
      <c r="AD90" s="200">
        <f t="shared" si="8"/>
        <v>90</v>
      </c>
      <c r="AE9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480227.67448325496</v>
      </c>
      <c r="AF90" s="187">
        <f t="shared" si="14"/>
        <v>490501.47874302528</v>
      </c>
      <c r="AG90" s="4">
        <f>IF(monthly_mortgage_schedule[[#This Row],[Loan Balance (BOY) Without Extra Principal Payments]]&gt;0,monthly_mortgage_schedule[[#This Row],[Loan Balance (BOY) Without Extra Principal Payments]]*monthly_interest_rate,0)</f>
        <v>2289.0069008007849</v>
      </c>
      <c r="AH90" s="4">
        <f>IF(monthly_mortgage_schedule[[#This Row],[Loan Balance (BOY) Without Extra Principal Payments]]&gt;1,monthly_principal_and_interest-monthly_mortgage_schedule[[#This Row],[Interest Without Extra Principal Payments]],0)</f>
        <v>811.01959466262315</v>
      </c>
      <c r="AI90" s="4">
        <f>AI89+monthly_mortgage_schedule[[#This Row],[Principal Without Extra Principal Payments]]</f>
        <v>50309.54085163735</v>
      </c>
      <c r="AJ90" s="4">
        <f>monthly_mortgage_schedule[[#This Row],[Cumulative Principal Without Extra Principal Payments]]+down_payment_dollars</f>
        <v>110309.54085163734</v>
      </c>
      <c r="AK90" s="200">
        <f t="shared" si="9"/>
        <v>90</v>
      </c>
      <c r="AL9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489690.45914836263</v>
      </c>
      <c r="AN90" s="196">
        <f>monthly_mortgage_schedule[[#This Row],[Extra Payments Towards Equity]]+AN89+IF(monthly_mortgage_schedule[[#This Row],[Interest With Extra Principal Payments]]&gt;0,monthly_mortgage_schedule[[#This Row],[Interest Without Extra Principal Payments]]-monthly_mortgage_schedule[[#This Row],[Interest With Extra Principal Payments]],0)</f>
        <v>9462.7846651075142</v>
      </c>
      <c r="AO90" s="4">
        <f>AO89+IF(monthly_mortgage_schedule[[#This Row],[Interest With Extra Principal Payments]]&gt;0,monthly_mortgage_schedule[[#This Row],[Interest Without Extra Principal Payments]]-monthly_mortgage_schedule[[#This Row],[Interest With Extra Principal Payments]],0)</f>
        <v>962.7846651075115</v>
      </c>
      <c r="AP90" s="4">
        <f>AP89+monthly_mortgage_schedule[[#This Row],[PMI Without Extra Principal Payments]]-monthly_mortgage_schedule[[#This Row],[PMI with Additional Payments]]</f>
        <v>0</v>
      </c>
      <c r="AQ90" s="4">
        <f t="shared" si="12"/>
        <v>9991.4063515870384</v>
      </c>
      <c r="AR90" s="4">
        <f>Table60[[#This Row],[Cumulative Investments]]-monthly_mortgage_schedule[[#This Row],[Cumulative Extra Payments Towards Equity]]</f>
        <v>1491.4063515870384</v>
      </c>
    </row>
    <row r="91" spans="9:44" x14ac:dyDescent="0.25">
      <c r="I91">
        <v>74</v>
      </c>
      <c r="J91">
        <f>IF(MOD(ROWS($J$18:J90),12)=0,J90+1,J90)</f>
        <v>2028</v>
      </c>
      <c r="K91" s="198">
        <f>IF(M91="#N/A",NA(),monthly_mortgage_schedule[[#This Row],[Month]])</f>
        <v>74</v>
      </c>
      <c r="L91" s="198">
        <f>IF(monthly_mortgage_schedule[[#This Row],[Calendar Year]]&gt;=$C$7,monthly_mortgage_schedule[[#This Row],[Calendar Year]],NA())</f>
        <v>2028</v>
      </c>
      <c r="M91" s="199">
        <f>IF((monthly_mortgage_schedule[[#This Row],[Calendar Year]]&gt;=$C$7)*(monthly_mortgage_schedule[[#This Row],[Calendar Year]]&lt;=$C$9),monthly_mortgage_schedule[[#This Row],[Begin Year (Range)]],NA())</f>
        <v>2028</v>
      </c>
      <c r="N91" s="214">
        <f>IF((monthly_mortgage_schedule[[#This Row],[Year (Range)]]&gt;=$C$7)*(monthly_mortgage_schedule[[#This Row],[Year (Range)]]&lt;=$C$9),X91,NA())</f>
        <v>2241.0624809218566</v>
      </c>
      <c r="O91" s="214">
        <f>IF((monthly_mortgage_schedule[[#This Row],[Year (Range)]]&gt;=$C$7)*(monthly_mortgage_schedule[[#This Row],[Year (Range)]]&lt;=$C$9),Y91,NA())</f>
        <v>858.96401454155148</v>
      </c>
      <c r="P91" s="214">
        <f>IF((monthly_mortgage_schedule[[#This Row],[Year (Range)]]&gt;=$C$7)*(monthly_mortgage_schedule[[#This Row],[Year (Range)]]&lt;=$C$9),AG91,NA())</f>
        <v>2285.2221426923593</v>
      </c>
      <c r="Q91" s="214">
        <f>IF((monthly_mortgage_schedule[[#This Row],[Year (Range)]]&gt;=$C$7)*(monthly_mortgage_schedule[[#This Row],[Year (Range)]]&lt;=$C$9),AH91,NA())</f>
        <v>814.8043527710488</v>
      </c>
      <c r="R91" s="214">
        <f>IF((monthly_mortgage_schedule[[#This Row],[Year (Range)]]&gt;=$C$7)*(monthly_mortgage_schedule[[#This Row],[Year (Range)]]&lt;=$C$9),AO91,NA())</f>
        <v>1006.9443268780142</v>
      </c>
      <c r="S91" s="214">
        <f>IF((monthly_mortgage_schedule[[#This Row],[Year (Range)]]&gt;=$C$7)*(monthly_mortgage_schedule[[#This Row],[Year (Range)]]&lt;=$C$9),AP91,NA())</f>
        <v>90</v>
      </c>
      <c r="T91" s="214">
        <f>IF((monthly_mortgage_schedule[[#This Row],[Year (Range)]]&gt;=$C$7)*(monthly_mortgage_schedule[[#This Row],[Year (Range)]]&lt;=$C$9),AR91,NA())</f>
        <v>1558.0157272642846</v>
      </c>
      <c r="U91" s="214">
        <f>IF((monthly_mortgage_schedule[[#This Row],[Year (Range)]]&gt;=$C$7)*(monthly_mortgage_schedule[[#This Row],[Year (Range)]]&lt;=$C$9),AB91,NA())</f>
        <v>60631.289531286413</v>
      </c>
      <c r="V91" s="214">
        <f>IF((monthly_mortgage_schedule[[#This Row],[Year (Range)]]&gt;=$C$7)*(monthly_mortgage_schedule[[#This Row],[Year (Range)]]&lt;=$C$9),AI91,NA())</f>
        <v>51124.345204408397</v>
      </c>
      <c r="W91" s="187">
        <f t="shared" si="10"/>
        <v>480227.67448325496</v>
      </c>
      <c r="X91" s="4">
        <f t="shared" si="13"/>
        <v>2241.0624809218566</v>
      </c>
      <c r="Y91" s="4">
        <f t="shared" si="11"/>
        <v>858.96401454155148</v>
      </c>
      <c r="Z91" s="4">
        <f>_xlfn.IFNA(INDEX(additional_mortgage_payments[],MATCH(monthly_mortgage_schedule[[#This Row],[Month]],additional_mortgage_payments[Month],0),3),0)</f>
        <v>0</v>
      </c>
      <c r="AA91" s="4">
        <f>AA90+monthly_mortgage_schedule[[#This Row],[Extra Payments Towards Equity]]</f>
        <v>8500</v>
      </c>
      <c r="AB91" s="4">
        <f>AB90+monthly_mortgage_schedule[[#This Row],[Principal With Extra Principal Payments]]+monthly_mortgage_schedule[[#This Row],[Extra Payments Towards Equity]]</f>
        <v>60631.289531286413</v>
      </c>
      <c r="AC91" s="4">
        <f>monthly_mortgage_schedule[[#This Row],[Cumulative Principal With Extra Principal Payments]]+down_payment_dollars</f>
        <v>120631.28953128641</v>
      </c>
      <c r="AD91" s="200">
        <f t="shared" si="8"/>
        <v>0</v>
      </c>
      <c r="AE9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479368.71046871343</v>
      </c>
      <c r="AF91" s="187">
        <f t="shared" si="14"/>
        <v>489690.45914836263</v>
      </c>
      <c r="AG91" s="4">
        <f>IF(monthly_mortgage_schedule[[#This Row],[Loan Balance (BOY) Without Extra Principal Payments]]&gt;0,monthly_mortgage_schedule[[#This Row],[Loan Balance (BOY) Without Extra Principal Payments]]*monthly_interest_rate,0)</f>
        <v>2285.2221426923593</v>
      </c>
      <c r="AH91" s="4">
        <f>IF(monthly_mortgage_schedule[[#This Row],[Loan Balance (BOY) Without Extra Principal Payments]]&gt;1,monthly_principal_and_interest-monthly_mortgage_schedule[[#This Row],[Interest Without Extra Principal Payments]],0)</f>
        <v>814.8043527710488</v>
      </c>
      <c r="AI91" s="4">
        <f>AI90+monthly_mortgage_schedule[[#This Row],[Principal Without Extra Principal Payments]]</f>
        <v>51124.345204408397</v>
      </c>
      <c r="AJ91" s="4">
        <f>monthly_mortgage_schedule[[#This Row],[Cumulative Principal Without Extra Principal Payments]]+down_payment_dollars</f>
        <v>111124.3452044084</v>
      </c>
      <c r="AK91" s="200">
        <f t="shared" si="9"/>
        <v>90</v>
      </c>
      <c r="AL9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488875.6547955916</v>
      </c>
      <c r="AN91" s="196">
        <f>monthly_mortgage_schedule[[#This Row],[Extra Payments Towards Equity]]+AN90+IF(monthly_mortgage_schedule[[#This Row],[Interest With Extra Principal Payments]]&gt;0,monthly_mortgage_schedule[[#This Row],[Interest Without Extra Principal Payments]]-monthly_mortgage_schedule[[#This Row],[Interest With Extra Principal Payments]],0)</f>
        <v>9506.944326878016</v>
      </c>
      <c r="AO91" s="4">
        <f>AO90+IF(monthly_mortgage_schedule[[#This Row],[Interest With Extra Principal Payments]]&gt;0,monthly_mortgage_schedule[[#This Row],[Interest Without Extra Principal Payments]]-monthly_mortgage_schedule[[#This Row],[Interest With Extra Principal Payments]],0)</f>
        <v>1006.9443268780142</v>
      </c>
      <c r="AP91" s="4">
        <f>AP90+monthly_mortgage_schedule[[#This Row],[PMI Without Extra Principal Payments]]-monthly_mortgage_schedule[[#This Row],[PMI with Additional Payments]]</f>
        <v>90</v>
      </c>
      <c r="AQ91" s="4">
        <f t="shared" si="12"/>
        <v>10058.015727264285</v>
      </c>
      <c r="AR91" s="4">
        <f>Table60[[#This Row],[Cumulative Investments]]-monthly_mortgage_schedule[[#This Row],[Cumulative Extra Payments Towards Equity]]</f>
        <v>1558.0157272642846</v>
      </c>
    </row>
    <row r="92" spans="9:44" x14ac:dyDescent="0.25">
      <c r="I92">
        <v>75</v>
      </c>
      <c r="J92">
        <f>IF(MOD(ROWS($J$18:J91),12)=0,J91+1,J91)</f>
        <v>2028</v>
      </c>
      <c r="K92" s="198">
        <f>IF(M92="#N/A",NA(),monthly_mortgage_schedule[[#This Row],[Month]])</f>
        <v>75</v>
      </c>
      <c r="L92" s="198">
        <f>IF(monthly_mortgage_schedule[[#This Row],[Calendar Year]]&gt;=$C$7,monthly_mortgage_schedule[[#This Row],[Calendar Year]],NA())</f>
        <v>2028</v>
      </c>
      <c r="M92" s="199">
        <f>IF((monthly_mortgage_schedule[[#This Row],[Calendar Year]]&gt;=$C$7)*(monthly_mortgage_schedule[[#This Row],[Calendar Year]]&lt;=$C$9),monthly_mortgage_schedule[[#This Row],[Begin Year (Range)]],NA())</f>
        <v>2028</v>
      </c>
      <c r="N92" s="214">
        <f>IF((monthly_mortgage_schedule[[#This Row],[Year (Range)]]&gt;=$C$7)*(monthly_mortgage_schedule[[#This Row],[Year (Range)]]&lt;=$C$9),X92,NA())</f>
        <v>2237.0539821873294</v>
      </c>
      <c r="O92" s="214">
        <f>IF((monthly_mortgage_schedule[[#This Row],[Year (Range)]]&gt;=$C$7)*(monthly_mortgage_schedule[[#This Row],[Year (Range)]]&lt;=$C$9),Y92,NA())</f>
        <v>862.97251327607864</v>
      </c>
      <c r="P92" s="214">
        <f>IF((monthly_mortgage_schedule[[#This Row],[Year (Range)]]&gt;=$C$7)*(monthly_mortgage_schedule[[#This Row],[Year (Range)]]&lt;=$C$9),AG92,NA())</f>
        <v>2281.4197223794276</v>
      </c>
      <c r="Q92" s="214">
        <f>IF((monthly_mortgage_schedule[[#This Row],[Year (Range)]]&gt;=$C$7)*(monthly_mortgage_schedule[[#This Row],[Year (Range)]]&lt;=$C$9),AH92,NA())</f>
        <v>818.60677308398044</v>
      </c>
      <c r="R92" s="214">
        <f>IF((monthly_mortgage_schedule[[#This Row],[Year (Range)]]&gt;=$C$7)*(monthly_mortgage_schedule[[#This Row],[Year (Range)]]&lt;=$C$9),AO92,NA())</f>
        <v>1051.3100670701124</v>
      </c>
      <c r="S92" s="214">
        <f>IF((monthly_mortgage_schedule[[#This Row],[Year (Range)]]&gt;=$C$7)*(monthly_mortgage_schedule[[#This Row],[Year (Range)]]&lt;=$C$9),AP92,NA())</f>
        <v>180</v>
      </c>
      <c r="T92" s="214">
        <f>IF((monthly_mortgage_schedule[[#This Row],[Year (Range)]]&gt;=$C$7)*(monthly_mortgage_schedule[[#This Row],[Year (Range)]]&lt;=$C$9),AR92,NA())</f>
        <v>1625.0691654460461</v>
      </c>
      <c r="U92" s="214">
        <f>IF((monthly_mortgage_schedule[[#This Row],[Year (Range)]]&gt;=$C$7)*(monthly_mortgage_schedule[[#This Row],[Year (Range)]]&lt;=$C$9),AB92,NA())</f>
        <v>61494.262044562493</v>
      </c>
      <c r="V92" s="214">
        <f>IF((monthly_mortgage_schedule[[#This Row],[Year (Range)]]&gt;=$C$7)*(monthly_mortgage_schedule[[#This Row],[Year (Range)]]&lt;=$C$9),AI92,NA())</f>
        <v>51942.951977492376</v>
      </c>
      <c r="W92" s="187">
        <f t="shared" si="10"/>
        <v>479368.71046871343</v>
      </c>
      <c r="X92" s="4">
        <f t="shared" si="13"/>
        <v>2237.0539821873294</v>
      </c>
      <c r="Y92" s="4">
        <f t="shared" si="11"/>
        <v>862.97251327607864</v>
      </c>
      <c r="Z92" s="4">
        <f>_xlfn.IFNA(INDEX(additional_mortgage_payments[],MATCH(monthly_mortgage_schedule[[#This Row],[Month]],additional_mortgage_payments[Month],0),3),0)</f>
        <v>0</v>
      </c>
      <c r="AA92" s="4">
        <f>AA91+monthly_mortgage_schedule[[#This Row],[Extra Payments Towards Equity]]</f>
        <v>8500</v>
      </c>
      <c r="AB92" s="4">
        <f>AB91+monthly_mortgage_schedule[[#This Row],[Principal With Extra Principal Payments]]+monthly_mortgage_schedule[[#This Row],[Extra Payments Towards Equity]]</f>
        <v>61494.262044562493</v>
      </c>
      <c r="AC92" s="4">
        <f>monthly_mortgage_schedule[[#This Row],[Cumulative Principal With Extra Principal Payments]]+down_payment_dollars</f>
        <v>121494.26204456249</v>
      </c>
      <c r="AD92" s="200">
        <f t="shared" si="8"/>
        <v>0</v>
      </c>
      <c r="AE9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478505.73795543733</v>
      </c>
      <c r="AF92" s="187">
        <f t="shared" si="14"/>
        <v>488875.6547955916</v>
      </c>
      <c r="AG92" s="4">
        <f>IF(monthly_mortgage_schedule[[#This Row],[Loan Balance (BOY) Without Extra Principal Payments]]&gt;0,monthly_mortgage_schedule[[#This Row],[Loan Balance (BOY) Without Extra Principal Payments]]*monthly_interest_rate,0)</f>
        <v>2281.4197223794276</v>
      </c>
      <c r="AH92" s="4">
        <f>IF(monthly_mortgage_schedule[[#This Row],[Loan Balance (BOY) Without Extra Principal Payments]]&gt;1,monthly_principal_and_interest-monthly_mortgage_schedule[[#This Row],[Interest Without Extra Principal Payments]],0)</f>
        <v>818.60677308398044</v>
      </c>
      <c r="AI92" s="4">
        <f>AI91+monthly_mortgage_schedule[[#This Row],[Principal Without Extra Principal Payments]]</f>
        <v>51942.951977492376</v>
      </c>
      <c r="AJ92" s="4">
        <f>monthly_mortgage_schedule[[#This Row],[Cumulative Principal Without Extra Principal Payments]]+down_payment_dollars</f>
        <v>111942.95197749237</v>
      </c>
      <c r="AK92" s="200">
        <f t="shared" si="9"/>
        <v>90</v>
      </c>
      <c r="AL9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488057.04802250763</v>
      </c>
      <c r="AN92" s="196">
        <f>monthly_mortgage_schedule[[#This Row],[Extra Payments Towards Equity]]+AN91+IF(monthly_mortgage_schedule[[#This Row],[Interest With Extra Principal Payments]]&gt;0,monthly_mortgage_schedule[[#This Row],[Interest Without Extra Principal Payments]]-monthly_mortgage_schedule[[#This Row],[Interest With Extra Principal Payments]],0)</f>
        <v>9551.3100670701133</v>
      </c>
      <c r="AO92" s="4">
        <f>AO91+IF(monthly_mortgage_schedule[[#This Row],[Interest With Extra Principal Payments]]&gt;0,monthly_mortgage_schedule[[#This Row],[Interest Without Extra Principal Payments]]-monthly_mortgage_schedule[[#This Row],[Interest With Extra Principal Payments]],0)</f>
        <v>1051.3100670701124</v>
      </c>
      <c r="AP92" s="4">
        <f>AP91+monthly_mortgage_schedule[[#This Row],[PMI Without Extra Principal Payments]]-monthly_mortgage_schedule[[#This Row],[PMI with Additional Payments]]</f>
        <v>180</v>
      </c>
      <c r="AQ92" s="4">
        <f t="shared" si="12"/>
        <v>10125.069165446046</v>
      </c>
      <c r="AR92" s="4">
        <f>Table60[[#This Row],[Cumulative Investments]]-monthly_mortgage_schedule[[#This Row],[Cumulative Extra Payments Towards Equity]]</f>
        <v>1625.0691654460461</v>
      </c>
    </row>
    <row r="93" spans="9:44" x14ac:dyDescent="0.25">
      <c r="I93">
        <v>76</v>
      </c>
      <c r="J93">
        <f>IF(MOD(ROWS($J$18:J92),12)=0,J92+1,J92)</f>
        <v>2028</v>
      </c>
      <c r="K93" s="198">
        <f>IF(M93="#N/A",NA(),monthly_mortgage_schedule[[#This Row],[Month]])</f>
        <v>76</v>
      </c>
      <c r="L93" s="198">
        <f>IF(monthly_mortgage_schedule[[#This Row],[Calendar Year]]&gt;=$C$7,monthly_mortgage_schedule[[#This Row],[Calendar Year]],NA())</f>
        <v>2028</v>
      </c>
      <c r="M93" s="199">
        <f>IF((monthly_mortgage_schedule[[#This Row],[Calendar Year]]&gt;=$C$7)*(monthly_mortgage_schedule[[#This Row],[Calendar Year]]&lt;=$C$9),monthly_mortgage_schedule[[#This Row],[Begin Year (Range)]],NA())</f>
        <v>2028</v>
      </c>
      <c r="N93" s="214">
        <f>IF((monthly_mortgage_schedule[[#This Row],[Year (Range)]]&gt;=$C$7)*(monthly_mortgage_schedule[[#This Row],[Year (Range)]]&lt;=$C$9),X93,NA())</f>
        <v>2233.0267771253743</v>
      </c>
      <c r="O93" s="214">
        <f>IF((monthly_mortgage_schedule[[#This Row],[Year (Range)]]&gt;=$C$7)*(monthly_mortgage_schedule[[#This Row],[Year (Range)]]&lt;=$C$9),Y93,NA())</f>
        <v>866.99971833803374</v>
      </c>
      <c r="P93" s="214">
        <f>IF((monthly_mortgage_schedule[[#This Row],[Year (Range)]]&gt;=$C$7)*(monthly_mortgage_schedule[[#This Row],[Year (Range)]]&lt;=$C$9),AG93,NA())</f>
        <v>2277.5995574383692</v>
      </c>
      <c r="Q93" s="214">
        <f>IF((monthly_mortgage_schedule[[#This Row],[Year (Range)]]&gt;=$C$7)*(monthly_mortgage_schedule[[#This Row],[Year (Range)]]&lt;=$C$9),AH93,NA())</f>
        <v>822.42693802503891</v>
      </c>
      <c r="R93" s="214">
        <f>IF((monthly_mortgage_schedule[[#This Row],[Year (Range)]]&gt;=$C$7)*(monthly_mortgage_schedule[[#This Row],[Year (Range)]]&lt;=$C$9),AO93,NA())</f>
        <v>1095.8828473831072</v>
      </c>
      <c r="S93" s="214">
        <f>IF((monthly_mortgage_schedule[[#This Row],[Year (Range)]]&gt;=$C$7)*(monthly_mortgage_schedule[[#This Row],[Year (Range)]]&lt;=$C$9),AP93,NA())</f>
        <v>270</v>
      </c>
      <c r="T93" s="214">
        <f>IF((monthly_mortgage_schedule[[#This Row],[Year (Range)]]&gt;=$C$7)*(monthly_mortgage_schedule[[#This Row],[Year (Range)]]&lt;=$C$9),AR93,NA())</f>
        <v>1692.5696265490187</v>
      </c>
      <c r="U93" s="214">
        <f>IF((monthly_mortgage_schedule[[#This Row],[Year (Range)]]&gt;=$C$7)*(monthly_mortgage_schedule[[#This Row],[Year (Range)]]&lt;=$C$9),AB93,NA())</f>
        <v>62361.261762900525</v>
      </c>
      <c r="V93" s="214">
        <f>IF((monthly_mortgage_schedule[[#This Row],[Year (Range)]]&gt;=$C$7)*(monthly_mortgage_schedule[[#This Row],[Year (Range)]]&lt;=$C$9),AI93,NA())</f>
        <v>52765.378915517416</v>
      </c>
      <c r="W93" s="187">
        <f t="shared" si="10"/>
        <v>478505.73795543733</v>
      </c>
      <c r="X93" s="4">
        <f t="shared" si="13"/>
        <v>2233.0267771253743</v>
      </c>
      <c r="Y93" s="4">
        <f t="shared" si="11"/>
        <v>866.99971833803374</v>
      </c>
      <c r="Z93" s="4">
        <f>_xlfn.IFNA(INDEX(additional_mortgage_payments[],MATCH(monthly_mortgage_schedule[[#This Row],[Month]],additional_mortgage_payments[Month],0),3),0)</f>
        <v>0</v>
      </c>
      <c r="AA93" s="4">
        <f>AA92+monthly_mortgage_schedule[[#This Row],[Extra Payments Towards Equity]]</f>
        <v>8500</v>
      </c>
      <c r="AB93" s="4">
        <f>AB92+monthly_mortgage_schedule[[#This Row],[Principal With Extra Principal Payments]]+monthly_mortgage_schedule[[#This Row],[Extra Payments Towards Equity]]</f>
        <v>62361.261762900525</v>
      </c>
      <c r="AC93" s="4">
        <f>monthly_mortgage_schedule[[#This Row],[Cumulative Principal With Extra Principal Payments]]+down_payment_dollars</f>
        <v>122361.26176290053</v>
      </c>
      <c r="AD93" s="200">
        <f t="shared" si="8"/>
        <v>0</v>
      </c>
      <c r="AE9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477638.73823709931</v>
      </c>
      <c r="AF93" s="187">
        <f t="shared" si="14"/>
        <v>488057.04802250763</v>
      </c>
      <c r="AG93" s="4">
        <f>IF(monthly_mortgage_schedule[[#This Row],[Loan Balance (BOY) Without Extra Principal Payments]]&gt;0,monthly_mortgage_schedule[[#This Row],[Loan Balance (BOY) Without Extra Principal Payments]]*monthly_interest_rate,0)</f>
        <v>2277.5995574383692</v>
      </c>
      <c r="AH93" s="4">
        <f>IF(monthly_mortgage_schedule[[#This Row],[Loan Balance (BOY) Without Extra Principal Payments]]&gt;1,monthly_principal_and_interest-monthly_mortgage_schedule[[#This Row],[Interest Without Extra Principal Payments]],0)</f>
        <v>822.42693802503891</v>
      </c>
      <c r="AI93" s="4">
        <f>AI92+monthly_mortgage_schedule[[#This Row],[Principal Without Extra Principal Payments]]</f>
        <v>52765.378915517416</v>
      </c>
      <c r="AJ93" s="4">
        <f>monthly_mortgage_schedule[[#This Row],[Cumulative Principal Without Extra Principal Payments]]+down_payment_dollars</f>
        <v>112765.37891551742</v>
      </c>
      <c r="AK93" s="200">
        <f t="shared" si="9"/>
        <v>90</v>
      </c>
      <c r="AL9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487234.62108448258</v>
      </c>
      <c r="AN93" s="196">
        <f>monthly_mortgage_schedule[[#This Row],[Extra Payments Towards Equity]]+AN92+IF(monthly_mortgage_schedule[[#This Row],[Interest With Extra Principal Payments]]&gt;0,monthly_mortgage_schedule[[#This Row],[Interest Without Extra Principal Payments]]-monthly_mortgage_schedule[[#This Row],[Interest With Extra Principal Payments]],0)</f>
        <v>9595.882847383109</v>
      </c>
      <c r="AO93" s="4">
        <f>AO92+IF(monthly_mortgage_schedule[[#This Row],[Interest With Extra Principal Payments]]&gt;0,monthly_mortgage_schedule[[#This Row],[Interest Without Extra Principal Payments]]-monthly_mortgage_schedule[[#This Row],[Interest With Extra Principal Payments]],0)</f>
        <v>1095.8828473831072</v>
      </c>
      <c r="AP93" s="4">
        <f>AP92+monthly_mortgage_schedule[[#This Row],[PMI Without Extra Principal Payments]]-monthly_mortgage_schedule[[#This Row],[PMI with Additional Payments]]</f>
        <v>270</v>
      </c>
      <c r="AQ93" s="4">
        <f t="shared" si="12"/>
        <v>10192.569626549019</v>
      </c>
      <c r="AR93" s="4">
        <f>Table60[[#This Row],[Cumulative Investments]]-monthly_mortgage_schedule[[#This Row],[Cumulative Extra Payments Towards Equity]]</f>
        <v>1692.5696265490187</v>
      </c>
    </row>
    <row r="94" spans="9:44" x14ac:dyDescent="0.25">
      <c r="I94">
        <v>77</v>
      </c>
      <c r="J94">
        <f>IF(MOD(ROWS($J$18:J93),12)=0,J93+1,J93)</f>
        <v>2028</v>
      </c>
      <c r="K94" s="198">
        <f>IF(M94="#N/A",NA(),monthly_mortgage_schedule[[#This Row],[Month]])</f>
        <v>77</v>
      </c>
      <c r="L94" s="198">
        <f>IF(monthly_mortgage_schedule[[#This Row],[Calendar Year]]&gt;=$C$7,monthly_mortgage_schedule[[#This Row],[Calendar Year]],NA())</f>
        <v>2028</v>
      </c>
      <c r="M94" s="199">
        <f>IF((monthly_mortgage_schedule[[#This Row],[Calendar Year]]&gt;=$C$7)*(monthly_mortgage_schedule[[#This Row],[Calendar Year]]&lt;=$C$9),monthly_mortgage_schedule[[#This Row],[Begin Year (Range)]],NA())</f>
        <v>2028</v>
      </c>
      <c r="N94" s="214">
        <f>IF((monthly_mortgage_schedule[[#This Row],[Year (Range)]]&gt;=$C$7)*(monthly_mortgage_schedule[[#This Row],[Year (Range)]]&lt;=$C$9),X94,NA())</f>
        <v>2228.9807784397972</v>
      </c>
      <c r="O94" s="214">
        <f>IF((monthly_mortgage_schedule[[#This Row],[Year (Range)]]&gt;=$C$7)*(monthly_mortgage_schedule[[#This Row],[Year (Range)]]&lt;=$C$9),Y94,NA())</f>
        <v>871.04571702361091</v>
      </c>
      <c r="P94" s="214">
        <f>IF((monthly_mortgage_schedule[[#This Row],[Year (Range)]]&gt;=$C$7)*(monthly_mortgage_schedule[[#This Row],[Year (Range)]]&lt;=$C$9),AG94,NA())</f>
        <v>2273.7615650609191</v>
      </c>
      <c r="Q94" s="214">
        <f>IF((monthly_mortgage_schedule[[#This Row],[Year (Range)]]&gt;=$C$7)*(monthly_mortgage_schedule[[#This Row],[Year (Range)]]&lt;=$C$9),AH94,NA())</f>
        <v>826.26493040248897</v>
      </c>
      <c r="R94" s="214">
        <f>IF((monthly_mortgage_schedule[[#This Row],[Year (Range)]]&gt;=$C$7)*(monthly_mortgage_schedule[[#This Row],[Year (Range)]]&lt;=$C$9),AO94,NA())</f>
        <v>1140.6636340042292</v>
      </c>
      <c r="S94" s="214">
        <f>IF((monthly_mortgage_schedule[[#This Row],[Year (Range)]]&gt;=$C$7)*(monthly_mortgage_schedule[[#This Row],[Year (Range)]]&lt;=$C$9),AP94,NA())</f>
        <v>360</v>
      </c>
      <c r="T94" s="214">
        <f>IF((monthly_mortgage_schedule[[#This Row],[Year (Range)]]&gt;=$C$7)*(monthly_mortgage_schedule[[#This Row],[Year (Range)]]&lt;=$C$9),AR94,NA())</f>
        <v>1760.5200907260114</v>
      </c>
      <c r="U94" s="214">
        <f>IF((monthly_mortgage_schedule[[#This Row],[Year (Range)]]&gt;=$C$7)*(monthly_mortgage_schedule[[#This Row],[Year (Range)]]&lt;=$C$9),AB94,NA())</f>
        <v>63232.307479924137</v>
      </c>
      <c r="V94" s="214">
        <f>IF((monthly_mortgage_schedule[[#This Row],[Year (Range)]]&gt;=$C$7)*(monthly_mortgage_schedule[[#This Row],[Year (Range)]]&lt;=$C$9),AI94,NA())</f>
        <v>53591.643845919905</v>
      </c>
      <c r="W94" s="187">
        <f t="shared" si="10"/>
        <v>477638.73823709931</v>
      </c>
      <c r="X94" s="4">
        <f t="shared" si="13"/>
        <v>2228.9807784397972</v>
      </c>
      <c r="Y94" s="4">
        <f t="shared" si="11"/>
        <v>871.04571702361091</v>
      </c>
      <c r="Z94" s="4">
        <f>_xlfn.IFNA(INDEX(additional_mortgage_payments[],MATCH(monthly_mortgage_schedule[[#This Row],[Month]],additional_mortgage_payments[Month],0),3),0)</f>
        <v>0</v>
      </c>
      <c r="AA94" s="4">
        <f>AA93+monthly_mortgage_schedule[[#This Row],[Extra Payments Towards Equity]]</f>
        <v>8500</v>
      </c>
      <c r="AB94" s="4">
        <f>AB93+monthly_mortgage_schedule[[#This Row],[Principal With Extra Principal Payments]]+monthly_mortgage_schedule[[#This Row],[Extra Payments Towards Equity]]</f>
        <v>63232.307479924137</v>
      </c>
      <c r="AC94" s="4">
        <f>monthly_mortgage_schedule[[#This Row],[Cumulative Principal With Extra Principal Payments]]+down_payment_dollars</f>
        <v>123232.30747992414</v>
      </c>
      <c r="AD94" s="200">
        <f t="shared" si="8"/>
        <v>0</v>
      </c>
      <c r="AE9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476767.69252007571</v>
      </c>
      <c r="AF94" s="187">
        <f t="shared" si="14"/>
        <v>487234.62108448258</v>
      </c>
      <c r="AG94" s="4">
        <f>IF(monthly_mortgage_schedule[[#This Row],[Loan Balance (BOY) Without Extra Principal Payments]]&gt;0,monthly_mortgage_schedule[[#This Row],[Loan Balance (BOY) Without Extra Principal Payments]]*monthly_interest_rate,0)</f>
        <v>2273.7615650609191</v>
      </c>
      <c r="AH94" s="4">
        <f>IF(monthly_mortgage_schedule[[#This Row],[Loan Balance (BOY) Without Extra Principal Payments]]&gt;1,monthly_principal_and_interest-monthly_mortgage_schedule[[#This Row],[Interest Without Extra Principal Payments]],0)</f>
        <v>826.26493040248897</v>
      </c>
      <c r="AI94" s="4">
        <f>AI93+monthly_mortgage_schedule[[#This Row],[Principal Without Extra Principal Payments]]</f>
        <v>53591.643845919905</v>
      </c>
      <c r="AJ94" s="4">
        <f>monthly_mortgage_schedule[[#This Row],[Cumulative Principal Without Extra Principal Payments]]+down_payment_dollars</f>
        <v>113591.6438459199</v>
      </c>
      <c r="AK94" s="200">
        <f t="shared" si="9"/>
        <v>90</v>
      </c>
      <c r="AL9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486408.35615408007</v>
      </c>
      <c r="AN94" s="196">
        <f>monthly_mortgage_schedule[[#This Row],[Extra Payments Towards Equity]]+AN93+IF(monthly_mortgage_schedule[[#This Row],[Interest With Extra Principal Payments]]&gt;0,monthly_mortgage_schedule[[#This Row],[Interest Without Extra Principal Payments]]-monthly_mortgage_schedule[[#This Row],[Interest With Extra Principal Payments]],0)</f>
        <v>9640.6636340042314</v>
      </c>
      <c r="AO94" s="4">
        <f>AO93+IF(monthly_mortgage_schedule[[#This Row],[Interest With Extra Principal Payments]]&gt;0,monthly_mortgage_schedule[[#This Row],[Interest Without Extra Principal Payments]]-monthly_mortgage_schedule[[#This Row],[Interest With Extra Principal Payments]],0)</f>
        <v>1140.6636340042292</v>
      </c>
      <c r="AP94" s="4">
        <f>AP93+monthly_mortgage_schedule[[#This Row],[PMI Without Extra Principal Payments]]-monthly_mortgage_schedule[[#This Row],[PMI with Additional Payments]]</f>
        <v>360</v>
      </c>
      <c r="AQ94" s="4">
        <f t="shared" si="12"/>
        <v>10260.520090726011</v>
      </c>
      <c r="AR94" s="4">
        <f>Table60[[#This Row],[Cumulative Investments]]-monthly_mortgage_schedule[[#This Row],[Cumulative Extra Payments Towards Equity]]</f>
        <v>1760.5200907260114</v>
      </c>
    </row>
    <row r="95" spans="9:44" x14ac:dyDescent="0.25">
      <c r="I95">
        <v>78</v>
      </c>
      <c r="J95">
        <f>IF(MOD(ROWS($J$18:J94),12)=0,J94+1,J94)</f>
        <v>2028</v>
      </c>
      <c r="K95" s="198">
        <f>IF(M95="#N/A",NA(),monthly_mortgage_schedule[[#This Row],[Month]])</f>
        <v>78</v>
      </c>
      <c r="L95" s="198">
        <f>IF(monthly_mortgage_schedule[[#This Row],[Calendar Year]]&gt;=$C$7,monthly_mortgage_schedule[[#This Row],[Calendar Year]],NA())</f>
        <v>2028</v>
      </c>
      <c r="M95" s="199">
        <f>IF((monthly_mortgage_schedule[[#This Row],[Calendar Year]]&gt;=$C$7)*(monthly_mortgage_schedule[[#This Row],[Calendar Year]]&lt;=$C$9),monthly_mortgage_schedule[[#This Row],[Begin Year (Range)]],NA())</f>
        <v>2028</v>
      </c>
      <c r="N95" s="214">
        <f>IF((monthly_mortgage_schedule[[#This Row],[Year (Range)]]&gt;=$C$7)*(monthly_mortgage_schedule[[#This Row],[Year (Range)]]&lt;=$C$9),X95,NA())</f>
        <v>2224.9158984270202</v>
      </c>
      <c r="O95" s="214">
        <f>IF((monthly_mortgage_schedule[[#This Row],[Year (Range)]]&gt;=$C$7)*(monthly_mortgage_schedule[[#This Row],[Year (Range)]]&lt;=$C$9),Y95,NA())</f>
        <v>875.11059703638784</v>
      </c>
      <c r="P95" s="214">
        <f>IF((monthly_mortgage_schedule[[#This Row],[Year (Range)]]&gt;=$C$7)*(monthly_mortgage_schedule[[#This Row],[Year (Range)]]&lt;=$C$9),AG95,NA())</f>
        <v>2269.9056620523738</v>
      </c>
      <c r="Q95" s="214">
        <f>IF((monthly_mortgage_schedule[[#This Row],[Year (Range)]]&gt;=$C$7)*(monthly_mortgage_schedule[[#This Row],[Year (Range)]]&lt;=$C$9),AH95,NA())</f>
        <v>830.12083341103425</v>
      </c>
      <c r="R95" s="214">
        <f>IF((monthly_mortgage_schedule[[#This Row],[Year (Range)]]&gt;=$C$7)*(monthly_mortgage_schedule[[#This Row],[Year (Range)]]&lt;=$C$9),AO95,NA())</f>
        <v>1185.6533976295827</v>
      </c>
      <c r="S95" s="214">
        <f>IF((monthly_mortgage_schedule[[#This Row],[Year (Range)]]&gt;=$C$7)*(monthly_mortgage_schedule[[#This Row],[Year (Range)]]&lt;=$C$9),AP95,NA())</f>
        <v>450</v>
      </c>
      <c r="T95" s="214">
        <f>IF((monthly_mortgage_schedule[[#This Row],[Year (Range)]]&gt;=$C$7)*(monthly_mortgage_schedule[[#This Row],[Year (Range)]]&lt;=$C$9),AR95,NA())</f>
        <v>1828.9235579975175</v>
      </c>
      <c r="U95" s="214">
        <f>IF((monthly_mortgage_schedule[[#This Row],[Year (Range)]]&gt;=$C$7)*(monthly_mortgage_schedule[[#This Row],[Year (Range)]]&lt;=$C$9),AB95,NA())</f>
        <v>64107.418076960523</v>
      </c>
      <c r="V95" s="214">
        <f>IF((monthly_mortgage_schedule[[#This Row],[Year (Range)]]&gt;=$C$7)*(monthly_mortgage_schedule[[#This Row],[Year (Range)]]&lt;=$C$9),AI95,NA())</f>
        <v>54421.76467933094</v>
      </c>
      <c r="W95" s="187">
        <f t="shared" si="10"/>
        <v>476767.69252007571</v>
      </c>
      <c r="X95" s="4">
        <f t="shared" si="13"/>
        <v>2224.9158984270202</v>
      </c>
      <c r="Y95" s="4">
        <f t="shared" si="11"/>
        <v>875.11059703638784</v>
      </c>
      <c r="Z95" s="4">
        <f>_xlfn.IFNA(INDEX(additional_mortgage_payments[],MATCH(monthly_mortgage_schedule[[#This Row],[Month]],additional_mortgage_payments[Month],0),3),0)</f>
        <v>0</v>
      </c>
      <c r="AA95" s="4">
        <f>AA94+monthly_mortgage_schedule[[#This Row],[Extra Payments Towards Equity]]</f>
        <v>8500</v>
      </c>
      <c r="AB95" s="4">
        <f>AB94+monthly_mortgage_schedule[[#This Row],[Principal With Extra Principal Payments]]+monthly_mortgage_schedule[[#This Row],[Extra Payments Towards Equity]]</f>
        <v>64107.418076960523</v>
      </c>
      <c r="AC95" s="4">
        <f>monthly_mortgage_schedule[[#This Row],[Cumulative Principal With Extra Principal Payments]]+down_payment_dollars</f>
        <v>124107.41807696052</v>
      </c>
      <c r="AD95" s="200">
        <f t="shared" si="8"/>
        <v>0</v>
      </c>
      <c r="AE9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475892.58192303934</v>
      </c>
      <c r="AF95" s="187">
        <f t="shared" si="14"/>
        <v>486408.35615408007</v>
      </c>
      <c r="AG95" s="4">
        <f>IF(monthly_mortgage_schedule[[#This Row],[Loan Balance (BOY) Without Extra Principal Payments]]&gt;0,monthly_mortgage_schedule[[#This Row],[Loan Balance (BOY) Without Extra Principal Payments]]*monthly_interest_rate,0)</f>
        <v>2269.9056620523738</v>
      </c>
      <c r="AH95" s="4">
        <f>IF(monthly_mortgage_schedule[[#This Row],[Loan Balance (BOY) Without Extra Principal Payments]]&gt;1,monthly_principal_and_interest-monthly_mortgage_schedule[[#This Row],[Interest Without Extra Principal Payments]],0)</f>
        <v>830.12083341103425</v>
      </c>
      <c r="AI95" s="4">
        <f>AI94+monthly_mortgage_schedule[[#This Row],[Principal Without Extra Principal Payments]]</f>
        <v>54421.76467933094</v>
      </c>
      <c r="AJ95" s="4">
        <f>monthly_mortgage_schedule[[#This Row],[Cumulative Principal Without Extra Principal Payments]]+down_payment_dollars</f>
        <v>114421.76467933094</v>
      </c>
      <c r="AK95" s="200">
        <f t="shared" si="9"/>
        <v>90</v>
      </c>
      <c r="AL9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485578.23532066902</v>
      </c>
      <c r="AN95" s="196">
        <f>monthly_mortgage_schedule[[#This Row],[Extra Payments Towards Equity]]+AN94+IF(monthly_mortgage_schedule[[#This Row],[Interest With Extra Principal Payments]]&gt;0,monthly_mortgage_schedule[[#This Row],[Interest Without Extra Principal Payments]]-monthly_mortgage_schedule[[#This Row],[Interest With Extra Principal Payments]],0)</f>
        <v>9685.653397629585</v>
      </c>
      <c r="AO95" s="4">
        <f>AO94+IF(monthly_mortgage_schedule[[#This Row],[Interest With Extra Principal Payments]]&gt;0,monthly_mortgage_schedule[[#This Row],[Interest Without Extra Principal Payments]]-monthly_mortgage_schedule[[#This Row],[Interest With Extra Principal Payments]],0)</f>
        <v>1185.6533976295827</v>
      </c>
      <c r="AP95" s="4">
        <f>AP94+monthly_mortgage_schedule[[#This Row],[PMI Without Extra Principal Payments]]-monthly_mortgage_schedule[[#This Row],[PMI with Additional Payments]]</f>
        <v>450</v>
      </c>
      <c r="AQ95" s="4">
        <f t="shared" si="12"/>
        <v>10328.923557997517</v>
      </c>
      <c r="AR95" s="4">
        <f>Table60[[#This Row],[Cumulative Investments]]-monthly_mortgage_schedule[[#This Row],[Cumulative Extra Payments Towards Equity]]</f>
        <v>1828.9235579975175</v>
      </c>
    </row>
    <row r="96" spans="9:44" x14ac:dyDescent="0.25">
      <c r="I96">
        <v>79</v>
      </c>
      <c r="J96">
        <f>IF(MOD(ROWS($J$18:J95),12)=0,J95+1,J95)</f>
        <v>2028</v>
      </c>
      <c r="K96" s="198">
        <f>IF(M96="#N/A",NA(),monthly_mortgage_schedule[[#This Row],[Month]])</f>
        <v>79</v>
      </c>
      <c r="L96" s="198">
        <f>IF(monthly_mortgage_schedule[[#This Row],[Calendar Year]]&gt;=$C$7,monthly_mortgage_schedule[[#This Row],[Calendar Year]],NA())</f>
        <v>2028</v>
      </c>
      <c r="M96" s="199">
        <f>IF((monthly_mortgage_schedule[[#This Row],[Calendar Year]]&gt;=$C$7)*(monthly_mortgage_schedule[[#This Row],[Calendar Year]]&lt;=$C$9),monthly_mortgage_schedule[[#This Row],[Begin Year (Range)]],NA())</f>
        <v>2028</v>
      </c>
      <c r="N96" s="214">
        <f>IF((monthly_mortgage_schedule[[#This Row],[Year (Range)]]&gt;=$C$7)*(monthly_mortgage_schedule[[#This Row],[Year (Range)]]&lt;=$C$9),X96,NA())</f>
        <v>2220.8320489741836</v>
      </c>
      <c r="O96" s="214">
        <f>IF((monthly_mortgage_schedule[[#This Row],[Year (Range)]]&gt;=$C$7)*(monthly_mortgage_schedule[[#This Row],[Year (Range)]]&lt;=$C$9),Y96,NA())</f>
        <v>879.19444648922445</v>
      </c>
      <c r="P96" s="214">
        <f>IF((monthly_mortgage_schedule[[#This Row],[Year (Range)]]&gt;=$C$7)*(monthly_mortgage_schedule[[#This Row],[Year (Range)]]&lt;=$C$9),AG96,NA())</f>
        <v>2266.0317648297892</v>
      </c>
      <c r="Q96" s="214">
        <f>IF((monthly_mortgage_schedule[[#This Row],[Year (Range)]]&gt;=$C$7)*(monthly_mortgage_schedule[[#This Row],[Year (Range)]]&lt;=$C$9),AH96,NA())</f>
        <v>833.99473063361893</v>
      </c>
      <c r="R96" s="214">
        <f>IF((monthly_mortgage_schedule[[#This Row],[Year (Range)]]&gt;=$C$7)*(monthly_mortgage_schedule[[#This Row],[Year (Range)]]&lt;=$C$9),AO96,NA())</f>
        <v>1230.8531134851883</v>
      </c>
      <c r="S96" s="214">
        <f>IF((monthly_mortgage_schedule[[#This Row],[Year (Range)]]&gt;=$C$7)*(monthly_mortgage_schedule[[#This Row],[Year (Range)]]&lt;=$C$9),AP96,NA())</f>
        <v>540</v>
      </c>
      <c r="T96" s="214">
        <f>IF((monthly_mortgage_schedule[[#This Row],[Year (Range)]]&gt;=$C$7)*(monthly_mortgage_schedule[[#This Row],[Year (Range)]]&lt;=$C$9),AR96,NA())</f>
        <v>1897.7830483841662</v>
      </c>
      <c r="U96" s="214">
        <f>IF((monthly_mortgage_schedule[[#This Row],[Year (Range)]]&gt;=$C$7)*(monthly_mortgage_schedule[[#This Row],[Year (Range)]]&lt;=$C$9),AB96,NA())</f>
        <v>64986.612523449745</v>
      </c>
      <c r="V96" s="214">
        <f>IF((monthly_mortgage_schedule[[#This Row],[Year (Range)]]&gt;=$C$7)*(monthly_mortgage_schedule[[#This Row],[Year (Range)]]&lt;=$C$9),AI96,NA())</f>
        <v>55255.759409964558</v>
      </c>
      <c r="W96" s="187">
        <f t="shared" si="10"/>
        <v>475892.58192303934</v>
      </c>
      <c r="X96" s="4">
        <f t="shared" si="13"/>
        <v>2220.8320489741836</v>
      </c>
      <c r="Y96" s="4">
        <f t="shared" si="11"/>
        <v>879.19444648922445</v>
      </c>
      <c r="Z96" s="4">
        <f>_xlfn.IFNA(INDEX(additional_mortgage_payments[],MATCH(monthly_mortgage_schedule[[#This Row],[Month]],additional_mortgage_payments[Month],0),3),0)</f>
        <v>0</v>
      </c>
      <c r="AA96" s="4">
        <f>AA95+monthly_mortgage_schedule[[#This Row],[Extra Payments Towards Equity]]</f>
        <v>8500</v>
      </c>
      <c r="AB96" s="4">
        <f>AB95+monthly_mortgage_schedule[[#This Row],[Principal With Extra Principal Payments]]+monthly_mortgage_schedule[[#This Row],[Extra Payments Towards Equity]]</f>
        <v>64986.612523449745</v>
      </c>
      <c r="AC96" s="4">
        <f>monthly_mortgage_schedule[[#This Row],[Cumulative Principal With Extra Principal Payments]]+down_payment_dollars</f>
        <v>124986.61252344974</v>
      </c>
      <c r="AD96" s="200">
        <f t="shared" si="8"/>
        <v>0</v>
      </c>
      <c r="AE9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475013.38747655012</v>
      </c>
      <c r="AF96" s="187">
        <f t="shared" si="14"/>
        <v>485578.23532066902</v>
      </c>
      <c r="AG96" s="4">
        <f>IF(monthly_mortgage_schedule[[#This Row],[Loan Balance (BOY) Without Extra Principal Payments]]&gt;0,monthly_mortgage_schedule[[#This Row],[Loan Balance (BOY) Without Extra Principal Payments]]*monthly_interest_rate,0)</f>
        <v>2266.0317648297892</v>
      </c>
      <c r="AH96" s="4">
        <f>IF(monthly_mortgage_schedule[[#This Row],[Loan Balance (BOY) Without Extra Principal Payments]]&gt;1,monthly_principal_and_interest-monthly_mortgage_schedule[[#This Row],[Interest Without Extra Principal Payments]],0)</f>
        <v>833.99473063361893</v>
      </c>
      <c r="AI96" s="4">
        <f>AI95+monthly_mortgage_schedule[[#This Row],[Principal Without Extra Principal Payments]]</f>
        <v>55255.759409964558</v>
      </c>
      <c r="AJ96" s="4">
        <f>monthly_mortgage_schedule[[#This Row],[Cumulative Principal Without Extra Principal Payments]]+down_payment_dollars</f>
        <v>115255.75940996455</v>
      </c>
      <c r="AK96" s="200">
        <f t="shared" si="9"/>
        <v>90</v>
      </c>
      <c r="AL9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484744.24059003539</v>
      </c>
      <c r="AN96" s="196">
        <f>monthly_mortgage_schedule[[#This Row],[Extra Payments Towards Equity]]+AN95+IF(monthly_mortgage_schedule[[#This Row],[Interest With Extra Principal Payments]]&gt;0,monthly_mortgage_schedule[[#This Row],[Interest Without Extra Principal Payments]]-monthly_mortgage_schedule[[#This Row],[Interest With Extra Principal Payments]],0)</f>
        <v>9730.853113485191</v>
      </c>
      <c r="AO96" s="4">
        <f>AO95+IF(monthly_mortgage_schedule[[#This Row],[Interest With Extra Principal Payments]]&gt;0,monthly_mortgage_schedule[[#This Row],[Interest Without Extra Principal Payments]]-monthly_mortgage_schedule[[#This Row],[Interest With Extra Principal Payments]],0)</f>
        <v>1230.8531134851883</v>
      </c>
      <c r="AP96" s="4">
        <f>AP95+monthly_mortgage_schedule[[#This Row],[PMI Without Extra Principal Payments]]-monthly_mortgage_schedule[[#This Row],[PMI with Additional Payments]]</f>
        <v>540</v>
      </c>
      <c r="AQ96" s="4">
        <f t="shared" si="12"/>
        <v>10397.783048384166</v>
      </c>
      <c r="AR96" s="4">
        <f>Table60[[#This Row],[Cumulative Investments]]-monthly_mortgage_schedule[[#This Row],[Cumulative Extra Payments Towards Equity]]</f>
        <v>1897.7830483841662</v>
      </c>
    </row>
    <row r="97" spans="9:44" x14ac:dyDescent="0.25">
      <c r="I97">
        <v>80</v>
      </c>
      <c r="J97">
        <f>IF(MOD(ROWS($J$18:J96),12)=0,J96+1,J96)</f>
        <v>2028</v>
      </c>
      <c r="K97" s="198">
        <f>IF(M97="#N/A",NA(),monthly_mortgage_schedule[[#This Row],[Month]])</f>
        <v>80</v>
      </c>
      <c r="L97" s="198">
        <f>IF(monthly_mortgage_schedule[[#This Row],[Calendar Year]]&gt;=$C$7,monthly_mortgage_schedule[[#This Row],[Calendar Year]],NA())</f>
        <v>2028</v>
      </c>
      <c r="M97" s="199">
        <f>IF((monthly_mortgage_schedule[[#This Row],[Calendar Year]]&gt;=$C$7)*(monthly_mortgage_schedule[[#This Row],[Calendar Year]]&lt;=$C$9),monthly_mortgage_schedule[[#This Row],[Begin Year (Range)]],NA())</f>
        <v>2028</v>
      </c>
      <c r="N97" s="214">
        <f>IF((monthly_mortgage_schedule[[#This Row],[Year (Range)]]&gt;=$C$7)*(monthly_mortgage_schedule[[#This Row],[Year (Range)]]&lt;=$C$9),X97,NA())</f>
        <v>2216.729141557234</v>
      </c>
      <c r="O97" s="214">
        <f>IF((monthly_mortgage_schedule[[#This Row],[Year (Range)]]&gt;=$C$7)*(monthly_mortgage_schedule[[#This Row],[Year (Range)]]&lt;=$C$9),Y97,NA())</f>
        <v>883.29735390617407</v>
      </c>
      <c r="P97" s="214">
        <f>IF((monthly_mortgage_schedule[[#This Row],[Year (Range)]]&gt;=$C$7)*(monthly_mortgage_schedule[[#This Row],[Year (Range)]]&lt;=$C$9),AG97,NA())</f>
        <v>2262.1397894201655</v>
      </c>
      <c r="Q97" s="214">
        <f>IF((monthly_mortgage_schedule[[#This Row],[Year (Range)]]&gt;=$C$7)*(monthly_mortgage_schedule[[#This Row],[Year (Range)]]&lt;=$C$9),AH97,NA())</f>
        <v>837.88670604324261</v>
      </c>
      <c r="R97" s="214">
        <f>IF((monthly_mortgage_schedule[[#This Row],[Year (Range)]]&gt;=$C$7)*(monthly_mortgage_schedule[[#This Row],[Year (Range)]]&lt;=$C$9),AO97,NA())</f>
        <v>1276.2637613481197</v>
      </c>
      <c r="S97" s="214">
        <f>IF((monthly_mortgage_schedule[[#This Row],[Year (Range)]]&gt;=$C$7)*(monthly_mortgage_schedule[[#This Row],[Year (Range)]]&lt;=$C$9),AP97,NA())</f>
        <v>630</v>
      </c>
      <c r="T97" s="214">
        <f>IF((monthly_mortgage_schedule[[#This Row],[Year (Range)]]&gt;=$C$7)*(monthly_mortgage_schedule[[#This Row],[Year (Range)]]&lt;=$C$9),AR97,NA())</f>
        <v>1970.4349353733942</v>
      </c>
      <c r="U97" s="214">
        <f>IF((monthly_mortgage_schedule[[#This Row],[Year (Range)]]&gt;=$C$7)*(monthly_mortgage_schedule[[#This Row],[Year (Range)]]&lt;=$C$9),AB97,NA())</f>
        <v>66369.909877355924</v>
      </c>
      <c r="V97" s="214">
        <f>IF((monthly_mortgage_schedule[[#This Row],[Year (Range)]]&gt;=$C$7)*(monthly_mortgage_schedule[[#This Row],[Year (Range)]]&lt;=$C$9),AI97,NA())</f>
        <v>56093.646116007803</v>
      </c>
      <c r="W97" s="187">
        <f t="shared" si="10"/>
        <v>475013.38747655012</v>
      </c>
      <c r="X97" s="4">
        <f t="shared" si="13"/>
        <v>2216.729141557234</v>
      </c>
      <c r="Y97" s="4">
        <f t="shared" si="11"/>
        <v>883.29735390617407</v>
      </c>
      <c r="Z97" s="4">
        <f>_xlfn.IFNA(INDEX(additional_mortgage_payments[],MATCH(monthly_mortgage_schedule[[#This Row],[Month]],additional_mortgage_payments[Month],0),3),0)</f>
        <v>500</v>
      </c>
      <c r="AA97" s="4">
        <f>AA96+monthly_mortgage_schedule[[#This Row],[Extra Payments Towards Equity]]</f>
        <v>9000</v>
      </c>
      <c r="AB97" s="4">
        <f>AB96+monthly_mortgage_schedule[[#This Row],[Principal With Extra Principal Payments]]+monthly_mortgage_schedule[[#This Row],[Extra Payments Towards Equity]]</f>
        <v>66369.909877355924</v>
      </c>
      <c r="AC97" s="4">
        <f>monthly_mortgage_schedule[[#This Row],[Cumulative Principal With Extra Principal Payments]]+down_payment_dollars</f>
        <v>126369.90987735592</v>
      </c>
      <c r="AD97" s="200">
        <f t="shared" si="8"/>
        <v>0</v>
      </c>
      <c r="AE9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473630.09012264397</v>
      </c>
      <c r="AF97" s="187">
        <f t="shared" si="14"/>
        <v>484744.24059003539</v>
      </c>
      <c r="AG97" s="4">
        <f>IF(monthly_mortgage_schedule[[#This Row],[Loan Balance (BOY) Without Extra Principal Payments]]&gt;0,monthly_mortgage_schedule[[#This Row],[Loan Balance (BOY) Without Extra Principal Payments]]*monthly_interest_rate,0)</f>
        <v>2262.1397894201655</v>
      </c>
      <c r="AH97" s="4">
        <f>IF(monthly_mortgage_schedule[[#This Row],[Loan Balance (BOY) Without Extra Principal Payments]]&gt;1,monthly_principal_and_interest-monthly_mortgage_schedule[[#This Row],[Interest Without Extra Principal Payments]],0)</f>
        <v>837.88670604324261</v>
      </c>
      <c r="AI97" s="4">
        <f>AI96+monthly_mortgage_schedule[[#This Row],[Principal Without Extra Principal Payments]]</f>
        <v>56093.646116007803</v>
      </c>
      <c r="AJ97" s="4">
        <f>monthly_mortgage_schedule[[#This Row],[Cumulative Principal Without Extra Principal Payments]]+down_payment_dollars</f>
        <v>116093.6461160078</v>
      </c>
      <c r="AK97" s="200">
        <f t="shared" si="9"/>
        <v>90</v>
      </c>
      <c r="AL9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483906.35388399212</v>
      </c>
      <c r="AN97" s="196">
        <f>monthly_mortgage_schedule[[#This Row],[Extra Payments Towards Equity]]+AN96+IF(monthly_mortgage_schedule[[#This Row],[Interest With Extra Principal Payments]]&gt;0,monthly_mortgage_schedule[[#This Row],[Interest Without Extra Principal Payments]]-monthly_mortgage_schedule[[#This Row],[Interest With Extra Principal Payments]],0)</f>
        <v>10276.263761348122</v>
      </c>
      <c r="AO97" s="4">
        <f>AO96+IF(monthly_mortgage_schedule[[#This Row],[Interest With Extra Principal Payments]]&gt;0,monthly_mortgage_schedule[[#This Row],[Interest Without Extra Principal Payments]]-monthly_mortgage_schedule[[#This Row],[Interest With Extra Principal Payments]],0)</f>
        <v>1276.2637613481197</v>
      </c>
      <c r="AP97" s="4">
        <f>AP96+monthly_mortgage_schedule[[#This Row],[PMI Without Extra Principal Payments]]-monthly_mortgage_schedule[[#This Row],[PMI with Additional Payments]]</f>
        <v>630</v>
      </c>
      <c r="AQ97" s="4">
        <f t="shared" si="12"/>
        <v>10970.434935373394</v>
      </c>
      <c r="AR97" s="4">
        <f>Table60[[#This Row],[Cumulative Investments]]-monthly_mortgage_schedule[[#This Row],[Cumulative Extra Payments Towards Equity]]</f>
        <v>1970.4349353733942</v>
      </c>
    </row>
    <row r="98" spans="9:44" x14ac:dyDescent="0.25">
      <c r="I98">
        <v>81</v>
      </c>
      <c r="J98">
        <f>IF(MOD(ROWS($J$18:J97),12)=0,J97+1,J97)</f>
        <v>2028</v>
      </c>
      <c r="K98" s="198">
        <f>IF(M98="#N/A",NA(),monthly_mortgage_schedule[[#This Row],[Month]])</f>
        <v>81</v>
      </c>
      <c r="L98" s="198">
        <f>IF(monthly_mortgage_schedule[[#This Row],[Calendar Year]]&gt;=$C$7,monthly_mortgage_schedule[[#This Row],[Calendar Year]],NA())</f>
        <v>2028</v>
      </c>
      <c r="M98" s="199">
        <f>IF((monthly_mortgage_schedule[[#This Row],[Calendar Year]]&gt;=$C$7)*(monthly_mortgage_schedule[[#This Row],[Calendar Year]]&lt;=$C$9),monthly_mortgage_schedule[[#This Row],[Begin Year (Range)]],NA())</f>
        <v>2028</v>
      </c>
      <c r="N98" s="214">
        <f>IF((monthly_mortgage_schedule[[#This Row],[Year (Range)]]&gt;=$C$7)*(monthly_mortgage_schedule[[#This Row],[Year (Range)]]&lt;=$C$9),X98,NA())</f>
        <v>2210.273753905672</v>
      </c>
      <c r="O98" s="214">
        <f>IF((monthly_mortgage_schedule[[#This Row],[Year (Range)]]&gt;=$C$7)*(monthly_mortgage_schedule[[#This Row],[Year (Range)]]&lt;=$C$9),Y98,NA())</f>
        <v>889.75274155773604</v>
      </c>
      <c r="P98" s="214">
        <f>IF((monthly_mortgage_schedule[[#This Row],[Year (Range)]]&gt;=$C$7)*(monthly_mortgage_schedule[[#This Row],[Year (Range)]]&lt;=$C$9),AG98,NA())</f>
        <v>2258.2296514586301</v>
      </c>
      <c r="Q98" s="214">
        <f>IF((monthly_mortgage_schedule[[#This Row],[Year (Range)]]&gt;=$C$7)*(monthly_mortgage_schedule[[#This Row],[Year (Range)]]&lt;=$C$9),AH98,NA())</f>
        <v>841.79684400477799</v>
      </c>
      <c r="R98" s="214">
        <f>IF((monthly_mortgage_schedule[[#This Row],[Year (Range)]]&gt;=$C$7)*(monthly_mortgage_schedule[[#This Row],[Year (Range)]]&lt;=$C$9),AO98,NA())</f>
        <v>1324.2196589010778</v>
      </c>
      <c r="S98" s="214">
        <f>IF((monthly_mortgage_schedule[[#This Row],[Year (Range)]]&gt;=$C$7)*(monthly_mortgage_schedule[[#This Row],[Year (Range)]]&lt;=$C$9),AP98,NA())</f>
        <v>720</v>
      </c>
      <c r="T98" s="214">
        <f>IF((monthly_mortgage_schedule[[#This Row],[Year (Range)]]&gt;=$C$7)*(monthly_mortgage_schedule[[#This Row],[Year (Range)]]&lt;=$C$9),AR98,NA())</f>
        <v>2043.5711682758829</v>
      </c>
      <c r="U98" s="214">
        <f>IF((monthly_mortgage_schedule[[#This Row],[Year (Range)]]&gt;=$C$7)*(monthly_mortgage_schedule[[#This Row],[Year (Range)]]&lt;=$C$9),AB98,NA())</f>
        <v>67259.662618913659</v>
      </c>
      <c r="V98" s="214">
        <f>IF((monthly_mortgage_schedule[[#This Row],[Year (Range)]]&gt;=$C$7)*(monthly_mortgage_schedule[[#This Row],[Year (Range)]]&lt;=$C$9),AI98,NA())</f>
        <v>56935.44296001258</v>
      </c>
      <c r="W98" s="187">
        <f t="shared" si="10"/>
        <v>473630.09012264397</v>
      </c>
      <c r="X98" s="4">
        <f t="shared" si="13"/>
        <v>2210.273753905672</v>
      </c>
      <c r="Y98" s="4">
        <f t="shared" si="11"/>
        <v>889.75274155773604</v>
      </c>
      <c r="Z98" s="4">
        <f>_xlfn.IFNA(INDEX(additional_mortgage_payments[],MATCH(monthly_mortgage_schedule[[#This Row],[Month]],additional_mortgage_payments[Month],0),3),0)</f>
        <v>0</v>
      </c>
      <c r="AA98" s="4">
        <f>AA97+monthly_mortgage_schedule[[#This Row],[Extra Payments Towards Equity]]</f>
        <v>9000</v>
      </c>
      <c r="AB98" s="4">
        <f>AB97+monthly_mortgage_schedule[[#This Row],[Principal With Extra Principal Payments]]+monthly_mortgage_schedule[[#This Row],[Extra Payments Towards Equity]]</f>
        <v>67259.662618913659</v>
      </c>
      <c r="AC98" s="4">
        <f>monthly_mortgage_schedule[[#This Row],[Cumulative Principal With Extra Principal Payments]]+down_payment_dollars</f>
        <v>127259.66261891366</v>
      </c>
      <c r="AD98" s="200">
        <f t="shared" si="8"/>
        <v>0</v>
      </c>
      <c r="AE9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472740.33738108625</v>
      </c>
      <c r="AF98" s="187">
        <f t="shared" si="14"/>
        <v>483906.35388399212</v>
      </c>
      <c r="AG98" s="4">
        <f>IF(monthly_mortgage_schedule[[#This Row],[Loan Balance (BOY) Without Extra Principal Payments]]&gt;0,monthly_mortgage_schedule[[#This Row],[Loan Balance (BOY) Without Extra Principal Payments]]*monthly_interest_rate,0)</f>
        <v>2258.2296514586301</v>
      </c>
      <c r="AH98" s="4">
        <f>IF(monthly_mortgage_schedule[[#This Row],[Loan Balance (BOY) Without Extra Principal Payments]]&gt;1,monthly_principal_and_interest-monthly_mortgage_schedule[[#This Row],[Interest Without Extra Principal Payments]],0)</f>
        <v>841.79684400477799</v>
      </c>
      <c r="AI98" s="4">
        <f>AI97+monthly_mortgage_schedule[[#This Row],[Principal Without Extra Principal Payments]]</f>
        <v>56935.44296001258</v>
      </c>
      <c r="AJ98" s="4">
        <f>monthly_mortgage_schedule[[#This Row],[Cumulative Principal Without Extra Principal Payments]]+down_payment_dollars</f>
        <v>116935.44296001259</v>
      </c>
      <c r="AK98" s="200">
        <f t="shared" si="9"/>
        <v>90</v>
      </c>
      <c r="AL9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483064.55703998735</v>
      </c>
      <c r="AN98" s="196">
        <f>monthly_mortgage_schedule[[#This Row],[Extra Payments Towards Equity]]+AN97+IF(monthly_mortgage_schedule[[#This Row],[Interest With Extra Principal Payments]]&gt;0,monthly_mortgage_schedule[[#This Row],[Interest Without Extra Principal Payments]]-monthly_mortgage_schedule[[#This Row],[Interest With Extra Principal Payments]],0)</f>
        <v>10324.21965890108</v>
      </c>
      <c r="AO98" s="4">
        <f>AO97+IF(monthly_mortgage_schedule[[#This Row],[Interest With Extra Principal Payments]]&gt;0,monthly_mortgage_schedule[[#This Row],[Interest Without Extra Principal Payments]]-monthly_mortgage_schedule[[#This Row],[Interest With Extra Principal Payments]],0)</f>
        <v>1324.2196589010778</v>
      </c>
      <c r="AP98" s="4">
        <f>AP97+monthly_mortgage_schedule[[#This Row],[PMI Without Extra Principal Payments]]-monthly_mortgage_schedule[[#This Row],[PMI with Additional Payments]]</f>
        <v>720</v>
      </c>
      <c r="AQ98" s="4">
        <f t="shared" si="12"/>
        <v>11043.571168275883</v>
      </c>
      <c r="AR98" s="4">
        <f>Table60[[#This Row],[Cumulative Investments]]-monthly_mortgage_schedule[[#This Row],[Cumulative Extra Payments Towards Equity]]</f>
        <v>2043.5711682758829</v>
      </c>
    </row>
    <row r="99" spans="9:44" x14ac:dyDescent="0.25">
      <c r="I99">
        <v>82</v>
      </c>
      <c r="J99">
        <f>IF(MOD(ROWS($J$18:J98),12)=0,J98+1,J98)</f>
        <v>2028</v>
      </c>
      <c r="K99" s="198">
        <f>IF(M99="#N/A",NA(),monthly_mortgage_schedule[[#This Row],[Month]])</f>
        <v>82</v>
      </c>
      <c r="L99" s="198">
        <f>IF(monthly_mortgage_schedule[[#This Row],[Calendar Year]]&gt;=$C$7,monthly_mortgage_schedule[[#This Row],[Calendar Year]],NA())</f>
        <v>2028</v>
      </c>
      <c r="M99" s="199">
        <f>IF((monthly_mortgage_schedule[[#This Row],[Calendar Year]]&gt;=$C$7)*(monthly_mortgage_schedule[[#This Row],[Calendar Year]]&lt;=$C$9),monthly_mortgage_schedule[[#This Row],[Begin Year (Range)]],NA())</f>
        <v>2028</v>
      </c>
      <c r="N99" s="214">
        <f>IF((monthly_mortgage_schedule[[#This Row],[Year (Range)]]&gt;=$C$7)*(monthly_mortgage_schedule[[#This Row],[Year (Range)]]&lt;=$C$9),X99,NA())</f>
        <v>2206.1215744450692</v>
      </c>
      <c r="O99" s="214">
        <f>IF((monthly_mortgage_schedule[[#This Row],[Year (Range)]]&gt;=$C$7)*(monthly_mortgage_schedule[[#This Row],[Year (Range)]]&lt;=$C$9),Y99,NA())</f>
        <v>893.90492101833888</v>
      </c>
      <c r="P99" s="214">
        <f>IF((monthly_mortgage_schedule[[#This Row],[Year (Range)]]&gt;=$C$7)*(monthly_mortgage_schedule[[#This Row],[Year (Range)]]&lt;=$C$9),AG99,NA())</f>
        <v>2254.3012661866078</v>
      </c>
      <c r="Q99" s="214">
        <f>IF((monthly_mortgage_schedule[[#This Row],[Year (Range)]]&gt;=$C$7)*(monthly_mortgage_schedule[[#This Row],[Year (Range)]]&lt;=$C$9),AH99,NA())</f>
        <v>845.72522927680029</v>
      </c>
      <c r="R99" s="214">
        <f>IF((monthly_mortgage_schedule[[#This Row],[Year (Range)]]&gt;=$C$7)*(monthly_mortgage_schedule[[#This Row],[Year (Range)]]&lt;=$C$9),AO99,NA())</f>
        <v>1372.3993506426164</v>
      </c>
      <c r="S99" s="214">
        <f>IF((monthly_mortgage_schedule[[#This Row],[Year (Range)]]&gt;=$C$7)*(monthly_mortgage_schedule[[#This Row],[Year (Range)]]&lt;=$C$9),AP99,NA())</f>
        <v>810</v>
      </c>
      <c r="T99" s="214">
        <f>IF((monthly_mortgage_schedule[[#This Row],[Year (Range)]]&gt;=$C$7)*(monthly_mortgage_schedule[[#This Row],[Year (Range)]]&lt;=$C$9),AR99,NA())</f>
        <v>2117.1949760643874</v>
      </c>
      <c r="U99" s="214">
        <f>IF((monthly_mortgage_schedule[[#This Row],[Year (Range)]]&gt;=$C$7)*(monthly_mortgage_schedule[[#This Row],[Year (Range)]]&lt;=$C$9),AB99,NA())</f>
        <v>68153.567539932003</v>
      </c>
      <c r="V99" s="214">
        <f>IF((monthly_mortgage_schedule[[#This Row],[Year (Range)]]&gt;=$C$7)*(monthly_mortgage_schedule[[#This Row],[Year (Range)]]&lt;=$C$9),AI99,NA())</f>
        <v>57781.168189289383</v>
      </c>
      <c r="W99" s="187">
        <f t="shared" si="10"/>
        <v>472740.33738108625</v>
      </c>
      <c r="X99" s="4">
        <f t="shared" si="13"/>
        <v>2206.1215744450692</v>
      </c>
      <c r="Y99" s="4">
        <f t="shared" si="11"/>
        <v>893.90492101833888</v>
      </c>
      <c r="Z99" s="4">
        <f>_xlfn.IFNA(INDEX(additional_mortgage_payments[],MATCH(monthly_mortgage_schedule[[#This Row],[Month]],additional_mortgage_payments[Month],0),3),0)</f>
        <v>0</v>
      </c>
      <c r="AA99" s="4">
        <f>AA98+monthly_mortgage_schedule[[#This Row],[Extra Payments Towards Equity]]</f>
        <v>9000</v>
      </c>
      <c r="AB99" s="4">
        <f>AB98+monthly_mortgage_schedule[[#This Row],[Principal With Extra Principal Payments]]+monthly_mortgage_schedule[[#This Row],[Extra Payments Towards Equity]]</f>
        <v>68153.567539932003</v>
      </c>
      <c r="AC99" s="4">
        <f>monthly_mortgage_schedule[[#This Row],[Cumulative Principal With Extra Principal Payments]]+down_payment_dollars</f>
        <v>128153.567539932</v>
      </c>
      <c r="AD99" s="200">
        <f t="shared" si="8"/>
        <v>0</v>
      </c>
      <c r="AE9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471846.43246006791</v>
      </c>
      <c r="AF99" s="187">
        <f t="shared" si="14"/>
        <v>483064.55703998735</v>
      </c>
      <c r="AG99" s="4">
        <f>IF(monthly_mortgage_schedule[[#This Row],[Loan Balance (BOY) Without Extra Principal Payments]]&gt;0,monthly_mortgage_schedule[[#This Row],[Loan Balance (BOY) Without Extra Principal Payments]]*monthly_interest_rate,0)</f>
        <v>2254.3012661866078</v>
      </c>
      <c r="AH99" s="4">
        <f>IF(monthly_mortgage_schedule[[#This Row],[Loan Balance (BOY) Without Extra Principal Payments]]&gt;1,monthly_principal_and_interest-monthly_mortgage_schedule[[#This Row],[Interest Without Extra Principal Payments]],0)</f>
        <v>845.72522927680029</v>
      </c>
      <c r="AI99" s="4">
        <f>AI98+monthly_mortgage_schedule[[#This Row],[Principal Without Extra Principal Payments]]</f>
        <v>57781.168189289383</v>
      </c>
      <c r="AJ99" s="4">
        <f>monthly_mortgage_schedule[[#This Row],[Cumulative Principal Without Extra Principal Payments]]+down_payment_dollars</f>
        <v>117781.16818928938</v>
      </c>
      <c r="AK99" s="200">
        <f t="shared" si="9"/>
        <v>90</v>
      </c>
      <c r="AL9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482218.83181071054</v>
      </c>
      <c r="AN99" s="196">
        <f>monthly_mortgage_schedule[[#This Row],[Extra Payments Towards Equity]]+AN98+IF(monthly_mortgage_schedule[[#This Row],[Interest With Extra Principal Payments]]&gt;0,monthly_mortgage_schedule[[#This Row],[Interest Without Extra Principal Payments]]-monthly_mortgage_schedule[[#This Row],[Interest With Extra Principal Payments]],0)</f>
        <v>10372.39935064262</v>
      </c>
      <c r="AO99" s="4">
        <f>AO98+IF(monthly_mortgage_schedule[[#This Row],[Interest With Extra Principal Payments]]&gt;0,monthly_mortgage_schedule[[#This Row],[Interest Without Extra Principal Payments]]-monthly_mortgage_schedule[[#This Row],[Interest With Extra Principal Payments]],0)</f>
        <v>1372.3993506426164</v>
      </c>
      <c r="AP99" s="4">
        <f>AP98+monthly_mortgage_schedule[[#This Row],[PMI Without Extra Principal Payments]]-monthly_mortgage_schedule[[#This Row],[PMI with Additional Payments]]</f>
        <v>810</v>
      </c>
      <c r="AQ99" s="4">
        <f t="shared" si="12"/>
        <v>11117.194976064387</v>
      </c>
      <c r="AR99" s="4">
        <f>Table60[[#This Row],[Cumulative Investments]]-monthly_mortgage_schedule[[#This Row],[Cumulative Extra Payments Towards Equity]]</f>
        <v>2117.1949760643874</v>
      </c>
    </row>
    <row r="100" spans="9:44" x14ac:dyDescent="0.25">
      <c r="I100">
        <v>83</v>
      </c>
      <c r="J100">
        <f>IF(MOD(ROWS($J$18:J99),12)=0,J99+1,J99)</f>
        <v>2028</v>
      </c>
      <c r="K100" s="198">
        <f>IF(M100="#N/A",NA(),monthly_mortgage_schedule[[#This Row],[Month]])</f>
        <v>83</v>
      </c>
      <c r="L100" s="198">
        <f>IF(monthly_mortgage_schedule[[#This Row],[Calendar Year]]&gt;=$C$7,monthly_mortgage_schedule[[#This Row],[Calendar Year]],NA())</f>
        <v>2028</v>
      </c>
      <c r="M100" s="199">
        <f>IF((monthly_mortgage_schedule[[#This Row],[Calendar Year]]&gt;=$C$7)*(monthly_mortgage_schedule[[#This Row],[Calendar Year]]&lt;=$C$9),monthly_mortgage_schedule[[#This Row],[Begin Year (Range)]],NA())</f>
        <v>2028</v>
      </c>
      <c r="N100" s="214">
        <f>IF((monthly_mortgage_schedule[[#This Row],[Year (Range)]]&gt;=$C$7)*(monthly_mortgage_schedule[[#This Row],[Year (Range)]]&lt;=$C$9),X100,NA())</f>
        <v>2201.9500181469839</v>
      </c>
      <c r="O100" s="214">
        <f>IF((monthly_mortgage_schedule[[#This Row],[Year (Range)]]&gt;=$C$7)*(monthly_mortgage_schedule[[#This Row],[Year (Range)]]&lt;=$C$9),Y100,NA())</f>
        <v>898.07647731642419</v>
      </c>
      <c r="P100" s="214">
        <f>IF((monthly_mortgage_schedule[[#This Row],[Year (Range)]]&gt;=$C$7)*(monthly_mortgage_schedule[[#This Row],[Year (Range)]]&lt;=$C$9),AG100,NA())</f>
        <v>2250.3545484499828</v>
      </c>
      <c r="Q100" s="214">
        <f>IF((monthly_mortgage_schedule[[#This Row],[Year (Range)]]&gt;=$C$7)*(monthly_mortgage_schedule[[#This Row],[Year (Range)]]&lt;=$C$9),AH100,NA())</f>
        <v>849.67194701342532</v>
      </c>
      <c r="R100" s="214">
        <f>IF((monthly_mortgage_schedule[[#This Row],[Year (Range)]]&gt;=$C$7)*(monthly_mortgage_schedule[[#This Row],[Year (Range)]]&lt;=$C$9),AO100,NA())</f>
        <v>1420.8038809456152</v>
      </c>
      <c r="S100" s="214">
        <f>IF((monthly_mortgage_schedule[[#This Row],[Year (Range)]]&gt;=$C$7)*(monthly_mortgage_schedule[[#This Row],[Year (Range)]]&lt;=$C$9),AP100,NA())</f>
        <v>900</v>
      </c>
      <c r="T100" s="214">
        <f>IF((monthly_mortgage_schedule[[#This Row],[Year (Range)]]&gt;=$C$7)*(monthly_mortgage_schedule[[#This Row],[Year (Range)]]&lt;=$C$9),AR100,NA())</f>
        <v>2191.3096092381493</v>
      </c>
      <c r="U100" s="214">
        <f>IF((monthly_mortgage_schedule[[#This Row],[Year (Range)]]&gt;=$C$7)*(monthly_mortgage_schedule[[#This Row],[Year (Range)]]&lt;=$C$9),AB100,NA())</f>
        <v>69051.644017248429</v>
      </c>
      <c r="V100" s="214">
        <f>IF((monthly_mortgage_schedule[[#This Row],[Year (Range)]]&gt;=$C$7)*(monthly_mortgage_schedule[[#This Row],[Year (Range)]]&lt;=$C$9),AI100,NA())</f>
        <v>58630.84013630281</v>
      </c>
      <c r="W100" s="187">
        <f t="shared" si="10"/>
        <v>471846.43246006791</v>
      </c>
      <c r="X100" s="4">
        <f t="shared" si="13"/>
        <v>2201.9500181469839</v>
      </c>
      <c r="Y100" s="4">
        <f t="shared" si="11"/>
        <v>898.07647731642419</v>
      </c>
      <c r="Z100" s="4">
        <f>_xlfn.IFNA(INDEX(additional_mortgage_payments[],MATCH(monthly_mortgage_schedule[[#This Row],[Month]],additional_mortgage_payments[Month],0),3),0)</f>
        <v>0</v>
      </c>
      <c r="AA100" s="4">
        <f>AA99+monthly_mortgage_schedule[[#This Row],[Extra Payments Towards Equity]]</f>
        <v>9000</v>
      </c>
      <c r="AB100" s="4">
        <f>AB99+monthly_mortgage_schedule[[#This Row],[Principal With Extra Principal Payments]]+monthly_mortgage_schedule[[#This Row],[Extra Payments Towards Equity]]</f>
        <v>69051.644017248429</v>
      </c>
      <c r="AC100" s="4">
        <f>monthly_mortgage_schedule[[#This Row],[Cumulative Principal With Extra Principal Payments]]+down_payment_dollars</f>
        <v>129051.64401724843</v>
      </c>
      <c r="AD100" s="200">
        <f t="shared" si="8"/>
        <v>0</v>
      </c>
      <c r="AE10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470948.35598275147</v>
      </c>
      <c r="AF100" s="187">
        <f t="shared" si="14"/>
        <v>482218.83181071054</v>
      </c>
      <c r="AG100" s="4">
        <f>IF(monthly_mortgage_schedule[[#This Row],[Loan Balance (BOY) Without Extra Principal Payments]]&gt;0,monthly_mortgage_schedule[[#This Row],[Loan Balance (BOY) Without Extra Principal Payments]]*monthly_interest_rate,0)</f>
        <v>2250.3545484499828</v>
      </c>
      <c r="AH100" s="4">
        <f>IF(monthly_mortgage_schedule[[#This Row],[Loan Balance (BOY) Without Extra Principal Payments]]&gt;1,monthly_principal_and_interest-monthly_mortgage_schedule[[#This Row],[Interest Without Extra Principal Payments]],0)</f>
        <v>849.67194701342532</v>
      </c>
      <c r="AI100" s="4">
        <f>AI99+monthly_mortgage_schedule[[#This Row],[Principal Without Extra Principal Payments]]</f>
        <v>58630.84013630281</v>
      </c>
      <c r="AJ100" s="4">
        <f>monthly_mortgage_schedule[[#This Row],[Cumulative Principal Without Extra Principal Payments]]+down_payment_dollars</f>
        <v>118630.84013630281</v>
      </c>
      <c r="AK100" s="200">
        <f t="shared" si="9"/>
        <v>90</v>
      </c>
      <c r="AL10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481369.15986369713</v>
      </c>
      <c r="AN100" s="196">
        <f>monthly_mortgage_schedule[[#This Row],[Extra Payments Towards Equity]]+AN99+IF(monthly_mortgage_schedule[[#This Row],[Interest With Extra Principal Payments]]&gt;0,monthly_mortgage_schedule[[#This Row],[Interest Without Extra Principal Payments]]-monthly_mortgage_schedule[[#This Row],[Interest With Extra Principal Payments]],0)</f>
        <v>10420.803880945619</v>
      </c>
      <c r="AO100" s="4">
        <f>AO99+IF(monthly_mortgage_schedule[[#This Row],[Interest With Extra Principal Payments]]&gt;0,monthly_mortgage_schedule[[#This Row],[Interest Without Extra Principal Payments]]-monthly_mortgage_schedule[[#This Row],[Interest With Extra Principal Payments]],0)</f>
        <v>1420.8038809456152</v>
      </c>
      <c r="AP100" s="4">
        <f>AP99+monthly_mortgage_schedule[[#This Row],[PMI Without Extra Principal Payments]]-monthly_mortgage_schedule[[#This Row],[PMI with Additional Payments]]</f>
        <v>900</v>
      </c>
      <c r="AQ100" s="4">
        <f t="shared" si="12"/>
        <v>11191.309609238149</v>
      </c>
      <c r="AR100" s="4">
        <f>Table60[[#This Row],[Cumulative Investments]]-monthly_mortgage_schedule[[#This Row],[Cumulative Extra Payments Towards Equity]]</f>
        <v>2191.3096092381493</v>
      </c>
    </row>
    <row r="101" spans="9:44" x14ac:dyDescent="0.25">
      <c r="I101">
        <v>84</v>
      </c>
      <c r="J101">
        <f>IF(MOD(ROWS($J$18:J100),12)=0,J100+1,J100)</f>
        <v>2028</v>
      </c>
      <c r="K101" s="198">
        <f>IF(M101="#N/A",NA(),monthly_mortgage_schedule[[#This Row],[Month]])</f>
        <v>84</v>
      </c>
      <c r="L101" s="198">
        <f>IF(monthly_mortgage_schedule[[#This Row],[Calendar Year]]&gt;=$C$7,monthly_mortgage_schedule[[#This Row],[Calendar Year]],NA())</f>
        <v>2028</v>
      </c>
      <c r="M101" s="199">
        <f>IF((monthly_mortgage_schedule[[#This Row],[Calendar Year]]&gt;=$C$7)*(monthly_mortgage_schedule[[#This Row],[Calendar Year]]&lt;=$C$9),monthly_mortgage_schedule[[#This Row],[Begin Year (Range)]],NA())</f>
        <v>2028</v>
      </c>
      <c r="N101" s="214">
        <f>IF((monthly_mortgage_schedule[[#This Row],[Year (Range)]]&gt;=$C$7)*(monthly_mortgage_schedule[[#This Row],[Year (Range)]]&lt;=$C$9),X101,NA())</f>
        <v>2197.7589945861737</v>
      </c>
      <c r="O101" s="214">
        <f>IF((monthly_mortgage_schedule[[#This Row],[Year (Range)]]&gt;=$C$7)*(monthly_mortgage_schedule[[#This Row],[Year (Range)]]&lt;=$C$9),Y101,NA())</f>
        <v>902.2675008772344</v>
      </c>
      <c r="P101" s="214">
        <f>IF((monthly_mortgage_schedule[[#This Row],[Year (Range)]]&gt;=$C$7)*(monthly_mortgage_schedule[[#This Row],[Year (Range)]]&lt;=$C$9),AG101,NA())</f>
        <v>2246.3894126972536</v>
      </c>
      <c r="Q101" s="214">
        <f>IF((monthly_mortgage_schedule[[#This Row],[Year (Range)]]&gt;=$C$7)*(monthly_mortgage_schedule[[#This Row],[Year (Range)]]&lt;=$C$9),AH101,NA())</f>
        <v>853.63708276615444</v>
      </c>
      <c r="R101" s="214">
        <f>IF((monthly_mortgage_schedule[[#This Row],[Year (Range)]]&gt;=$C$7)*(monthly_mortgage_schedule[[#This Row],[Year (Range)]]&lt;=$C$9),AO101,NA())</f>
        <v>1469.4342990566952</v>
      </c>
      <c r="S101" s="214">
        <f>IF((monthly_mortgage_schedule[[#This Row],[Year (Range)]]&gt;=$C$7)*(monthly_mortgage_schedule[[#This Row],[Year (Range)]]&lt;=$C$9),AP101,NA())</f>
        <v>990</v>
      </c>
      <c r="T101" s="214">
        <f>IF((monthly_mortgage_schedule[[#This Row],[Year (Range)]]&gt;=$C$7)*(monthly_mortgage_schedule[[#This Row],[Year (Range)]]&lt;=$C$9),AR101,NA())</f>
        <v>2265.9183399664034</v>
      </c>
      <c r="U101" s="214">
        <f>IF((monthly_mortgage_schedule[[#This Row],[Year (Range)]]&gt;=$C$7)*(monthly_mortgage_schedule[[#This Row],[Year (Range)]]&lt;=$C$9),AB101,NA())</f>
        <v>69953.911518125664</v>
      </c>
      <c r="V101" s="214">
        <f>IF((monthly_mortgage_schedule[[#This Row],[Year (Range)]]&gt;=$C$7)*(monthly_mortgage_schedule[[#This Row],[Year (Range)]]&lt;=$C$9),AI101,NA())</f>
        <v>59484.477219068962</v>
      </c>
      <c r="W101" s="187">
        <f t="shared" si="10"/>
        <v>470948.35598275147</v>
      </c>
      <c r="X101" s="4">
        <f t="shared" si="13"/>
        <v>2197.7589945861737</v>
      </c>
      <c r="Y101" s="4">
        <f t="shared" si="11"/>
        <v>902.2675008772344</v>
      </c>
      <c r="Z101" s="4">
        <f>_xlfn.IFNA(INDEX(additional_mortgage_payments[],MATCH(monthly_mortgage_schedule[[#This Row],[Month]],additional_mortgage_payments[Month],0),3),0)</f>
        <v>0</v>
      </c>
      <c r="AA101" s="4">
        <f>AA100+monthly_mortgage_schedule[[#This Row],[Extra Payments Towards Equity]]</f>
        <v>9000</v>
      </c>
      <c r="AB101" s="4">
        <f>AB100+monthly_mortgage_schedule[[#This Row],[Principal With Extra Principal Payments]]+monthly_mortgage_schedule[[#This Row],[Extra Payments Towards Equity]]</f>
        <v>69953.911518125664</v>
      </c>
      <c r="AC101" s="4">
        <f>monthly_mortgage_schedule[[#This Row],[Cumulative Principal With Extra Principal Payments]]+down_payment_dollars</f>
        <v>129953.91151812566</v>
      </c>
      <c r="AD101" s="200">
        <f t="shared" si="8"/>
        <v>0</v>
      </c>
      <c r="AE10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470046.08848187426</v>
      </c>
      <c r="AF101" s="187">
        <f t="shared" si="14"/>
        <v>481369.15986369713</v>
      </c>
      <c r="AG101" s="4">
        <f>IF(monthly_mortgage_schedule[[#This Row],[Loan Balance (BOY) Without Extra Principal Payments]]&gt;0,monthly_mortgage_schedule[[#This Row],[Loan Balance (BOY) Without Extra Principal Payments]]*monthly_interest_rate,0)</f>
        <v>2246.3894126972536</v>
      </c>
      <c r="AH101" s="4">
        <f>IF(monthly_mortgage_schedule[[#This Row],[Loan Balance (BOY) Without Extra Principal Payments]]&gt;1,monthly_principal_and_interest-monthly_mortgage_schedule[[#This Row],[Interest Without Extra Principal Payments]],0)</f>
        <v>853.63708276615444</v>
      </c>
      <c r="AI101" s="4">
        <f>AI100+monthly_mortgage_schedule[[#This Row],[Principal Without Extra Principal Payments]]</f>
        <v>59484.477219068962</v>
      </c>
      <c r="AJ101" s="4">
        <f>monthly_mortgage_schedule[[#This Row],[Cumulative Principal Without Extra Principal Payments]]+down_payment_dollars</f>
        <v>119484.47721906897</v>
      </c>
      <c r="AK101" s="200">
        <f t="shared" si="9"/>
        <v>90</v>
      </c>
      <c r="AL10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480515.52278093097</v>
      </c>
      <c r="AN101" s="196">
        <f>monthly_mortgage_schedule[[#This Row],[Extra Payments Towards Equity]]+AN100+IF(monthly_mortgage_schedule[[#This Row],[Interest With Extra Principal Payments]]&gt;0,monthly_mortgage_schedule[[#This Row],[Interest Without Extra Principal Payments]]-monthly_mortgage_schedule[[#This Row],[Interest With Extra Principal Payments]],0)</f>
        <v>10469.434299056698</v>
      </c>
      <c r="AO101" s="4">
        <f>AO100+IF(monthly_mortgage_schedule[[#This Row],[Interest With Extra Principal Payments]]&gt;0,monthly_mortgage_schedule[[#This Row],[Interest Without Extra Principal Payments]]-monthly_mortgage_schedule[[#This Row],[Interest With Extra Principal Payments]],0)</f>
        <v>1469.4342990566952</v>
      </c>
      <c r="AP101" s="4">
        <f>AP100+monthly_mortgage_schedule[[#This Row],[PMI Without Extra Principal Payments]]-monthly_mortgage_schedule[[#This Row],[PMI with Additional Payments]]</f>
        <v>990</v>
      </c>
      <c r="AQ101" s="4">
        <f t="shared" si="12"/>
        <v>11265.918339966403</v>
      </c>
      <c r="AR101" s="4">
        <f>Table60[[#This Row],[Cumulative Investments]]-monthly_mortgage_schedule[[#This Row],[Cumulative Extra Payments Towards Equity]]</f>
        <v>2265.9183399664034</v>
      </c>
    </row>
    <row r="102" spans="9:44" x14ac:dyDescent="0.25">
      <c r="I102">
        <v>85</v>
      </c>
      <c r="J102">
        <f>IF(MOD(ROWS($J$18:J101),12)=0,J101+1,J101)</f>
        <v>2029</v>
      </c>
      <c r="K102" s="198">
        <f>IF(M102="#N/A",NA(),monthly_mortgage_schedule[[#This Row],[Month]])</f>
        <v>85</v>
      </c>
      <c r="L102" s="198">
        <f>IF(monthly_mortgage_schedule[[#This Row],[Calendar Year]]&gt;=$C$7,monthly_mortgage_schedule[[#This Row],[Calendar Year]],NA())</f>
        <v>2029</v>
      </c>
      <c r="M102" s="199">
        <f>IF((monthly_mortgage_schedule[[#This Row],[Calendar Year]]&gt;=$C$7)*(monthly_mortgage_schedule[[#This Row],[Calendar Year]]&lt;=$C$9),monthly_mortgage_schedule[[#This Row],[Begin Year (Range)]],NA())</f>
        <v>2029</v>
      </c>
      <c r="N102" s="214">
        <f>IF((monthly_mortgage_schedule[[#This Row],[Year (Range)]]&gt;=$C$7)*(monthly_mortgage_schedule[[#This Row],[Year (Range)]]&lt;=$C$9),X102,NA())</f>
        <v>2193.5484129154133</v>
      </c>
      <c r="O102" s="214">
        <f>IF((monthly_mortgage_schedule[[#This Row],[Year (Range)]]&gt;=$C$7)*(monthly_mortgage_schedule[[#This Row],[Year (Range)]]&lt;=$C$9),Y102,NA())</f>
        <v>906.47808254799475</v>
      </c>
      <c r="P102" s="214">
        <f>IF((monthly_mortgage_schedule[[#This Row],[Year (Range)]]&gt;=$C$7)*(monthly_mortgage_schedule[[#This Row],[Year (Range)]]&lt;=$C$9),AG102,NA())</f>
        <v>2242.4057729776782</v>
      </c>
      <c r="Q102" s="214">
        <f>IF((monthly_mortgage_schedule[[#This Row],[Year (Range)]]&gt;=$C$7)*(monthly_mortgage_schedule[[#This Row],[Year (Range)]]&lt;=$C$9),AH102,NA())</f>
        <v>857.62072248572986</v>
      </c>
      <c r="R102" s="214">
        <f>IF((monthly_mortgage_schedule[[#This Row],[Year (Range)]]&gt;=$C$7)*(monthly_mortgage_schedule[[#This Row],[Year (Range)]]&lt;=$C$9),AO102,NA())</f>
        <v>1518.2916591189601</v>
      </c>
      <c r="S102" s="214">
        <f>IF((monthly_mortgage_schedule[[#This Row],[Year (Range)]]&gt;=$C$7)*(monthly_mortgage_schedule[[#This Row],[Year (Range)]]&lt;=$C$9),AP102,NA())</f>
        <v>990</v>
      </c>
      <c r="T102" s="214">
        <f>IF((monthly_mortgage_schedule[[#This Row],[Year (Range)]]&gt;=$C$7)*(monthly_mortgage_schedule[[#This Row],[Year (Range)]]&lt;=$C$9),AR102,NA())</f>
        <v>2341.0244622328446</v>
      </c>
      <c r="U102" s="214">
        <f>IF((monthly_mortgage_schedule[[#This Row],[Year (Range)]]&gt;=$C$7)*(monthly_mortgage_schedule[[#This Row],[Year (Range)]]&lt;=$C$9),AB102,NA())</f>
        <v>70860.389600673661</v>
      </c>
      <c r="V102" s="214">
        <f>IF((monthly_mortgage_schedule[[#This Row],[Year (Range)]]&gt;=$C$7)*(monthly_mortgage_schedule[[#This Row],[Year (Range)]]&lt;=$C$9),AI102,NA())</f>
        <v>60342.09794155469</v>
      </c>
      <c r="W102" s="187">
        <f t="shared" si="10"/>
        <v>470046.08848187426</v>
      </c>
      <c r="X102" s="4">
        <f t="shared" si="13"/>
        <v>2193.5484129154133</v>
      </c>
      <c r="Y102" s="4">
        <f t="shared" si="11"/>
        <v>906.47808254799475</v>
      </c>
      <c r="Z102" s="4">
        <f>_xlfn.IFNA(INDEX(additional_mortgage_payments[],MATCH(monthly_mortgage_schedule[[#This Row],[Month]],additional_mortgage_payments[Month],0),3),0)</f>
        <v>0</v>
      </c>
      <c r="AA102" s="4">
        <f>AA101+monthly_mortgage_schedule[[#This Row],[Extra Payments Towards Equity]]</f>
        <v>9000</v>
      </c>
      <c r="AB102" s="4">
        <f>AB101+monthly_mortgage_schedule[[#This Row],[Principal With Extra Principal Payments]]+monthly_mortgage_schedule[[#This Row],[Extra Payments Towards Equity]]</f>
        <v>70860.389600673661</v>
      </c>
      <c r="AC102" s="4">
        <f>monthly_mortgage_schedule[[#This Row],[Cumulative Principal With Extra Principal Payments]]+down_payment_dollars</f>
        <v>130860.38960067366</v>
      </c>
      <c r="AD102" s="200">
        <f t="shared" si="8"/>
        <v>0</v>
      </c>
      <c r="AE10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469139.61039932625</v>
      </c>
      <c r="AF102" s="187">
        <f t="shared" si="14"/>
        <v>480515.52278093097</v>
      </c>
      <c r="AG102" s="4">
        <f>IF(monthly_mortgage_schedule[[#This Row],[Loan Balance (BOY) Without Extra Principal Payments]]&gt;0,monthly_mortgage_schedule[[#This Row],[Loan Balance (BOY) Without Extra Principal Payments]]*monthly_interest_rate,0)</f>
        <v>2242.4057729776782</v>
      </c>
      <c r="AH102" s="4">
        <f>IF(monthly_mortgage_schedule[[#This Row],[Loan Balance (BOY) Without Extra Principal Payments]]&gt;1,monthly_principal_and_interest-monthly_mortgage_schedule[[#This Row],[Interest Without Extra Principal Payments]],0)</f>
        <v>857.62072248572986</v>
      </c>
      <c r="AI102" s="4">
        <f>AI101+monthly_mortgage_schedule[[#This Row],[Principal Without Extra Principal Payments]]</f>
        <v>60342.09794155469</v>
      </c>
      <c r="AJ102" s="4">
        <f>monthly_mortgage_schedule[[#This Row],[Cumulative Principal Without Extra Principal Payments]]+down_payment_dollars</f>
        <v>120342.09794155469</v>
      </c>
      <c r="AK102" s="200">
        <f t="shared" si="9"/>
        <v>0</v>
      </c>
      <c r="AL10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479657.90205844527</v>
      </c>
      <c r="AN102" s="196">
        <f>monthly_mortgage_schedule[[#This Row],[Extra Payments Towards Equity]]+AN101+IF(monthly_mortgage_schedule[[#This Row],[Interest With Extra Principal Payments]]&gt;0,monthly_mortgage_schedule[[#This Row],[Interest Without Extra Principal Payments]]-monthly_mortgage_schedule[[#This Row],[Interest With Extra Principal Payments]],0)</f>
        <v>10518.291659118964</v>
      </c>
      <c r="AO102" s="4">
        <f>AO101+IF(monthly_mortgage_schedule[[#This Row],[Interest With Extra Principal Payments]]&gt;0,monthly_mortgage_schedule[[#This Row],[Interest Without Extra Principal Payments]]-monthly_mortgage_schedule[[#This Row],[Interest With Extra Principal Payments]],0)</f>
        <v>1518.2916591189601</v>
      </c>
      <c r="AP102" s="4">
        <f>AP101+monthly_mortgage_schedule[[#This Row],[PMI Without Extra Principal Payments]]-monthly_mortgage_schedule[[#This Row],[PMI with Additional Payments]]</f>
        <v>990</v>
      </c>
      <c r="AQ102" s="4">
        <f t="shared" si="12"/>
        <v>11341.024462232845</v>
      </c>
      <c r="AR102" s="4">
        <f>Table60[[#This Row],[Cumulative Investments]]-monthly_mortgage_schedule[[#This Row],[Cumulative Extra Payments Towards Equity]]</f>
        <v>2341.0244622328446</v>
      </c>
    </row>
    <row r="103" spans="9:44" x14ac:dyDescent="0.25">
      <c r="I103">
        <v>86</v>
      </c>
      <c r="J103">
        <f>IF(MOD(ROWS($J$18:J102),12)=0,J102+1,J102)</f>
        <v>2029</v>
      </c>
      <c r="K103" s="198">
        <f>IF(M103="#N/A",NA(),monthly_mortgage_schedule[[#This Row],[Month]])</f>
        <v>86</v>
      </c>
      <c r="L103" s="198">
        <f>IF(monthly_mortgage_schedule[[#This Row],[Calendar Year]]&gt;=$C$7,monthly_mortgage_schedule[[#This Row],[Calendar Year]],NA())</f>
        <v>2029</v>
      </c>
      <c r="M103" s="199">
        <f>IF((monthly_mortgage_schedule[[#This Row],[Calendar Year]]&gt;=$C$7)*(monthly_mortgage_schedule[[#This Row],[Calendar Year]]&lt;=$C$9),monthly_mortgage_schedule[[#This Row],[Begin Year (Range)]],NA())</f>
        <v>2029</v>
      </c>
      <c r="N103" s="214">
        <f>IF((monthly_mortgage_schedule[[#This Row],[Year (Range)]]&gt;=$C$7)*(monthly_mortgage_schedule[[#This Row],[Year (Range)]]&lt;=$C$9),X103,NA())</f>
        <v>2189.3181818635226</v>
      </c>
      <c r="O103" s="214">
        <f>IF((monthly_mortgage_schedule[[#This Row],[Year (Range)]]&gt;=$C$7)*(monthly_mortgage_schedule[[#This Row],[Year (Range)]]&lt;=$C$9),Y103,NA())</f>
        <v>910.70831359988551</v>
      </c>
      <c r="P103" s="214">
        <f>IF((monthly_mortgage_schedule[[#This Row],[Year (Range)]]&gt;=$C$7)*(monthly_mortgage_schedule[[#This Row],[Year (Range)]]&lt;=$C$9),AG103,NA())</f>
        <v>2238.4035429394116</v>
      </c>
      <c r="Q103" s="214">
        <f>IF((monthly_mortgage_schedule[[#This Row],[Year (Range)]]&gt;=$C$7)*(monthly_mortgage_schedule[[#This Row],[Year (Range)]]&lt;=$C$9),AH103,NA())</f>
        <v>861.62295252399645</v>
      </c>
      <c r="R103" s="214">
        <f>IF((monthly_mortgage_schedule[[#This Row],[Year (Range)]]&gt;=$C$7)*(monthly_mortgage_schedule[[#This Row],[Year (Range)]]&lt;=$C$9),AO103,NA())</f>
        <v>1567.3770201948491</v>
      </c>
      <c r="S103" s="214">
        <f>IF((monthly_mortgage_schedule[[#This Row],[Year (Range)]]&gt;=$C$7)*(monthly_mortgage_schedule[[#This Row],[Year (Range)]]&lt;=$C$9),AP103,NA())</f>
        <v>990</v>
      </c>
      <c r="T103" s="214">
        <f>IF((monthly_mortgage_schedule[[#This Row],[Year (Range)]]&gt;=$C$7)*(monthly_mortgage_schedule[[#This Row],[Year (Range)]]&lt;=$C$9),AR103,NA())</f>
        <v>2416.6312919810625</v>
      </c>
      <c r="U103" s="214">
        <f>IF((monthly_mortgage_schedule[[#This Row],[Year (Range)]]&gt;=$C$7)*(monthly_mortgage_schedule[[#This Row],[Year (Range)]]&lt;=$C$9),AB103,NA())</f>
        <v>71771.097914273545</v>
      </c>
      <c r="V103" s="214">
        <f>IF((monthly_mortgage_schedule[[#This Row],[Year (Range)]]&gt;=$C$7)*(monthly_mortgage_schedule[[#This Row],[Year (Range)]]&lt;=$C$9),AI103,NA())</f>
        <v>61203.720894078688</v>
      </c>
      <c r="W103" s="187">
        <f t="shared" si="10"/>
        <v>469139.61039932625</v>
      </c>
      <c r="X103" s="4">
        <f t="shared" si="13"/>
        <v>2189.3181818635226</v>
      </c>
      <c r="Y103" s="4">
        <f t="shared" si="11"/>
        <v>910.70831359988551</v>
      </c>
      <c r="Z103" s="4">
        <f>_xlfn.IFNA(INDEX(additional_mortgage_payments[],MATCH(monthly_mortgage_schedule[[#This Row],[Month]],additional_mortgage_payments[Month],0),3),0)</f>
        <v>0</v>
      </c>
      <c r="AA103" s="4">
        <f>AA102+monthly_mortgage_schedule[[#This Row],[Extra Payments Towards Equity]]</f>
        <v>9000</v>
      </c>
      <c r="AB103" s="4">
        <f>AB102+monthly_mortgage_schedule[[#This Row],[Principal With Extra Principal Payments]]+monthly_mortgage_schedule[[#This Row],[Extra Payments Towards Equity]]</f>
        <v>71771.097914273545</v>
      </c>
      <c r="AC103" s="4">
        <f>monthly_mortgage_schedule[[#This Row],[Cumulative Principal With Extra Principal Payments]]+down_payment_dollars</f>
        <v>131771.09791427356</v>
      </c>
      <c r="AD103" s="200">
        <f t="shared" si="8"/>
        <v>0</v>
      </c>
      <c r="AE10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468228.90208572638</v>
      </c>
      <c r="AF103" s="187">
        <f t="shared" si="14"/>
        <v>479657.90205844527</v>
      </c>
      <c r="AG103" s="4">
        <f>IF(monthly_mortgage_schedule[[#This Row],[Loan Balance (BOY) Without Extra Principal Payments]]&gt;0,monthly_mortgage_schedule[[#This Row],[Loan Balance (BOY) Without Extra Principal Payments]]*monthly_interest_rate,0)</f>
        <v>2238.4035429394116</v>
      </c>
      <c r="AH103" s="4">
        <f>IF(monthly_mortgage_schedule[[#This Row],[Loan Balance (BOY) Without Extra Principal Payments]]&gt;1,monthly_principal_and_interest-monthly_mortgage_schedule[[#This Row],[Interest Without Extra Principal Payments]],0)</f>
        <v>861.62295252399645</v>
      </c>
      <c r="AI103" s="4">
        <f>AI102+monthly_mortgage_schedule[[#This Row],[Principal Without Extra Principal Payments]]</f>
        <v>61203.720894078688</v>
      </c>
      <c r="AJ103" s="4">
        <f>monthly_mortgage_schedule[[#This Row],[Cumulative Principal Without Extra Principal Payments]]+down_payment_dollars</f>
        <v>121203.72089407869</v>
      </c>
      <c r="AK103" s="200">
        <f t="shared" si="9"/>
        <v>0</v>
      </c>
      <c r="AL10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478796.27910592128</v>
      </c>
      <c r="AN103" s="196">
        <f>monthly_mortgage_schedule[[#This Row],[Extra Payments Towards Equity]]+AN102+IF(monthly_mortgage_schedule[[#This Row],[Interest With Extra Principal Payments]]&gt;0,monthly_mortgage_schedule[[#This Row],[Interest Without Extra Principal Payments]]-monthly_mortgage_schedule[[#This Row],[Interest With Extra Principal Payments]],0)</f>
        <v>10567.377020194854</v>
      </c>
      <c r="AO103" s="4">
        <f>AO102+IF(monthly_mortgage_schedule[[#This Row],[Interest With Extra Principal Payments]]&gt;0,monthly_mortgage_schedule[[#This Row],[Interest Without Extra Principal Payments]]-monthly_mortgage_schedule[[#This Row],[Interest With Extra Principal Payments]],0)</f>
        <v>1567.3770201948491</v>
      </c>
      <c r="AP103" s="4">
        <f>AP102+monthly_mortgage_schedule[[#This Row],[PMI Without Extra Principal Payments]]-monthly_mortgage_schedule[[#This Row],[PMI with Additional Payments]]</f>
        <v>990</v>
      </c>
      <c r="AQ103" s="4">
        <f t="shared" si="12"/>
        <v>11416.631291981063</v>
      </c>
      <c r="AR103" s="4">
        <f>Table60[[#This Row],[Cumulative Investments]]-monthly_mortgage_schedule[[#This Row],[Cumulative Extra Payments Towards Equity]]</f>
        <v>2416.6312919810625</v>
      </c>
    </row>
    <row r="104" spans="9:44" x14ac:dyDescent="0.25">
      <c r="I104">
        <v>87</v>
      </c>
      <c r="J104">
        <f>IF(MOD(ROWS($J$18:J103),12)=0,J103+1,J103)</f>
        <v>2029</v>
      </c>
      <c r="K104" s="198">
        <f>IF(M104="#N/A",NA(),monthly_mortgage_schedule[[#This Row],[Month]])</f>
        <v>87</v>
      </c>
      <c r="L104" s="198">
        <f>IF(monthly_mortgage_schedule[[#This Row],[Calendar Year]]&gt;=$C$7,monthly_mortgage_schedule[[#This Row],[Calendar Year]],NA())</f>
        <v>2029</v>
      </c>
      <c r="M104" s="199">
        <f>IF((monthly_mortgage_schedule[[#This Row],[Calendar Year]]&gt;=$C$7)*(monthly_mortgage_schedule[[#This Row],[Calendar Year]]&lt;=$C$9),monthly_mortgage_schedule[[#This Row],[Begin Year (Range)]],NA())</f>
        <v>2029</v>
      </c>
      <c r="N104" s="214">
        <f>IF((monthly_mortgage_schedule[[#This Row],[Year (Range)]]&gt;=$C$7)*(monthly_mortgage_schedule[[#This Row],[Year (Range)]]&lt;=$C$9),X104,NA())</f>
        <v>2185.0682097333902</v>
      </c>
      <c r="O104" s="214">
        <f>IF((monthly_mortgage_schedule[[#This Row],[Year (Range)]]&gt;=$C$7)*(monthly_mortgage_schedule[[#This Row],[Year (Range)]]&lt;=$C$9),Y104,NA())</f>
        <v>914.95828573001791</v>
      </c>
      <c r="P104" s="214">
        <f>IF((monthly_mortgage_schedule[[#This Row],[Year (Range)]]&gt;=$C$7)*(monthly_mortgage_schedule[[#This Row],[Year (Range)]]&lt;=$C$9),AG104,NA())</f>
        <v>2234.3826358276328</v>
      </c>
      <c r="Q104" s="214">
        <f>IF((monthly_mortgage_schedule[[#This Row],[Year (Range)]]&gt;=$C$7)*(monthly_mortgage_schedule[[#This Row],[Year (Range)]]&lt;=$C$9),AH104,NA())</f>
        <v>865.64385963577524</v>
      </c>
      <c r="R104" s="214">
        <f>IF((monthly_mortgage_schedule[[#This Row],[Year (Range)]]&gt;=$C$7)*(monthly_mortgage_schedule[[#This Row],[Year (Range)]]&lt;=$C$9),AO104,NA())</f>
        <v>1616.6914462890918</v>
      </c>
      <c r="S104" s="214">
        <f>IF((monthly_mortgage_schedule[[#This Row],[Year (Range)]]&gt;=$C$7)*(monthly_mortgage_schedule[[#This Row],[Year (Range)]]&lt;=$C$9),AP104,NA())</f>
        <v>990</v>
      </c>
      <c r="T104" s="214">
        <f>IF((monthly_mortgage_schedule[[#This Row],[Year (Range)]]&gt;=$C$7)*(monthly_mortgage_schedule[[#This Row],[Year (Range)]]&lt;=$C$9),AR104,NA())</f>
        <v>2492.7421672609362</v>
      </c>
      <c r="U104" s="214">
        <f>IF((monthly_mortgage_schedule[[#This Row],[Year (Range)]]&gt;=$C$7)*(monthly_mortgage_schedule[[#This Row],[Year (Range)]]&lt;=$C$9),AB104,NA())</f>
        <v>72686.056200003557</v>
      </c>
      <c r="V104" s="214">
        <f>IF((monthly_mortgage_schedule[[#This Row],[Year (Range)]]&gt;=$C$7)*(monthly_mortgage_schedule[[#This Row],[Year (Range)]]&lt;=$C$9),AI104,NA())</f>
        <v>62069.364753714464</v>
      </c>
      <c r="W104" s="187">
        <f t="shared" si="10"/>
        <v>468228.90208572638</v>
      </c>
      <c r="X104" s="4">
        <f t="shared" si="13"/>
        <v>2185.0682097333902</v>
      </c>
      <c r="Y104" s="4">
        <f t="shared" si="11"/>
        <v>914.95828573001791</v>
      </c>
      <c r="Z104" s="4">
        <f>_xlfn.IFNA(INDEX(additional_mortgage_payments[],MATCH(monthly_mortgage_schedule[[#This Row],[Month]],additional_mortgage_payments[Month],0),3),0)</f>
        <v>0</v>
      </c>
      <c r="AA104" s="4">
        <f>AA103+monthly_mortgage_schedule[[#This Row],[Extra Payments Towards Equity]]</f>
        <v>9000</v>
      </c>
      <c r="AB104" s="4">
        <f>AB103+monthly_mortgage_schedule[[#This Row],[Principal With Extra Principal Payments]]+monthly_mortgage_schedule[[#This Row],[Extra Payments Towards Equity]]</f>
        <v>72686.056200003557</v>
      </c>
      <c r="AC104" s="4">
        <f>monthly_mortgage_schedule[[#This Row],[Cumulative Principal With Extra Principal Payments]]+down_payment_dollars</f>
        <v>132686.05620000354</v>
      </c>
      <c r="AD104" s="200">
        <f t="shared" si="8"/>
        <v>0</v>
      </c>
      <c r="AE10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467313.94379999634</v>
      </c>
      <c r="AF104" s="187">
        <f t="shared" si="14"/>
        <v>478796.27910592128</v>
      </c>
      <c r="AG104" s="4">
        <f>IF(monthly_mortgage_schedule[[#This Row],[Loan Balance (BOY) Without Extra Principal Payments]]&gt;0,monthly_mortgage_schedule[[#This Row],[Loan Balance (BOY) Without Extra Principal Payments]]*monthly_interest_rate,0)</f>
        <v>2234.3826358276328</v>
      </c>
      <c r="AH104" s="4">
        <f>IF(monthly_mortgage_schedule[[#This Row],[Loan Balance (BOY) Without Extra Principal Payments]]&gt;1,monthly_principal_and_interest-monthly_mortgage_schedule[[#This Row],[Interest Without Extra Principal Payments]],0)</f>
        <v>865.64385963577524</v>
      </c>
      <c r="AI104" s="4">
        <f>AI103+monthly_mortgage_schedule[[#This Row],[Principal Without Extra Principal Payments]]</f>
        <v>62069.364753714464</v>
      </c>
      <c r="AJ104" s="4">
        <f>monthly_mortgage_schedule[[#This Row],[Cumulative Principal Without Extra Principal Payments]]+down_payment_dollars</f>
        <v>122069.36475371447</v>
      </c>
      <c r="AK104" s="200">
        <f t="shared" si="9"/>
        <v>0</v>
      </c>
      <c r="AL10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477930.63524628553</v>
      </c>
      <c r="AN104" s="196">
        <f>monthly_mortgage_schedule[[#This Row],[Extra Payments Towards Equity]]+AN103+IF(monthly_mortgage_schedule[[#This Row],[Interest With Extra Principal Payments]]&gt;0,monthly_mortgage_schedule[[#This Row],[Interest Without Extra Principal Payments]]-monthly_mortgage_schedule[[#This Row],[Interest With Extra Principal Payments]],0)</f>
        <v>10616.691446289096</v>
      </c>
      <c r="AO104" s="4">
        <f>AO103+IF(monthly_mortgage_schedule[[#This Row],[Interest With Extra Principal Payments]]&gt;0,monthly_mortgage_schedule[[#This Row],[Interest Without Extra Principal Payments]]-monthly_mortgage_schedule[[#This Row],[Interest With Extra Principal Payments]],0)</f>
        <v>1616.6914462890918</v>
      </c>
      <c r="AP104" s="4">
        <f>AP103+monthly_mortgage_schedule[[#This Row],[PMI Without Extra Principal Payments]]-monthly_mortgage_schedule[[#This Row],[PMI with Additional Payments]]</f>
        <v>990</v>
      </c>
      <c r="AQ104" s="4">
        <f t="shared" si="12"/>
        <v>11492.742167260936</v>
      </c>
      <c r="AR104" s="4">
        <f>Table60[[#This Row],[Cumulative Investments]]-monthly_mortgage_schedule[[#This Row],[Cumulative Extra Payments Towards Equity]]</f>
        <v>2492.7421672609362</v>
      </c>
    </row>
    <row r="105" spans="9:44" x14ac:dyDescent="0.25">
      <c r="I105">
        <v>88</v>
      </c>
      <c r="J105">
        <f>IF(MOD(ROWS($J$18:J104),12)=0,J104+1,J104)</f>
        <v>2029</v>
      </c>
      <c r="K105" s="198">
        <f>IF(M105="#N/A",NA(),monthly_mortgage_schedule[[#This Row],[Month]])</f>
        <v>88</v>
      </c>
      <c r="L105" s="198">
        <f>IF(monthly_mortgage_schedule[[#This Row],[Calendar Year]]&gt;=$C$7,monthly_mortgage_schedule[[#This Row],[Calendar Year]],NA())</f>
        <v>2029</v>
      </c>
      <c r="M105" s="199">
        <f>IF((monthly_mortgage_schedule[[#This Row],[Calendar Year]]&gt;=$C$7)*(monthly_mortgage_schedule[[#This Row],[Calendar Year]]&lt;=$C$9),monthly_mortgage_schedule[[#This Row],[Begin Year (Range)]],NA())</f>
        <v>2029</v>
      </c>
      <c r="N105" s="214">
        <f>IF((monthly_mortgage_schedule[[#This Row],[Year (Range)]]&gt;=$C$7)*(monthly_mortgage_schedule[[#This Row],[Year (Range)]]&lt;=$C$9),X105,NA())</f>
        <v>2180.7984043999832</v>
      </c>
      <c r="O105" s="214">
        <f>IF((monthly_mortgage_schedule[[#This Row],[Year (Range)]]&gt;=$C$7)*(monthly_mortgage_schedule[[#This Row],[Year (Range)]]&lt;=$C$9),Y105,NA())</f>
        <v>919.22809106342493</v>
      </c>
      <c r="P105" s="214">
        <f>IF((monthly_mortgage_schedule[[#This Row],[Year (Range)]]&gt;=$C$7)*(monthly_mortgage_schedule[[#This Row],[Year (Range)]]&lt;=$C$9),AG105,NA())</f>
        <v>2230.342964482666</v>
      </c>
      <c r="Q105" s="214">
        <f>IF((monthly_mortgage_schedule[[#This Row],[Year (Range)]]&gt;=$C$7)*(monthly_mortgage_schedule[[#This Row],[Year (Range)]]&lt;=$C$9),AH105,NA())</f>
        <v>869.68353098074203</v>
      </c>
      <c r="R105" s="214">
        <f>IF((monthly_mortgage_schedule[[#This Row],[Year (Range)]]&gt;=$C$7)*(monthly_mortgage_schedule[[#This Row],[Year (Range)]]&lt;=$C$9),AO105,NA())</f>
        <v>1666.2360063717747</v>
      </c>
      <c r="S105" s="214">
        <f>IF((monthly_mortgage_schedule[[#This Row],[Year (Range)]]&gt;=$C$7)*(monthly_mortgage_schedule[[#This Row],[Year (Range)]]&lt;=$C$9),AP105,NA())</f>
        <v>990</v>
      </c>
      <c r="T105" s="214">
        <f>IF((monthly_mortgage_schedule[[#This Row],[Year (Range)]]&gt;=$C$7)*(monthly_mortgage_schedule[[#This Row],[Year (Range)]]&lt;=$C$9),AR105,NA())</f>
        <v>2569.3604483760082</v>
      </c>
      <c r="U105" s="214">
        <f>IF((monthly_mortgage_schedule[[#This Row],[Year (Range)]]&gt;=$C$7)*(monthly_mortgage_schedule[[#This Row],[Year (Range)]]&lt;=$C$9),AB105,NA())</f>
        <v>73605.284291066986</v>
      </c>
      <c r="V105" s="214">
        <f>IF((monthly_mortgage_schedule[[#This Row],[Year (Range)]]&gt;=$C$7)*(monthly_mortgage_schedule[[#This Row],[Year (Range)]]&lt;=$C$9),AI105,NA())</f>
        <v>62939.048284695207</v>
      </c>
      <c r="W105" s="187">
        <f t="shared" si="10"/>
        <v>467313.94379999634</v>
      </c>
      <c r="X105" s="4">
        <f t="shared" si="13"/>
        <v>2180.7984043999832</v>
      </c>
      <c r="Y105" s="4">
        <f t="shared" si="11"/>
        <v>919.22809106342493</v>
      </c>
      <c r="Z105" s="4">
        <f>_xlfn.IFNA(INDEX(additional_mortgage_payments[],MATCH(monthly_mortgage_schedule[[#This Row],[Month]],additional_mortgage_payments[Month],0),3),0)</f>
        <v>0</v>
      </c>
      <c r="AA105" s="4">
        <f>AA104+monthly_mortgage_schedule[[#This Row],[Extra Payments Towards Equity]]</f>
        <v>9000</v>
      </c>
      <c r="AB105" s="4">
        <f>AB104+monthly_mortgage_schedule[[#This Row],[Principal With Extra Principal Payments]]+monthly_mortgage_schedule[[#This Row],[Extra Payments Towards Equity]]</f>
        <v>73605.284291066986</v>
      </c>
      <c r="AC105" s="4">
        <f>monthly_mortgage_schedule[[#This Row],[Cumulative Principal With Extra Principal Payments]]+down_payment_dollars</f>
        <v>133605.28429106699</v>
      </c>
      <c r="AD105" s="200">
        <f t="shared" si="8"/>
        <v>0</v>
      </c>
      <c r="AE10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466394.7157089329</v>
      </c>
      <c r="AF105" s="187">
        <f t="shared" si="14"/>
        <v>477930.63524628553</v>
      </c>
      <c r="AG105" s="4">
        <f>IF(monthly_mortgage_schedule[[#This Row],[Loan Balance (BOY) Without Extra Principal Payments]]&gt;0,monthly_mortgage_schedule[[#This Row],[Loan Balance (BOY) Without Extra Principal Payments]]*monthly_interest_rate,0)</f>
        <v>2230.342964482666</v>
      </c>
      <c r="AH105" s="4">
        <f>IF(monthly_mortgage_schedule[[#This Row],[Loan Balance (BOY) Without Extra Principal Payments]]&gt;1,monthly_principal_and_interest-monthly_mortgage_schedule[[#This Row],[Interest Without Extra Principal Payments]],0)</f>
        <v>869.68353098074203</v>
      </c>
      <c r="AI105" s="4">
        <f>AI104+monthly_mortgage_schedule[[#This Row],[Principal Without Extra Principal Payments]]</f>
        <v>62939.048284695207</v>
      </c>
      <c r="AJ105" s="4">
        <f>monthly_mortgage_schedule[[#This Row],[Cumulative Principal Without Extra Principal Payments]]+down_payment_dollars</f>
        <v>122939.04828469521</v>
      </c>
      <c r="AK105" s="200">
        <f t="shared" si="9"/>
        <v>0</v>
      </c>
      <c r="AL10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477060.95171530481</v>
      </c>
      <c r="AN105" s="196">
        <f>monthly_mortgage_schedule[[#This Row],[Extra Payments Towards Equity]]+AN104+IF(monthly_mortgage_schedule[[#This Row],[Interest With Extra Principal Payments]]&gt;0,monthly_mortgage_schedule[[#This Row],[Interest Without Extra Principal Payments]]-monthly_mortgage_schedule[[#This Row],[Interest With Extra Principal Payments]],0)</f>
        <v>10666.236006371779</v>
      </c>
      <c r="AO105" s="4">
        <f>AO104+IF(monthly_mortgage_schedule[[#This Row],[Interest With Extra Principal Payments]]&gt;0,monthly_mortgage_schedule[[#This Row],[Interest Without Extra Principal Payments]]-monthly_mortgage_schedule[[#This Row],[Interest With Extra Principal Payments]],0)</f>
        <v>1666.2360063717747</v>
      </c>
      <c r="AP105" s="4">
        <f>AP104+monthly_mortgage_schedule[[#This Row],[PMI Without Extra Principal Payments]]-monthly_mortgage_schedule[[#This Row],[PMI with Additional Payments]]</f>
        <v>990</v>
      </c>
      <c r="AQ105" s="4">
        <f t="shared" si="12"/>
        <v>11569.360448376008</v>
      </c>
      <c r="AR105" s="4">
        <f>Table60[[#This Row],[Cumulative Investments]]-monthly_mortgage_schedule[[#This Row],[Cumulative Extra Payments Towards Equity]]</f>
        <v>2569.3604483760082</v>
      </c>
    </row>
    <row r="106" spans="9:44" x14ac:dyDescent="0.25">
      <c r="I106">
        <v>89</v>
      </c>
      <c r="J106">
        <f>IF(MOD(ROWS($J$18:J105),12)=0,J105+1,J105)</f>
        <v>2029</v>
      </c>
      <c r="K106" s="198">
        <f>IF(M106="#N/A",NA(),monthly_mortgage_schedule[[#This Row],[Month]])</f>
        <v>89</v>
      </c>
      <c r="L106" s="198">
        <f>IF(monthly_mortgage_schedule[[#This Row],[Calendar Year]]&gt;=$C$7,monthly_mortgage_schedule[[#This Row],[Calendar Year]],NA())</f>
        <v>2029</v>
      </c>
      <c r="M106" s="199">
        <f>IF((monthly_mortgage_schedule[[#This Row],[Calendar Year]]&gt;=$C$7)*(monthly_mortgage_schedule[[#This Row],[Calendar Year]]&lt;=$C$9),monthly_mortgage_schedule[[#This Row],[Begin Year (Range)]],NA())</f>
        <v>2029</v>
      </c>
      <c r="N106" s="214">
        <f>IF((monthly_mortgage_schedule[[#This Row],[Year (Range)]]&gt;=$C$7)*(monthly_mortgage_schedule[[#This Row],[Year (Range)]]&lt;=$C$9),X106,NA())</f>
        <v>2176.5086733083535</v>
      </c>
      <c r="O106" s="214">
        <f>IF((monthly_mortgage_schedule[[#This Row],[Year (Range)]]&gt;=$C$7)*(monthly_mortgage_schedule[[#This Row],[Year (Range)]]&lt;=$C$9),Y106,NA())</f>
        <v>923.51782215505455</v>
      </c>
      <c r="P106" s="214">
        <f>IF((monthly_mortgage_schedule[[#This Row],[Year (Range)]]&gt;=$C$7)*(monthly_mortgage_schedule[[#This Row],[Year (Range)]]&lt;=$C$9),AG106,NA())</f>
        <v>2226.2844413380894</v>
      </c>
      <c r="Q106" s="214">
        <f>IF((monthly_mortgage_schedule[[#This Row],[Year (Range)]]&gt;=$C$7)*(monthly_mortgage_schedule[[#This Row],[Year (Range)]]&lt;=$C$9),AH106,NA())</f>
        <v>873.74205412531865</v>
      </c>
      <c r="R106" s="214">
        <f>IF((monthly_mortgage_schedule[[#This Row],[Year (Range)]]&gt;=$C$7)*(monthly_mortgage_schedule[[#This Row],[Year (Range)]]&lt;=$C$9),AO106,NA())</f>
        <v>1716.0117744015106</v>
      </c>
      <c r="S106" s="214">
        <f>IF((monthly_mortgage_schedule[[#This Row],[Year (Range)]]&gt;=$C$7)*(monthly_mortgage_schedule[[#This Row],[Year (Range)]]&lt;=$C$9),AP106,NA())</f>
        <v>990</v>
      </c>
      <c r="T106" s="214">
        <f>IF((monthly_mortgage_schedule[[#This Row],[Year (Range)]]&gt;=$C$7)*(monthly_mortgage_schedule[[#This Row],[Year (Range)]]&lt;=$C$9),AR106,NA())</f>
        <v>2646.4895180318472</v>
      </c>
      <c r="U106" s="214">
        <f>IF((monthly_mortgage_schedule[[#This Row],[Year (Range)]]&gt;=$C$7)*(monthly_mortgage_schedule[[#This Row],[Year (Range)]]&lt;=$C$9),AB106,NA())</f>
        <v>74528.802113222046</v>
      </c>
      <c r="V106" s="214">
        <f>IF((monthly_mortgage_schedule[[#This Row],[Year (Range)]]&gt;=$C$7)*(monthly_mortgage_schedule[[#This Row],[Year (Range)]]&lt;=$C$9),AI106,NA())</f>
        <v>63812.790338820523</v>
      </c>
      <c r="W106" s="187">
        <f t="shared" si="10"/>
        <v>466394.7157089329</v>
      </c>
      <c r="X106" s="4">
        <f t="shared" si="13"/>
        <v>2176.5086733083535</v>
      </c>
      <c r="Y106" s="4">
        <f t="shared" si="11"/>
        <v>923.51782215505455</v>
      </c>
      <c r="Z106" s="4">
        <f>_xlfn.IFNA(INDEX(additional_mortgage_payments[],MATCH(monthly_mortgage_schedule[[#This Row],[Month]],additional_mortgage_payments[Month],0),3),0)</f>
        <v>0</v>
      </c>
      <c r="AA106" s="4">
        <f>AA105+monthly_mortgage_schedule[[#This Row],[Extra Payments Towards Equity]]</f>
        <v>9000</v>
      </c>
      <c r="AB106" s="4">
        <f>AB105+monthly_mortgage_schedule[[#This Row],[Principal With Extra Principal Payments]]+monthly_mortgage_schedule[[#This Row],[Extra Payments Towards Equity]]</f>
        <v>74528.802113222046</v>
      </c>
      <c r="AC106" s="4">
        <f>monthly_mortgage_schedule[[#This Row],[Cumulative Principal With Extra Principal Payments]]+down_payment_dollars</f>
        <v>134528.80211322205</v>
      </c>
      <c r="AD106" s="200">
        <f t="shared" si="8"/>
        <v>0</v>
      </c>
      <c r="AE10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465471.19788677787</v>
      </c>
      <c r="AF106" s="187">
        <f t="shared" si="14"/>
        <v>477060.95171530481</v>
      </c>
      <c r="AG106" s="4">
        <f>IF(monthly_mortgage_schedule[[#This Row],[Loan Balance (BOY) Without Extra Principal Payments]]&gt;0,monthly_mortgage_schedule[[#This Row],[Loan Balance (BOY) Without Extra Principal Payments]]*monthly_interest_rate,0)</f>
        <v>2226.2844413380894</v>
      </c>
      <c r="AH106" s="4">
        <f>IF(monthly_mortgage_schedule[[#This Row],[Loan Balance (BOY) Without Extra Principal Payments]]&gt;1,monthly_principal_and_interest-monthly_mortgage_schedule[[#This Row],[Interest Without Extra Principal Payments]],0)</f>
        <v>873.74205412531865</v>
      </c>
      <c r="AI106" s="4">
        <f>AI105+monthly_mortgage_schedule[[#This Row],[Principal Without Extra Principal Payments]]</f>
        <v>63812.790338820523</v>
      </c>
      <c r="AJ106" s="4">
        <f>monthly_mortgage_schedule[[#This Row],[Cumulative Principal Without Extra Principal Payments]]+down_payment_dollars</f>
        <v>123812.79033882052</v>
      </c>
      <c r="AK106" s="200">
        <f t="shared" si="9"/>
        <v>0</v>
      </c>
      <c r="AL10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476187.20966117951</v>
      </c>
      <c r="AN106" s="196">
        <f>monthly_mortgage_schedule[[#This Row],[Extra Payments Towards Equity]]+AN105+IF(monthly_mortgage_schedule[[#This Row],[Interest With Extra Principal Payments]]&gt;0,monthly_mortgage_schedule[[#This Row],[Interest Without Extra Principal Payments]]-monthly_mortgage_schedule[[#This Row],[Interest With Extra Principal Payments]],0)</f>
        <v>10716.011774401515</v>
      </c>
      <c r="AO106" s="4">
        <f>AO105+IF(monthly_mortgage_schedule[[#This Row],[Interest With Extra Principal Payments]]&gt;0,monthly_mortgage_schedule[[#This Row],[Interest Without Extra Principal Payments]]-monthly_mortgage_schedule[[#This Row],[Interest With Extra Principal Payments]],0)</f>
        <v>1716.0117744015106</v>
      </c>
      <c r="AP106" s="4">
        <f>AP105+monthly_mortgage_schedule[[#This Row],[PMI Without Extra Principal Payments]]-monthly_mortgage_schedule[[#This Row],[PMI with Additional Payments]]</f>
        <v>990</v>
      </c>
      <c r="AQ106" s="4">
        <f t="shared" si="12"/>
        <v>11646.489518031847</v>
      </c>
      <c r="AR106" s="4">
        <f>Table60[[#This Row],[Cumulative Investments]]-monthly_mortgage_schedule[[#This Row],[Cumulative Extra Payments Towards Equity]]</f>
        <v>2646.4895180318472</v>
      </c>
    </row>
    <row r="107" spans="9:44" x14ac:dyDescent="0.25">
      <c r="I107">
        <v>90</v>
      </c>
      <c r="J107">
        <f>IF(MOD(ROWS($J$18:J106),12)=0,J106+1,J106)</f>
        <v>2029</v>
      </c>
      <c r="K107" s="198">
        <f>IF(M107="#N/A",NA(),monthly_mortgage_schedule[[#This Row],[Month]])</f>
        <v>90</v>
      </c>
      <c r="L107" s="198">
        <f>IF(monthly_mortgage_schedule[[#This Row],[Calendar Year]]&gt;=$C$7,monthly_mortgage_schedule[[#This Row],[Calendar Year]],NA())</f>
        <v>2029</v>
      </c>
      <c r="M107" s="199">
        <f>IF((monthly_mortgage_schedule[[#This Row],[Calendar Year]]&gt;=$C$7)*(monthly_mortgage_schedule[[#This Row],[Calendar Year]]&lt;=$C$9),monthly_mortgage_schedule[[#This Row],[Begin Year (Range)]],NA())</f>
        <v>2029</v>
      </c>
      <c r="N107" s="214">
        <f>IF((monthly_mortgage_schedule[[#This Row],[Year (Range)]]&gt;=$C$7)*(monthly_mortgage_schedule[[#This Row],[Year (Range)]]&lt;=$C$9),X107,NA())</f>
        <v>2172.1989234716302</v>
      </c>
      <c r="O107" s="214">
        <f>IF((monthly_mortgage_schedule[[#This Row],[Year (Range)]]&gt;=$C$7)*(monthly_mortgage_schedule[[#This Row],[Year (Range)]]&lt;=$C$9),Y107,NA())</f>
        <v>927.82757199177786</v>
      </c>
      <c r="P107" s="214">
        <f>IF((monthly_mortgage_schedule[[#This Row],[Year (Range)]]&gt;=$C$7)*(monthly_mortgage_schedule[[#This Row],[Year (Range)]]&lt;=$C$9),AG107,NA())</f>
        <v>2222.2069784188379</v>
      </c>
      <c r="Q107" s="214">
        <f>IF((monthly_mortgage_schedule[[#This Row],[Year (Range)]]&gt;=$C$7)*(monthly_mortgage_schedule[[#This Row],[Year (Range)]]&lt;=$C$9),AH107,NA())</f>
        <v>877.81951704457015</v>
      </c>
      <c r="R107" s="214">
        <f>IF((monthly_mortgage_schedule[[#This Row],[Year (Range)]]&gt;=$C$7)*(monthly_mortgage_schedule[[#This Row],[Year (Range)]]&lt;=$C$9),AO107,NA())</f>
        <v>1766.0198293487183</v>
      </c>
      <c r="S107" s="214">
        <f>IF((monthly_mortgage_schedule[[#This Row],[Year (Range)]]&gt;=$C$7)*(monthly_mortgage_schedule[[#This Row],[Year (Range)]]&lt;=$C$9),AP107,NA())</f>
        <v>990</v>
      </c>
      <c r="T107" s="214">
        <f>IF((monthly_mortgage_schedule[[#This Row],[Year (Range)]]&gt;=$C$7)*(monthly_mortgage_schedule[[#This Row],[Year (Range)]]&lt;=$C$9),AR107,NA())</f>
        <v>2750.7994481520582</v>
      </c>
      <c r="U107" s="214">
        <f>IF((monthly_mortgage_schedule[[#This Row],[Year (Range)]]&gt;=$C$7)*(monthly_mortgage_schedule[[#This Row],[Year (Range)]]&lt;=$C$9),AB107,NA())</f>
        <v>79456.629685213818</v>
      </c>
      <c r="V107" s="214">
        <f>IF((monthly_mortgage_schedule[[#This Row],[Year (Range)]]&gt;=$C$7)*(monthly_mortgage_schedule[[#This Row],[Year (Range)]]&lt;=$C$9),AI107,NA())</f>
        <v>64690.609855865092</v>
      </c>
      <c r="W107" s="187">
        <f t="shared" si="10"/>
        <v>465471.19788677787</v>
      </c>
      <c r="X107" s="4">
        <f t="shared" si="13"/>
        <v>2172.1989234716302</v>
      </c>
      <c r="Y107" s="4">
        <f t="shared" si="11"/>
        <v>927.82757199177786</v>
      </c>
      <c r="Z107" s="4">
        <f>_xlfn.IFNA(INDEX(additional_mortgage_payments[],MATCH(monthly_mortgage_schedule[[#This Row],[Month]],additional_mortgage_payments[Month],0),3),0)</f>
        <v>4000</v>
      </c>
      <c r="AA107" s="4">
        <f>AA106+monthly_mortgage_schedule[[#This Row],[Extra Payments Towards Equity]]</f>
        <v>13000</v>
      </c>
      <c r="AB107" s="4">
        <f>AB106+monthly_mortgage_schedule[[#This Row],[Principal With Extra Principal Payments]]+monthly_mortgage_schedule[[#This Row],[Extra Payments Towards Equity]]</f>
        <v>79456.629685213818</v>
      </c>
      <c r="AC107" s="4">
        <f>monthly_mortgage_schedule[[#This Row],[Cumulative Principal With Extra Principal Payments]]+down_payment_dollars</f>
        <v>139456.62968521382</v>
      </c>
      <c r="AD107" s="200">
        <f t="shared" si="8"/>
        <v>0</v>
      </c>
      <c r="AE10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460543.37031478609</v>
      </c>
      <c r="AF107" s="187">
        <f t="shared" si="14"/>
        <v>476187.20966117951</v>
      </c>
      <c r="AG107" s="4">
        <f>IF(monthly_mortgage_schedule[[#This Row],[Loan Balance (BOY) Without Extra Principal Payments]]&gt;0,monthly_mortgage_schedule[[#This Row],[Loan Balance (BOY) Without Extra Principal Payments]]*monthly_interest_rate,0)</f>
        <v>2222.2069784188379</v>
      </c>
      <c r="AH107" s="4">
        <f>IF(monthly_mortgage_schedule[[#This Row],[Loan Balance (BOY) Without Extra Principal Payments]]&gt;1,monthly_principal_and_interest-monthly_mortgage_schedule[[#This Row],[Interest Without Extra Principal Payments]],0)</f>
        <v>877.81951704457015</v>
      </c>
      <c r="AI107" s="4">
        <f>AI106+monthly_mortgage_schedule[[#This Row],[Principal Without Extra Principal Payments]]</f>
        <v>64690.609855865092</v>
      </c>
      <c r="AJ107" s="4">
        <f>monthly_mortgage_schedule[[#This Row],[Cumulative Principal Without Extra Principal Payments]]+down_payment_dollars</f>
        <v>124690.6098558651</v>
      </c>
      <c r="AK107" s="200">
        <f t="shared" si="9"/>
        <v>0</v>
      </c>
      <c r="AL10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475309.39014413493</v>
      </c>
      <c r="AN107" s="196">
        <f>monthly_mortgage_schedule[[#This Row],[Extra Payments Towards Equity]]+AN106+IF(monthly_mortgage_schedule[[#This Row],[Interest With Extra Principal Payments]]&gt;0,monthly_mortgage_schedule[[#This Row],[Interest Without Extra Principal Payments]]-monthly_mortgage_schedule[[#This Row],[Interest With Extra Principal Payments]],0)</f>
        <v>14766.019829348723</v>
      </c>
      <c r="AO107" s="4">
        <f>AO106+IF(monthly_mortgage_schedule[[#This Row],[Interest With Extra Principal Payments]]&gt;0,monthly_mortgage_schedule[[#This Row],[Interest Without Extra Principal Payments]]-monthly_mortgage_schedule[[#This Row],[Interest With Extra Principal Payments]],0)</f>
        <v>1766.0198293487183</v>
      </c>
      <c r="AP107" s="4">
        <f>AP106+monthly_mortgage_schedule[[#This Row],[PMI Without Extra Principal Payments]]-monthly_mortgage_schedule[[#This Row],[PMI with Additional Payments]]</f>
        <v>990</v>
      </c>
      <c r="AQ107" s="4">
        <f t="shared" si="12"/>
        <v>15750.799448152058</v>
      </c>
      <c r="AR107" s="4">
        <f>Table60[[#This Row],[Cumulative Investments]]-monthly_mortgage_schedule[[#This Row],[Cumulative Extra Payments Towards Equity]]</f>
        <v>2750.7994481520582</v>
      </c>
    </row>
    <row r="108" spans="9:44" x14ac:dyDescent="0.25">
      <c r="I108">
        <v>91</v>
      </c>
      <c r="J108">
        <f>IF(MOD(ROWS($J$18:J107),12)=0,J107+1,J107)</f>
        <v>2029</v>
      </c>
      <c r="K108" s="198">
        <f>IF(M108="#N/A",NA(),monthly_mortgage_schedule[[#This Row],[Month]])</f>
        <v>91</v>
      </c>
      <c r="L108" s="198">
        <f>IF(monthly_mortgage_schedule[[#This Row],[Calendar Year]]&gt;=$C$7,monthly_mortgage_schedule[[#This Row],[Calendar Year]],NA())</f>
        <v>2029</v>
      </c>
      <c r="M108" s="199">
        <f>IF((monthly_mortgage_schedule[[#This Row],[Calendar Year]]&gt;=$C$7)*(monthly_mortgage_schedule[[#This Row],[Calendar Year]]&lt;=$C$9),monthly_mortgage_schedule[[#This Row],[Begin Year (Range)]],NA())</f>
        <v>2029</v>
      </c>
      <c r="N108" s="214">
        <f>IF((monthly_mortgage_schedule[[#This Row],[Year (Range)]]&gt;=$C$7)*(monthly_mortgage_schedule[[#This Row],[Year (Range)]]&lt;=$C$9),X108,NA())</f>
        <v>2149.2023948023352</v>
      </c>
      <c r="O108" s="214">
        <f>IF((monthly_mortgage_schedule[[#This Row],[Year (Range)]]&gt;=$C$7)*(monthly_mortgage_schedule[[#This Row],[Year (Range)]]&lt;=$C$9),Y108,NA())</f>
        <v>950.82410066107286</v>
      </c>
      <c r="P108" s="214">
        <f>IF((monthly_mortgage_schedule[[#This Row],[Year (Range)]]&gt;=$C$7)*(monthly_mortgage_schedule[[#This Row],[Year (Range)]]&lt;=$C$9),AG108,NA())</f>
        <v>2218.1104873392965</v>
      </c>
      <c r="Q108" s="214">
        <f>IF((monthly_mortgage_schedule[[#This Row],[Year (Range)]]&gt;=$C$7)*(monthly_mortgage_schedule[[#This Row],[Year (Range)]]&lt;=$C$9),AH108,NA())</f>
        <v>881.91600812411161</v>
      </c>
      <c r="R108" s="214">
        <f>IF((monthly_mortgage_schedule[[#This Row],[Year (Range)]]&gt;=$C$7)*(monthly_mortgage_schedule[[#This Row],[Year (Range)]]&lt;=$C$9),AO108,NA())</f>
        <v>1834.9279218856796</v>
      </c>
      <c r="S108" s="214">
        <f>IF((monthly_mortgage_schedule[[#This Row],[Year (Range)]]&gt;=$C$7)*(monthly_mortgage_schedule[[#This Row],[Year (Range)]]&lt;=$C$9),AP108,NA())</f>
        <v>990</v>
      </c>
      <c r="T108" s="214">
        <f>IF((monthly_mortgage_schedule[[#This Row],[Year (Range)]]&gt;=$C$7)*(monthly_mortgage_schedule[[#This Row],[Year (Range)]]&lt;=$C$9),AR108,NA())</f>
        <v>2855.8047778064047</v>
      </c>
      <c r="U108" s="214">
        <f>IF((monthly_mortgage_schedule[[#This Row],[Year (Range)]]&gt;=$C$7)*(monthly_mortgage_schedule[[#This Row],[Year (Range)]]&lt;=$C$9),AB108,NA())</f>
        <v>80407.453785874895</v>
      </c>
      <c r="V108" s="214">
        <f>IF((monthly_mortgage_schedule[[#This Row],[Year (Range)]]&gt;=$C$7)*(monthly_mortgage_schedule[[#This Row],[Year (Range)]]&lt;=$C$9),AI108,NA())</f>
        <v>65572.525863989198</v>
      </c>
      <c r="W108" s="187">
        <f t="shared" si="10"/>
        <v>460543.37031478609</v>
      </c>
      <c r="X108" s="4">
        <f t="shared" si="13"/>
        <v>2149.2023948023352</v>
      </c>
      <c r="Y108" s="4">
        <f t="shared" si="11"/>
        <v>950.82410066107286</v>
      </c>
      <c r="Z108" s="4">
        <f>_xlfn.IFNA(INDEX(additional_mortgage_payments[],MATCH(monthly_mortgage_schedule[[#This Row],[Month]],additional_mortgage_payments[Month],0),3),0)</f>
        <v>0</v>
      </c>
      <c r="AA108" s="4">
        <f>AA107+monthly_mortgage_schedule[[#This Row],[Extra Payments Towards Equity]]</f>
        <v>13000</v>
      </c>
      <c r="AB108" s="4">
        <f>AB107+monthly_mortgage_schedule[[#This Row],[Principal With Extra Principal Payments]]+monthly_mortgage_schedule[[#This Row],[Extra Payments Towards Equity]]</f>
        <v>80407.453785874895</v>
      </c>
      <c r="AC108" s="4">
        <f>monthly_mortgage_schedule[[#This Row],[Cumulative Principal With Extra Principal Payments]]+down_payment_dollars</f>
        <v>140407.45378587488</v>
      </c>
      <c r="AD108" s="200">
        <f t="shared" si="8"/>
        <v>0</v>
      </c>
      <c r="AE10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459592.546214125</v>
      </c>
      <c r="AF108" s="187">
        <f t="shared" si="14"/>
        <v>475309.39014413493</v>
      </c>
      <c r="AG108" s="4">
        <f>IF(monthly_mortgage_schedule[[#This Row],[Loan Balance (BOY) Without Extra Principal Payments]]&gt;0,monthly_mortgage_schedule[[#This Row],[Loan Balance (BOY) Without Extra Principal Payments]]*monthly_interest_rate,0)</f>
        <v>2218.1104873392965</v>
      </c>
      <c r="AH108" s="4">
        <f>IF(monthly_mortgage_schedule[[#This Row],[Loan Balance (BOY) Without Extra Principal Payments]]&gt;1,monthly_principal_and_interest-monthly_mortgage_schedule[[#This Row],[Interest Without Extra Principal Payments]],0)</f>
        <v>881.91600812411161</v>
      </c>
      <c r="AI108" s="4">
        <f>AI107+monthly_mortgage_schedule[[#This Row],[Principal Without Extra Principal Payments]]</f>
        <v>65572.525863989198</v>
      </c>
      <c r="AJ108" s="4">
        <f>monthly_mortgage_schedule[[#This Row],[Cumulative Principal Without Extra Principal Payments]]+down_payment_dollars</f>
        <v>125572.5258639892</v>
      </c>
      <c r="AK108" s="200">
        <f t="shared" si="9"/>
        <v>0</v>
      </c>
      <c r="AL10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474427.4741360108</v>
      </c>
      <c r="AN108" s="196">
        <f>monthly_mortgage_schedule[[#This Row],[Extra Payments Towards Equity]]+AN107+IF(monthly_mortgage_schedule[[#This Row],[Interest With Extra Principal Payments]]&gt;0,monthly_mortgage_schedule[[#This Row],[Interest Without Extra Principal Payments]]-monthly_mortgage_schedule[[#This Row],[Interest With Extra Principal Payments]],0)</f>
        <v>14834.927921885685</v>
      </c>
      <c r="AO108" s="4">
        <f>AO107+IF(monthly_mortgage_schedule[[#This Row],[Interest With Extra Principal Payments]]&gt;0,monthly_mortgage_schedule[[#This Row],[Interest Without Extra Principal Payments]]-monthly_mortgage_schedule[[#This Row],[Interest With Extra Principal Payments]],0)</f>
        <v>1834.9279218856796</v>
      </c>
      <c r="AP108" s="4">
        <f>AP107+monthly_mortgage_schedule[[#This Row],[PMI Without Extra Principal Payments]]-monthly_mortgage_schedule[[#This Row],[PMI with Additional Payments]]</f>
        <v>990</v>
      </c>
      <c r="AQ108" s="4">
        <f t="shared" si="12"/>
        <v>15855.804777806405</v>
      </c>
      <c r="AR108" s="4">
        <f>Table60[[#This Row],[Cumulative Investments]]-monthly_mortgage_schedule[[#This Row],[Cumulative Extra Payments Towards Equity]]</f>
        <v>2855.8047778064047</v>
      </c>
    </row>
    <row r="109" spans="9:44" x14ac:dyDescent="0.25">
      <c r="I109">
        <v>92</v>
      </c>
      <c r="J109">
        <f>IF(MOD(ROWS($J$18:J108),12)=0,J108+1,J108)</f>
        <v>2029</v>
      </c>
      <c r="K109" s="198">
        <f>IF(M109="#N/A",NA(),monthly_mortgage_schedule[[#This Row],[Month]])</f>
        <v>92</v>
      </c>
      <c r="L109" s="198">
        <f>IF(monthly_mortgage_schedule[[#This Row],[Calendar Year]]&gt;=$C$7,monthly_mortgage_schedule[[#This Row],[Calendar Year]],NA())</f>
        <v>2029</v>
      </c>
      <c r="M109" s="199">
        <f>IF((monthly_mortgage_schedule[[#This Row],[Calendar Year]]&gt;=$C$7)*(monthly_mortgage_schedule[[#This Row],[Calendar Year]]&lt;=$C$9),monthly_mortgage_schedule[[#This Row],[Begin Year (Range)]],NA())</f>
        <v>2029</v>
      </c>
      <c r="N109" s="214">
        <f>IF((monthly_mortgage_schedule[[#This Row],[Year (Range)]]&gt;=$C$7)*(monthly_mortgage_schedule[[#This Row],[Year (Range)]]&lt;=$C$9),X109,NA())</f>
        <v>2144.7652156659169</v>
      </c>
      <c r="O109" s="214">
        <f>IF((monthly_mortgage_schedule[[#This Row],[Year (Range)]]&gt;=$C$7)*(monthly_mortgage_schedule[[#This Row],[Year (Range)]]&lt;=$C$9),Y109,NA())</f>
        <v>955.26127979749117</v>
      </c>
      <c r="P109" s="214">
        <f>IF((monthly_mortgage_schedule[[#This Row],[Year (Range)]]&gt;=$C$7)*(monthly_mortgage_schedule[[#This Row],[Year (Range)]]&lt;=$C$9),AG109,NA())</f>
        <v>2213.9948793013841</v>
      </c>
      <c r="Q109" s="214">
        <f>IF((monthly_mortgage_schedule[[#This Row],[Year (Range)]]&gt;=$C$7)*(monthly_mortgage_schedule[[#This Row],[Year (Range)]]&lt;=$C$9),AH109,NA())</f>
        <v>886.03161616202397</v>
      </c>
      <c r="R109" s="214">
        <f>IF((monthly_mortgage_schedule[[#This Row],[Year (Range)]]&gt;=$C$7)*(monthly_mortgage_schedule[[#This Row],[Year (Range)]]&lt;=$C$9),AO109,NA())</f>
        <v>1904.1575855211468</v>
      </c>
      <c r="S109" s="214">
        <f>IF((monthly_mortgage_schedule[[#This Row],[Year (Range)]]&gt;=$C$7)*(monthly_mortgage_schedule[[#This Row],[Year (Range)]]&lt;=$C$9),AP109,NA())</f>
        <v>990</v>
      </c>
      <c r="T109" s="214">
        <f>IF((monthly_mortgage_schedule[[#This Row],[Year (Range)]]&gt;=$C$7)*(monthly_mortgage_schedule[[#This Row],[Year (Range)]]&lt;=$C$9),AR109,NA())</f>
        <v>2961.5101429917795</v>
      </c>
      <c r="U109" s="214">
        <f>IF((monthly_mortgage_schedule[[#This Row],[Year (Range)]]&gt;=$C$7)*(monthly_mortgage_schedule[[#This Row],[Year (Range)]]&lt;=$C$9),AB109,NA())</f>
        <v>81362.715065672382</v>
      </c>
      <c r="V109" s="214">
        <f>IF((monthly_mortgage_schedule[[#This Row],[Year (Range)]]&gt;=$C$7)*(monthly_mortgage_schedule[[#This Row],[Year (Range)]]&lt;=$C$9),AI109,NA())</f>
        <v>66458.557480151227</v>
      </c>
      <c r="W109" s="187">
        <f t="shared" si="10"/>
        <v>459592.546214125</v>
      </c>
      <c r="X109" s="4">
        <f t="shared" si="13"/>
        <v>2144.7652156659169</v>
      </c>
      <c r="Y109" s="4">
        <f t="shared" si="11"/>
        <v>955.26127979749117</v>
      </c>
      <c r="Z109" s="4">
        <f>_xlfn.IFNA(INDEX(additional_mortgage_payments[],MATCH(monthly_mortgage_schedule[[#This Row],[Month]],additional_mortgage_payments[Month],0),3),0)</f>
        <v>0</v>
      </c>
      <c r="AA109" s="4">
        <f>AA108+monthly_mortgage_schedule[[#This Row],[Extra Payments Towards Equity]]</f>
        <v>13000</v>
      </c>
      <c r="AB109" s="4">
        <f>AB108+monthly_mortgage_schedule[[#This Row],[Principal With Extra Principal Payments]]+monthly_mortgage_schedule[[#This Row],[Extra Payments Towards Equity]]</f>
        <v>81362.715065672382</v>
      </c>
      <c r="AC109" s="4">
        <f>monthly_mortgage_schedule[[#This Row],[Cumulative Principal With Extra Principal Payments]]+down_payment_dollars</f>
        <v>141362.71506567238</v>
      </c>
      <c r="AD109" s="200">
        <f t="shared" si="8"/>
        <v>0</v>
      </c>
      <c r="AE10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458637.28493432753</v>
      </c>
      <c r="AF109" s="187">
        <f t="shared" si="14"/>
        <v>474427.4741360108</v>
      </c>
      <c r="AG109" s="4">
        <f>IF(monthly_mortgage_schedule[[#This Row],[Loan Balance (BOY) Without Extra Principal Payments]]&gt;0,monthly_mortgage_schedule[[#This Row],[Loan Balance (BOY) Without Extra Principal Payments]]*monthly_interest_rate,0)</f>
        <v>2213.9948793013841</v>
      </c>
      <c r="AH109" s="4">
        <f>IF(monthly_mortgage_schedule[[#This Row],[Loan Balance (BOY) Without Extra Principal Payments]]&gt;1,monthly_principal_and_interest-monthly_mortgage_schedule[[#This Row],[Interest Without Extra Principal Payments]],0)</f>
        <v>886.03161616202397</v>
      </c>
      <c r="AI109" s="4">
        <f>AI108+monthly_mortgage_schedule[[#This Row],[Principal Without Extra Principal Payments]]</f>
        <v>66458.557480151227</v>
      </c>
      <c r="AJ109" s="4">
        <f>monthly_mortgage_schedule[[#This Row],[Cumulative Principal Without Extra Principal Payments]]+down_payment_dollars</f>
        <v>126458.55748015123</v>
      </c>
      <c r="AK109" s="200">
        <f t="shared" si="9"/>
        <v>0</v>
      </c>
      <c r="AL10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473541.44251984876</v>
      </c>
      <c r="AN109" s="196">
        <f>monthly_mortgage_schedule[[#This Row],[Extra Payments Towards Equity]]+AN108+IF(monthly_mortgage_schedule[[#This Row],[Interest With Extra Principal Payments]]&gt;0,monthly_mortgage_schedule[[#This Row],[Interest Without Extra Principal Payments]]-monthly_mortgage_schedule[[#This Row],[Interest With Extra Principal Payments]],0)</f>
        <v>14904.157585521152</v>
      </c>
      <c r="AO109" s="4">
        <f>AO108+IF(monthly_mortgage_schedule[[#This Row],[Interest With Extra Principal Payments]]&gt;0,monthly_mortgage_schedule[[#This Row],[Interest Without Extra Principal Payments]]-monthly_mortgage_schedule[[#This Row],[Interest With Extra Principal Payments]],0)</f>
        <v>1904.1575855211468</v>
      </c>
      <c r="AP109" s="4">
        <f>AP108+monthly_mortgage_schedule[[#This Row],[PMI Without Extra Principal Payments]]-monthly_mortgage_schedule[[#This Row],[PMI with Additional Payments]]</f>
        <v>990</v>
      </c>
      <c r="AQ109" s="4">
        <f t="shared" si="12"/>
        <v>15961.51014299178</v>
      </c>
      <c r="AR109" s="4">
        <f>Table60[[#This Row],[Cumulative Investments]]-monthly_mortgage_schedule[[#This Row],[Cumulative Extra Payments Towards Equity]]</f>
        <v>2961.5101429917795</v>
      </c>
    </row>
    <row r="110" spans="9:44" x14ac:dyDescent="0.25">
      <c r="I110">
        <v>93</v>
      </c>
      <c r="J110">
        <f>IF(MOD(ROWS($J$18:J109),12)=0,J109+1,J109)</f>
        <v>2029</v>
      </c>
      <c r="K110" s="198">
        <f>IF(M110="#N/A",NA(),monthly_mortgage_schedule[[#This Row],[Month]])</f>
        <v>93</v>
      </c>
      <c r="L110" s="198">
        <f>IF(monthly_mortgage_schedule[[#This Row],[Calendar Year]]&gt;=$C$7,monthly_mortgage_schedule[[#This Row],[Calendar Year]],NA())</f>
        <v>2029</v>
      </c>
      <c r="M110" s="199">
        <f>IF((monthly_mortgage_schedule[[#This Row],[Calendar Year]]&gt;=$C$7)*(monthly_mortgage_schedule[[#This Row],[Calendar Year]]&lt;=$C$9),monthly_mortgage_schedule[[#This Row],[Begin Year (Range)]],NA())</f>
        <v>2029</v>
      </c>
      <c r="N110" s="214">
        <f>IF((monthly_mortgage_schedule[[#This Row],[Year (Range)]]&gt;=$C$7)*(monthly_mortgage_schedule[[#This Row],[Year (Range)]]&lt;=$C$9),X110,NA())</f>
        <v>2140.3073296935286</v>
      </c>
      <c r="O110" s="214">
        <f>IF((monthly_mortgage_schedule[[#This Row],[Year (Range)]]&gt;=$C$7)*(monthly_mortgage_schedule[[#This Row],[Year (Range)]]&lt;=$C$9),Y110,NA())</f>
        <v>959.71916576987951</v>
      </c>
      <c r="P110" s="214">
        <f>IF((monthly_mortgage_schedule[[#This Row],[Year (Range)]]&gt;=$C$7)*(monthly_mortgage_schedule[[#This Row],[Year (Range)]]&lt;=$C$9),AG110,NA())</f>
        <v>2209.8600650926278</v>
      </c>
      <c r="Q110" s="214">
        <f>IF((monthly_mortgage_schedule[[#This Row],[Year (Range)]]&gt;=$C$7)*(monthly_mortgage_schedule[[#This Row],[Year (Range)]]&lt;=$C$9),AH110,NA())</f>
        <v>890.16643037078029</v>
      </c>
      <c r="R110" s="214">
        <f>IF((monthly_mortgage_schedule[[#This Row],[Year (Range)]]&gt;=$C$7)*(monthly_mortgage_schedule[[#This Row],[Year (Range)]]&lt;=$C$9),AO110,NA())</f>
        <v>1973.710320920246</v>
      </c>
      <c r="S110" s="214">
        <f>IF((monthly_mortgage_schedule[[#This Row],[Year (Range)]]&gt;=$C$7)*(monthly_mortgage_schedule[[#This Row],[Year (Range)]]&lt;=$C$9),AP110,NA())</f>
        <v>990</v>
      </c>
      <c r="T110" s="214">
        <f>IF((monthly_mortgage_schedule[[#This Row],[Year (Range)]]&gt;=$C$7)*(monthly_mortgage_schedule[[#This Row],[Year (Range)]]&lt;=$C$9),AR110,NA())</f>
        <v>3067.9202106117227</v>
      </c>
      <c r="U110" s="214">
        <f>IF((monthly_mortgage_schedule[[#This Row],[Year (Range)]]&gt;=$C$7)*(monthly_mortgage_schedule[[#This Row],[Year (Range)]]&lt;=$C$9),AB110,NA())</f>
        <v>82322.434231442268</v>
      </c>
      <c r="V110" s="214">
        <f>IF((monthly_mortgage_schedule[[#This Row],[Year (Range)]]&gt;=$C$7)*(monthly_mortgage_schedule[[#This Row],[Year (Range)]]&lt;=$C$9),AI110,NA())</f>
        <v>67348.723910522007</v>
      </c>
      <c r="W110" s="187">
        <f t="shared" si="10"/>
        <v>458637.28493432753</v>
      </c>
      <c r="X110" s="4">
        <f t="shared" si="13"/>
        <v>2140.3073296935286</v>
      </c>
      <c r="Y110" s="4">
        <f t="shared" si="11"/>
        <v>959.71916576987951</v>
      </c>
      <c r="Z110" s="4">
        <f>_xlfn.IFNA(INDEX(additional_mortgage_payments[],MATCH(monthly_mortgage_schedule[[#This Row],[Month]],additional_mortgage_payments[Month],0),3),0)</f>
        <v>0</v>
      </c>
      <c r="AA110" s="4">
        <f>AA109+monthly_mortgage_schedule[[#This Row],[Extra Payments Towards Equity]]</f>
        <v>13000</v>
      </c>
      <c r="AB110" s="4">
        <f>AB109+monthly_mortgage_schedule[[#This Row],[Principal With Extra Principal Payments]]+monthly_mortgage_schedule[[#This Row],[Extra Payments Towards Equity]]</f>
        <v>82322.434231442268</v>
      </c>
      <c r="AC110" s="4">
        <f>monthly_mortgage_schedule[[#This Row],[Cumulative Principal With Extra Principal Payments]]+down_payment_dollars</f>
        <v>142322.43423144228</v>
      </c>
      <c r="AD110" s="200">
        <f t="shared" si="8"/>
        <v>0</v>
      </c>
      <c r="AE11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457677.56576855766</v>
      </c>
      <c r="AF110" s="187">
        <f t="shared" si="14"/>
        <v>473541.44251984876</v>
      </c>
      <c r="AG110" s="4">
        <f>IF(monthly_mortgage_schedule[[#This Row],[Loan Balance (BOY) Without Extra Principal Payments]]&gt;0,monthly_mortgage_schedule[[#This Row],[Loan Balance (BOY) Without Extra Principal Payments]]*monthly_interest_rate,0)</f>
        <v>2209.8600650926278</v>
      </c>
      <c r="AH110" s="4">
        <f>IF(monthly_mortgage_schedule[[#This Row],[Loan Balance (BOY) Without Extra Principal Payments]]&gt;1,monthly_principal_and_interest-monthly_mortgage_schedule[[#This Row],[Interest Without Extra Principal Payments]],0)</f>
        <v>890.16643037078029</v>
      </c>
      <c r="AI110" s="4">
        <f>AI109+monthly_mortgage_schedule[[#This Row],[Principal Without Extra Principal Payments]]</f>
        <v>67348.723910522007</v>
      </c>
      <c r="AJ110" s="4">
        <f>monthly_mortgage_schedule[[#This Row],[Cumulative Principal Without Extra Principal Payments]]+down_payment_dollars</f>
        <v>127348.72391052201</v>
      </c>
      <c r="AK110" s="200">
        <f t="shared" si="9"/>
        <v>0</v>
      </c>
      <c r="AL11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472651.27608947799</v>
      </c>
      <c r="AN110" s="196">
        <f>monthly_mortgage_schedule[[#This Row],[Extra Payments Towards Equity]]+AN109+IF(monthly_mortgage_schedule[[#This Row],[Interest With Extra Principal Payments]]&gt;0,monthly_mortgage_schedule[[#This Row],[Interest Without Extra Principal Payments]]-monthly_mortgage_schedule[[#This Row],[Interest With Extra Principal Payments]],0)</f>
        <v>14973.710320920251</v>
      </c>
      <c r="AO110" s="4">
        <f>AO109+IF(monthly_mortgage_schedule[[#This Row],[Interest With Extra Principal Payments]]&gt;0,monthly_mortgage_schedule[[#This Row],[Interest Without Extra Principal Payments]]-monthly_mortgage_schedule[[#This Row],[Interest With Extra Principal Payments]],0)</f>
        <v>1973.710320920246</v>
      </c>
      <c r="AP110" s="4">
        <f>AP109+monthly_mortgage_schedule[[#This Row],[PMI Without Extra Principal Payments]]-monthly_mortgage_schedule[[#This Row],[PMI with Additional Payments]]</f>
        <v>990</v>
      </c>
      <c r="AQ110" s="4">
        <f t="shared" si="12"/>
        <v>16067.920210611723</v>
      </c>
      <c r="AR110" s="4">
        <f>Table60[[#This Row],[Cumulative Investments]]-monthly_mortgage_schedule[[#This Row],[Cumulative Extra Payments Towards Equity]]</f>
        <v>3067.9202106117227</v>
      </c>
    </row>
    <row r="111" spans="9:44" x14ac:dyDescent="0.25">
      <c r="I111">
        <v>94</v>
      </c>
      <c r="J111">
        <f>IF(MOD(ROWS($J$18:J110),12)=0,J110+1,J110)</f>
        <v>2029</v>
      </c>
      <c r="K111" s="198">
        <f>IF(M111="#N/A",NA(),monthly_mortgage_schedule[[#This Row],[Month]])</f>
        <v>94</v>
      </c>
      <c r="L111" s="198">
        <f>IF(monthly_mortgage_schedule[[#This Row],[Calendar Year]]&gt;=$C$7,monthly_mortgage_schedule[[#This Row],[Calendar Year]],NA())</f>
        <v>2029</v>
      </c>
      <c r="M111" s="199">
        <f>IF((monthly_mortgage_schedule[[#This Row],[Calendar Year]]&gt;=$C$7)*(monthly_mortgage_schedule[[#This Row],[Calendar Year]]&lt;=$C$9),monthly_mortgage_schedule[[#This Row],[Begin Year (Range)]],NA())</f>
        <v>2029</v>
      </c>
      <c r="N111" s="214">
        <f>IF((monthly_mortgage_schedule[[#This Row],[Year (Range)]]&gt;=$C$7)*(monthly_mortgage_schedule[[#This Row],[Year (Range)]]&lt;=$C$9),X111,NA())</f>
        <v>2135.8286402532694</v>
      </c>
      <c r="O111" s="214">
        <f>IF((monthly_mortgage_schedule[[#This Row],[Year (Range)]]&gt;=$C$7)*(monthly_mortgage_schedule[[#This Row],[Year (Range)]]&lt;=$C$9),Y111,NA())</f>
        <v>964.19785521013864</v>
      </c>
      <c r="P111" s="214">
        <f>IF((monthly_mortgage_schedule[[#This Row],[Year (Range)]]&gt;=$C$7)*(monthly_mortgage_schedule[[#This Row],[Year (Range)]]&lt;=$C$9),AG111,NA())</f>
        <v>2205.7059550842309</v>
      </c>
      <c r="Q111" s="214">
        <f>IF((monthly_mortgage_schedule[[#This Row],[Year (Range)]]&gt;=$C$7)*(monthly_mortgage_schedule[[#This Row],[Year (Range)]]&lt;=$C$9),AH111,NA())</f>
        <v>894.32054037917715</v>
      </c>
      <c r="R111" s="214">
        <f>IF((monthly_mortgage_schedule[[#This Row],[Year (Range)]]&gt;=$C$7)*(monthly_mortgage_schedule[[#This Row],[Year (Range)]]&lt;=$C$9),AO111,NA())</f>
        <v>2043.5876357512075</v>
      </c>
      <c r="S111" s="214">
        <f>IF((monthly_mortgage_schedule[[#This Row],[Year (Range)]]&gt;=$C$7)*(monthly_mortgage_schedule[[#This Row],[Year (Range)]]&lt;=$C$9),AP111,NA())</f>
        <v>990</v>
      </c>
      <c r="T111" s="214">
        <f>IF((monthly_mortgage_schedule[[#This Row],[Year (Range)]]&gt;=$C$7)*(monthly_mortgage_schedule[[#This Row],[Year (Range)]]&lt;=$C$9),AR111,NA())</f>
        <v>3175.0396786824658</v>
      </c>
      <c r="U111" s="214">
        <f>IF((monthly_mortgage_schedule[[#This Row],[Year (Range)]]&gt;=$C$7)*(monthly_mortgage_schedule[[#This Row],[Year (Range)]]&lt;=$C$9),AB111,NA())</f>
        <v>83286.632086652404</v>
      </c>
      <c r="V111" s="214">
        <f>IF((monthly_mortgage_schedule[[#This Row],[Year (Range)]]&gt;=$C$7)*(monthly_mortgage_schedule[[#This Row],[Year (Range)]]&lt;=$C$9),AI111,NA())</f>
        <v>68243.044450901187</v>
      </c>
      <c r="W111" s="187">
        <f t="shared" si="10"/>
        <v>457677.56576855766</v>
      </c>
      <c r="X111" s="4">
        <f t="shared" si="13"/>
        <v>2135.8286402532694</v>
      </c>
      <c r="Y111" s="4">
        <f t="shared" si="11"/>
        <v>964.19785521013864</v>
      </c>
      <c r="Z111" s="4">
        <f>_xlfn.IFNA(INDEX(additional_mortgage_payments[],MATCH(monthly_mortgage_schedule[[#This Row],[Month]],additional_mortgage_payments[Month],0),3),0)</f>
        <v>0</v>
      </c>
      <c r="AA111" s="4">
        <f>AA110+monthly_mortgage_schedule[[#This Row],[Extra Payments Towards Equity]]</f>
        <v>13000</v>
      </c>
      <c r="AB111" s="4">
        <f>AB110+monthly_mortgage_schedule[[#This Row],[Principal With Extra Principal Payments]]+monthly_mortgage_schedule[[#This Row],[Extra Payments Towards Equity]]</f>
        <v>83286.632086652404</v>
      </c>
      <c r="AC111" s="4">
        <f>monthly_mortgage_schedule[[#This Row],[Cumulative Principal With Extra Principal Payments]]+down_payment_dollars</f>
        <v>143286.63208665239</v>
      </c>
      <c r="AD111" s="200">
        <f t="shared" si="8"/>
        <v>0</v>
      </c>
      <c r="AE11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456713.36791334749</v>
      </c>
      <c r="AF111" s="187">
        <f t="shared" si="14"/>
        <v>472651.27608947799</v>
      </c>
      <c r="AG111" s="4">
        <f>IF(monthly_mortgage_schedule[[#This Row],[Loan Balance (BOY) Without Extra Principal Payments]]&gt;0,monthly_mortgage_schedule[[#This Row],[Loan Balance (BOY) Without Extra Principal Payments]]*monthly_interest_rate,0)</f>
        <v>2205.7059550842309</v>
      </c>
      <c r="AH111" s="4">
        <f>IF(monthly_mortgage_schedule[[#This Row],[Loan Balance (BOY) Without Extra Principal Payments]]&gt;1,monthly_principal_and_interest-monthly_mortgage_schedule[[#This Row],[Interest Without Extra Principal Payments]],0)</f>
        <v>894.32054037917715</v>
      </c>
      <c r="AI111" s="4">
        <f>AI110+monthly_mortgage_schedule[[#This Row],[Principal Without Extra Principal Payments]]</f>
        <v>68243.044450901187</v>
      </c>
      <c r="AJ111" s="4">
        <f>monthly_mortgage_schedule[[#This Row],[Cumulative Principal Without Extra Principal Payments]]+down_payment_dollars</f>
        <v>128243.04445090119</v>
      </c>
      <c r="AK111" s="200">
        <f t="shared" si="9"/>
        <v>0</v>
      </c>
      <c r="AL11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471756.95554909884</v>
      </c>
      <c r="AN111" s="196">
        <f>monthly_mortgage_schedule[[#This Row],[Extra Payments Towards Equity]]+AN110+IF(monthly_mortgage_schedule[[#This Row],[Interest With Extra Principal Payments]]&gt;0,monthly_mortgage_schedule[[#This Row],[Interest Without Extra Principal Payments]]-monthly_mortgage_schedule[[#This Row],[Interest With Extra Principal Payments]],0)</f>
        <v>15043.587635751212</v>
      </c>
      <c r="AO111" s="4">
        <f>AO110+IF(monthly_mortgage_schedule[[#This Row],[Interest With Extra Principal Payments]]&gt;0,monthly_mortgage_schedule[[#This Row],[Interest Without Extra Principal Payments]]-monthly_mortgage_schedule[[#This Row],[Interest With Extra Principal Payments]],0)</f>
        <v>2043.5876357512075</v>
      </c>
      <c r="AP111" s="4">
        <f>AP110+monthly_mortgage_schedule[[#This Row],[PMI Without Extra Principal Payments]]-monthly_mortgage_schedule[[#This Row],[PMI with Additional Payments]]</f>
        <v>990</v>
      </c>
      <c r="AQ111" s="4">
        <f t="shared" si="12"/>
        <v>16175.039678682466</v>
      </c>
      <c r="AR111" s="4">
        <f>Table60[[#This Row],[Cumulative Investments]]-monthly_mortgage_schedule[[#This Row],[Cumulative Extra Payments Towards Equity]]</f>
        <v>3175.0396786824658</v>
      </c>
    </row>
    <row r="112" spans="9:44" x14ac:dyDescent="0.25">
      <c r="I112">
        <v>95</v>
      </c>
      <c r="J112">
        <f>IF(MOD(ROWS($J$18:J111),12)=0,J111+1,J111)</f>
        <v>2029</v>
      </c>
      <c r="K112" s="198">
        <f>IF(M112="#N/A",NA(),monthly_mortgage_schedule[[#This Row],[Month]])</f>
        <v>95</v>
      </c>
      <c r="L112" s="198">
        <f>IF(monthly_mortgage_schedule[[#This Row],[Calendar Year]]&gt;=$C$7,monthly_mortgage_schedule[[#This Row],[Calendar Year]],NA())</f>
        <v>2029</v>
      </c>
      <c r="M112" s="199">
        <f>IF((monthly_mortgage_schedule[[#This Row],[Calendar Year]]&gt;=$C$7)*(monthly_mortgage_schedule[[#This Row],[Calendar Year]]&lt;=$C$9),monthly_mortgage_schedule[[#This Row],[Begin Year (Range)]],NA())</f>
        <v>2029</v>
      </c>
      <c r="N112" s="214">
        <f>IF((monthly_mortgage_schedule[[#This Row],[Year (Range)]]&gt;=$C$7)*(monthly_mortgage_schedule[[#This Row],[Year (Range)]]&lt;=$C$9),X112,NA())</f>
        <v>2131.3290502622885</v>
      </c>
      <c r="O112" s="214">
        <f>IF((monthly_mortgage_schedule[[#This Row],[Year (Range)]]&gt;=$C$7)*(monthly_mortgage_schedule[[#This Row],[Year (Range)]]&lt;=$C$9),Y112,NA())</f>
        <v>968.69744520111954</v>
      </c>
      <c r="P112" s="214">
        <f>IF((monthly_mortgage_schedule[[#This Row],[Year (Range)]]&gt;=$C$7)*(monthly_mortgage_schedule[[#This Row],[Year (Range)]]&lt;=$C$9),AG112,NA())</f>
        <v>2201.5324592291281</v>
      </c>
      <c r="Q112" s="214">
        <f>IF((monthly_mortgage_schedule[[#This Row],[Year (Range)]]&gt;=$C$7)*(monthly_mortgage_schedule[[#This Row],[Year (Range)]]&lt;=$C$9),AH112,NA())</f>
        <v>898.49403623427997</v>
      </c>
      <c r="R112" s="214">
        <f>IF((monthly_mortgage_schedule[[#This Row],[Year (Range)]]&gt;=$C$7)*(monthly_mortgage_schedule[[#This Row],[Year (Range)]]&lt;=$C$9),AO112,NA())</f>
        <v>2113.791044718047</v>
      </c>
      <c r="S112" s="214">
        <f>IF((monthly_mortgage_schedule[[#This Row],[Year (Range)]]&gt;=$C$7)*(monthly_mortgage_schedule[[#This Row],[Year (Range)]]&lt;=$C$9),AP112,NA())</f>
        <v>990</v>
      </c>
      <c r="T112" s="214">
        <f>IF((monthly_mortgage_schedule[[#This Row],[Year (Range)]]&gt;=$C$7)*(monthly_mortgage_schedule[[#This Row],[Year (Range)]]&lt;=$C$9),AR112,NA())</f>
        <v>3282.8732765403474</v>
      </c>
      <c r="U112" s="214">
        <f>IF((monthly_mortgage_schedule[[#This Row],[Year (Range)]]&gt;=$C$7)*(monthly_mortgage_schedule[[#This Row],[Year (Range)]]&lt;=$C$9),AB112,NA())</f>
        <v>84255.329531853524</v>
      </c>
      <c r="V112" s="214">
        <f>IF((monthly_mortgage_schedule[[#This Row],[Year (Range)]]&gt;=$C$7)*(monthly_mortgage_schedule[[#This Row],[Year (Range)]]&lt;=$C$9),AI112,NA())</f>
        <v>69141.538487135462</v>
      </c>
      <c r="W112" s="187">
        <f t="shared" si="10"/>
        <v>456713.36791334749</v>
      </c>
      <c r="X112" s="4">
        <f t="shared" si="13"/>
        <v>2131.3290502622885</v>
      </c>
      <c r="Y112" s="4">
        <f t="shared" si="11"/>
        <v>968.69744520111954</v>
      </c>
      <c r="Z112" s="4">
        <f>_xlfn.IFNA(INDEX(additional_mortgage_payments[],MATCH(monthly_mortgage_schedule[[#This Row],[Month]],additional_mortgage_payments[Month],0),3),0)</f>
        <v>0</v>
      </c>
      <c r="AA112" s="4">
        <f>AA111+monthly_mortgage_schedule[[#This Row],[Extra Payments Towards Equity]]</f>
        <v>13000</v>
      </c>
      <c r="AB112" s="4">
        <f>AB111+monthly_mortgage_schedule[[#This Row],[Principal With Extra Principal Payments]]+monthly_mortgage_schedule[[#This Row],[Extra Payments Towards Equity]]</f>
        <v>84255.329531853524</v>
      </c>
      <c r="AC112" s="4">
        <f>monthly_mortgage_schedule[[#This Row],[Cumulative Principal With Extra Principal Payments]]+down_payment_dollars</f>
        <v>144255.32953185352</v>
      </c>
      <c r="AD112" s="200">
        <f t="shared" si="8"/>
        <v>0</v>
      </c>
      <c r="AE11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455744.67046814639</v>
      </c>
      <c r="AF112" s="187">
        <f t="shared" si="14"/>
        <v>471756.95554909884</v>
      </c>
      <c r="AG112" s="4">
        <f>IF(monthly_mortgage_schedule[[#This Row],[Loan Balance (BOY) Without Extra Principal Payments]]&gt;0,monthly_mortgage_schedule[[#This Row],[Loan Balance (BOY) Without Extra Principal Payments]]*monthly_interest_rate,0)</f>
        <v>2201.5324592291281</v>
      </c>
      <c r="AH112" s="4">
        <f>IF(monthly_mortgage_schedule[[#This Row],[Loan Balance (BOY) Without Extra Principal Payments]]&gt;1,monthly_principal_and_interest-monthly_mortgage_schedule[[#This Row],[Interest Without Extra Principal Payments]],0)</f>
        <v>898.49403623427997</v>
      </c>
      <c r="AI112" s="4">
        <f>AI111+monthly_mortgage_schedule[[#This Row],[Principal Without Extra Principal Payments]]</f>
        <v>69141.538487135462</v>
      </c>
      <c r="AJ112" s="4">
        <f>monthly_mortgage_schedule[[#This Row],[Cumulative Principal Without Extra Principal Payments]]+down_payment_dollars</f>
        <v>129141.53848713546</v>
      </c>
      <c r="AK112" s="200">
        <f t="shared" si="9"/>
        <v>0</v>
      </c>
      <c r="AL11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470858.46151286457</v>
      </c>
      <c r="AN112" s="196">
        <f>monthly_mortgage_schedule[[#This Row],[Extra Payments Towards Equity]]+AN111+IF(monthly_mortgage_schedule[[#This Row],[Interest With Extra Principal Payments]]&gt;0,monthly_mortgage_schedule[[#This Row],[Interest Without Extra Principal Payments]]-monthly_mortgage_schedule[[#This Row],[Interest With Extra Principal Payments]],0)</f>
        <v>15113.791044718051</v>
      </c>
      <c r="AO112" s="4">
        <f>AO111+IF(monthly_mortgage_schedule[[#This Row],[Interest With Extra Principal Payments]]&gt;0,monthly_mortgage_schedule[[#This Row],[Interest Without Extra Principal Payments]]-monthly_mortgage_schedule[[#This Row],[Interest With Extra Principal Payments]],0)</f>
        <v>2113.791044718047</v>
      </c>
      <c r="AP112" s="4">
        <f>AP111+monthly_mortgage_schedule[[#This Row],[PMI Without Extra Principal Payments]]-monthly_mortgage_schedule[[#This Row],[PMI with Additional Payments]]</f>
        <v>990</v>
      </c>
      <c r="AQ112" s="4">
        <f t="shared" si="12"/>
        <v>16282.873276540347</v>
      </c>
      <c r="AR112" s="4">
        <f>Table60[[#This Row],[Cumulative Investments]]-monthly_mortgage_schedule[[#This Row],[Cumulative Extra Payments Towards Equity]]</f>
        <v>3282.8732765403474</v>
      </c>
    </row>
    <row r="113" spans="9:44" x14ac:dyDescent="0.25">
      <c r="I113">
        <v>96</v>
      </c>
      <c r="J113">
        <f>IF(MOD(ROWS($J$18:J112),12)=0,J112+1,J112)</f>
        <v>2029</v>
      </c>
      <c r="K113" s="198">
        <f>IF(M113="#N/A",NA(),monthly_mortgage_schedule[[#This Row],[Month]])</f>
        <v>96</v>
      </c>
      <c r="L113" s="198">
        <f>IF(monthly_mortgage_schedule[[#This Row],[Calendar Year]]&gt;=$C$7,monthly_mortgage_schedule[[#This Row],[Calendar Year]],NA())</f>
        <v>2029</v>
      </c>
      <c r="M113" s="199">
        <f>IF((monthly_mortgage_schedule[[#This Row],[Calendar Year]]&gt;=$C$7)*(monthly_mortgage_schedule[[#This Row],[Calendar Year]]&lt;=$C$9),monthly_mortgage_schedule[[#This Row],[Begin Year (Range)]],NA())</f>
        <v>2029</v>
      </c>
      <c r="N113" s="214">
        <f>IF((monthly_mortgage_schedule[[#This Row],[Year (Range)]]&gt;=$C$7)*(monthly_mortgage_schedule[[#This Row],[Year (Range)]]&lt;=$C$9),X113,NA())</f>
        <v>2126.8084621846833</v>
      </c>
      <c r="O113" s="214">
        <f>IF((monthly_mortgage_schedule[[#This Row],[Year (Range)]]&gt;=$C$7)*(monthly_mortgage_schedule[[#This Row],[Year (Range)]]&lt;=$C$9),Y113,NA())</f>
        <v>973.21803327872476</v>
      </c>
      <c r="P113" s="214">
        <f>IF((monthly_mortgage_schedule[[#This Row],[Year (Range)]]&gt;=$C$7)*(monthly_mortgage_schedule[[#This Row],[Year (Range)]]&lt;=$C$9),AG113,NA())</f>
        <v>2197.339487060035</v>
      </c>
      <c r="Q113" s="214">
        <f>IF((monthly_mortgage_schedule[[#This Row],[Year (Range)]]&gt;=$C$7)*(monthly_mortgage_schedule[[#This Row],[Year (Range)]]&lt;=$C$9),AH113,NA())</f>
        <v>902.68700840337306</v>
      </c>
      <c r="R113" s="214">
        <f>IF((monthly_mortgage_schedule[[#This Row],[Year (Range)]]&gt;=$C$7)*(monthly_mortgage_schedule[[#This Row],[Year (Range)]]&lt;=$C$9),AO113,NA())</f>
        <v>2184.3220695933987</v>
      </c>
      <c r="S113" s="214">
        <f>IF((monthly_mortgage_schedule[[#This Row],[Year (Range)]]&gt;=$C$7)*(monthly_mortgage_schedule[[#This Row],[Year (Range)]]&lt;=$C$9),AP113,NA())</f>
        <v>990</v>
      </c>
      <c r="T113" s="214">
        <f>IF((monthly_mortgage_schedule[[#This Row],[Year (Range)]]&gt;=$C$7)*(monthly_mortgage_schedule[[#This Row],[Year (Range)]]&lt;=$C$9),AR113,NA())</f>
        <v>3391.4257650506152</v>
      </c>
      <c r="U113" s="214">
        <f>IF((monthly_mortgage_schedule[[#This Row],[Year (Range)]]&gt;=$C$7)*(monthly_mortgage_schedule[[#This Row],[Year (Range)]]&lt;=$C$9),AB113,NA())</f>
        <v>85228.547565132249</v>
      </c>
      <c r="V113" s="214">
        <f>IF((monthly_mortgage_schedule[[#This Row],[Year (Range)]]&gt;=$C$7)*(monthly_mortgage_schedule[[#This Row],[Year (Range)]]&lt;=$C$9),AI113,NA())</f>
        <v>70044.225495538834</v>
      </c>
      <c r="W113" s="187">
        <f t="shared" si="10"/>
        <v>455744.67046814639</v>
      </c>
      <c r="X113" s="4">
        <f t="shared" si="13"/>
        <v>2126.8084621846833</v>
      </c>
      <c r="Y113" s="4">
        <f t="shared" si="11"/>
        <v>973.21803327872476</v>
      </c>
      <c r="Z113" s="4">
        <f>_xlfn.IFNA(INDEX(additional_mortgage_payments[],MATCH(monthly_mortgage_schedule[[#This Row],[Month]],additional_mortgage_payments[Month],0),3),0)</f>
        <v>0</v>
      </c>
      <c r="AA113" s="4">
        <f>AA112+monthly_mortgage_schedule[[#This Row],[Extra Payments Towards Equity]]</f>
        <v>13000</v>
      </c>
      <c r="AB113" s="4">
        <f>AB112+monthly_mortgage_schedule[[#This Row],[Principal With Extra Principal Payments]]+monthly_mortgage_schedule[[#This Row],[Extra Payments Towards Equity]]</f>
        <v>85228.547565132249</v>
      </c>
      <c r="AC113" s="4">
        <f>monthly_mortgage_schedule[[#This Row],[Cumulative Principal With Extra Principal Payments]]+down_payment_dollars</f>
        <v>145228.54756513226</v>
      </c>
      <c r="AD113" s="200">
        <f t="shared" si="8"/>
        <v>0</v>
      </c>
      <c r="AE11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454771.45243486768</v>
      </c>
      <c r="AF113" s="187">
        <f t="shared" si="14"/>
        <v>470858.46151286457</v>
      </c>
      <c r="AG113" s="4">
        <f>IF(monthly_mortgage_schedule[[#This Row],[Loan Balance (BOY) Without Extra Principal Payments]]&gt;0,monthly_mortgage_schedule[[#This Row],[Loan Balance (BOY) Without Extra Principal Payments]]*monthly_interest_rate,0)</f>
        <v>2197.339487060035</v>
      </c>
      <c r="AH113" s="4">
        <f>IF(monthly_mortgage_schedule[[#This Row],[Loan Balance (BOY) Without Extra Principal Payments]]&gt;1,monthly_principal_and_interest-monthly_mortgage_schedule[[#This Row],[Interest Without Extra Principal Payments]],0)</f>
        <v>902.68700840337306</v>
      </c>
      <c r="AI113" s="4">
        <f>AI112+monthly_mortgage_schedule[[#This Row],[Principal Without Extra Principal Payments]]</f>
        <v>70044.225495538834</v>
      </c>
      <c r="AJ113" s="4">
        <f>monthly_mortgage_schedule[[#This Row],[Cumulative Principal Without Extra Principal Payments]]+down_payment_dollars</f>
        <v>130044.22549553883</v>
      </c>
      <c r="AK113" s="200">
        <f t="shared" si="9"/>
        <v>0</v>
      </c>
      <c r="AL11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469955.77450446121</v>
      </c>
      <c r="AN113" s="196">
        <f>monthly_mortgage_schedule[[#This Row],[Extra Payments Towards Equity]]+AN112+IF(monthly_mortgage_schedule[[#This Row],[Interest With Extra Principal Payments]]&gt;0,monthly_mortgage_schedule[[#This Row],[Interest Without Extra Principal Payments]]-monthly_mortgage_schedule[[#This Row],[Interest With Extra Principal Payments]],0)</f>
        <v>15184.322069593403</v>
      </c>
      <c r="AO113" s="4">
        <f>AO112+IF(monthly_mortgage_schedule[[#This Row],[Interest With Extra Principal Payments]]&gt;0,monthly_mortgage_schedule[[#This Row],[Interest Without Extra Principal Payments]]-monthly_mortgage_schedule[[#This Row],[Interest With Extra Principal Payments]],0)</f>
        <v>2184.3220695933987</v>
      </c>
      <c r="AP113" s="4">
        <f>AP112+monthly_mortgage_schedule[[#This Row],[PMI Without Extra Principal Payments]]-monthly_mortgage_schedule[[#This Row],[PMI with Additional Payments]]</f>
        <v>990</v>
      </c>
      <c r="AQ113" s="4">
        <f t="shared" si="12"/>
        <v>16391.425765050615</v>
      </c>
      <c r="AR113" s="4">
        <f>Table60[[#This Row],[Cumulative Investments]]-monthly_mortgage_schedule[[#This Row],[Cumulative Extra Payments Towards Equity]]</f>
        <v>3391.4257650506152</v>
      </c>
    </row>
    <row r="114" spans="9:44" x14ac:dyDescent="0.25">
      <c r="I114">
        <v>97</v>
      </c>
      <c r="J114">
        <f>IF(MOD(ROWS($J$18:J113),12)=0,J113+1,J113)</f>
        <v>2030</v>
      </c>
      <c r="K114" s="198">
        <f>IF(M114="#N/A",NA(),monthly_mortgage_schedule[[#This Row],[Month]])</f>
        <v>97</v>
      </c>
      <c r="L114" s="198">
        <f>IF(monthly_mortgage_schedule[[#This Row],[Calendar Year]]&gt;=$C$7,monthly_mortgage_schedule[[#This Row],[Calendar Year]],NA())</f>
        <v>2030</v>
      </c>
      <c r="M114" s="199">
        <f>IF((monthly_mortgage_schedule[[#This Row],[Calendar Year]]&gt;=$C$7)*(monthly_mortgage_schedule[[#This Row],[Calendar Year]]&lt;=$C$9),monthly_mortgage_schedule[[#This Row],[Begin Year (Range)]],NA())</f>
        <v>2030</v>
      </c>
      <c r="N114" s="214">
        <f>IF((monthly_mortgage_schedule[[#This Row],[Year (Range)]]&gt;=$C$7)*(monthly_mortgage_schedule[[#This Row],[Year (Range)]]&lt;=$C$9),X114,NA())</f>
        <v>2122.2667780293827</v>
      </c>
      <c r="O114" s="214">
        <f>IF((monthly_mortgage_schedule[[#This Row],[Year (Range)]]&gt;=$C$7)*(monthly_mortgage_schedule[[#This Row],[Year (Range)]]&lt;=$C$9),Y114,NA())</f>
        <v>977.75971743402533</v>
      </c>
      <c r="P114" s="214">
        <f>IF((monthly_mortgage_schedule[[#This Row],[Year (Range)]]&gt;=$C$7)*(monthly_mortgage_schedule[[#This Row],[Year (Range)]]&lt;=$C$9),AG114,NA())</f>
        <v>2193.1269476874859</v>
      </c>
      <c r="Q114" s="214">
        <f>IF((monthly_mortgage_schedule[[#This Row],[Year (Range)]]&gt;=$C$7)*(monthly_mortgage_schedule[[#This Row],[Year (Range)]]&lt;=$C$9),AH114,NA())</f>
        <v>906.8995477759222</v>
      </c>
      <c r="R114" s="214">
        <f>IF((monthly_mortgage_schedule[[#This Row],[Year (Range)]]&gt;=$C$7)*(monthly_mortgage_schedule[[#This Row],[Year (Range)]]&lt;=$C$9),AO114,NA())</f>
        <v>2255.1822392515019</v>
      </c>
      <c r="S114" s="214">
        <f>IF((monthly_mortgage_schedule[[#This Row],[Year (Range)]]&gt;=$C$7)*(monthly_mortgage_schedule[[#This Row],[Year (Range)]]&lt;=$C$9),AP114,NA())</f>
        <v>990</v>
      </c>
      <c r="T114" s="214">
        <f>IF((monthly_mortgage_schedule[[#This Row],[Year (Range)]]&gt;=$C$7)*(monthly_mortgage_schedule[[#This Row],[Year (Range)]]&lt;=$C$9),AR114,NA())</f>
        <v>3500.7019368176188</v>
      </c>
      <c r="U114" s="214">
        <f>IF((monthly_mortgage_schedule[[#This Row],[Year (Range)]]&gt;=$C$7)*(monthly_mortgage_schedule[[#This Row],[Year (Range)]]&lt;=$C$9),AB114,NA())</f>
        <v>86206.307282566268</v>
      </c>
      <c r="V114" s="214">
        <f>IF((monthly_mortgage_schedule[[#This Row],[Year (Range)]]&gt;=$C$7)*(monthly_mortgage_schedule[[#This Row],[Year (Range)]]&lt;=$C$9),AI114,NA())</f>
        <v>70951.125043314751</v>
      </c>
      <c r="W114" s="187">
        <f t="shared" si="10"/>
        <v>454771.45243486768</v>
      </c>
      <c r="X114" s="4">
        <f t="shared" si="13"/>
        <v>2122.2667780293827</v>
      </c>
      <c r="Y114" s="4">
        <f t="shared" si="11"/>
        <v>977.75971743402533</v>
      </c>
      <c r="Z114" s="4">
        <f>_xlfn.IFNA(INDEX(additional_mortgage_payments[],MATCH(monthly_mortgage_schedule[[#This Row],[Month]],additional_mortgage_payments[Month],0),3),0)</f>
        <v>0</v>
      </c>
      <c r="AA114" s="4">
        <f>AA113+monthly_mortgage_schedule[[#This Row],[Extra Payments Towards Equity]]</f>
        <v>13000</v>
      </c>
      <c r="AB114" s="4">
        <f>AB113+monthly_mortgage_schedule[[#This Row],[Principal With Extra Principal Payments]]+monthly_mortgage_schedule[[#This Row],[Extra Payments Towards Equity]]</f>
        <v>86206.307282566268</v>
      </c>
      <c r="AC114" s="4">
        <f>monthly_mortgage_schedule[[#This Row],[Cumulative Principal With Extra Principal Payments]]+down_payment_dollars</f>
        <v>146206.30728256627</v>
      </c>
      <c r="AD114" s="200">
        <f t="shared" si="8"/>
        <v>0</v>
      </c>
      <c r="AE11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453793.69271743367</v>
      </c>
      <c r="AF114" s="187">
        <f t="shared" si="14"/>
        <v>469955.77450446121</v>
      </c>
      <c r="AG114" s="4">
        <f>IF(monthly_mortgage_schedule[[#This Row],[Loan Balance (BOY) Without Extra Principal Payments]]&gt;0,monthly_mortgage_schedule[[#This Row],[Loan Balance (BOY) Without Extra Principal Payments]]*monthly_interest_rate,0)</f>
        <v>2193.1269476874859</v>
      </c>
      <c r="AH114" s="4">
        <f>IF(monthly_mortgage_schedule[[#This Row],[Loan Balance (BOY) Without Extra Principal Payments]]&gt;1,monthly_principal_and_interest-monthly_mortgage_schedule[[#This Row],[Interest Without Extra Principal Payments]],0)</f>
        <v>906.8995477759222</v>
      </c>
      <c r="AI114" s="4">
        <f>AI113+monthly_mortgage_schedule[[#This Row],[Principal Without Extra Principal Payments]]</f>
        <v>70951.125043314751</v>
      </c>
      <c r="AJ114" s="4">
        <f>monthly_mortgage_schedule[[#This Row],[Cumulative Principal Without Extra Principal Payments]]+down_payment_dollars</f>
        <v>130951.12504331475</v>
      </c>
      <c r="AK114" s="200">
        <f t="shared" si="9"/>
        <v>0</v>
      </c>
      <c r="AL11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469048.87495668529</v>
      </c>
      <c r="AN114" s="196">
        <f>monthly_mortgage_schedule[[#This Row],[Extra Payments Towards Equity]]+AN113+IF(monthly_mortgage_schedule[[#This Row],[Interest With Extra Principal Payments]]&gt;0,monthly_mortgage_schedule[[#This Row],[Interest Without Extra Principal Payments]]-monthly_mortgage_schedule[[#This Row],[Interest With Extra Principal Payments]],0)</f>
        <v>15255.182239251506</v>
      </c>
      <c r="AO114" s="4">
        <f>AO113+IF(monthly_mortgage_schedule[[#This Row],[Interest With Extra Principal Payments]]&gt;0,monthly_mortgage_schedule[[#This Row],[Interest Without Extra Principal Payments]]-monthly_mortgage_schedule[[#This Row],[Interest With Extra Principal Payments]],0)</f>
        <v>2255.1822392515019</v>
      </c>
      <c r="AP114" s="4">
        <f>AP113+monthly_mortgage_schedule[[#This Row],[PMI Without Extra Principal Payments]]-monthly_mortgage_schedule[[#This Row],[PMI with Additional Payments]]</f>
        <v>990</v>
      </c>
      <c r="AQ114" s="4">
        <f t="shared" si="12"/>
        <v>16500.701936817619</v>
      </c>
      <c r="AR114" s="4">
        <f>Table60[[#This Row],[Cumulative Investments]]-monthly_mortgage_schedule[[#This Row],[Cumulative Extra Payments Towards Equity]]</f>
        <v>3500.7019368176188</v>
      </c>
    </row>
    <row r="115" spans="9:44" x14ac:dyDescent="0.25">
      <c r="I115">
        <v>98</v>
      </c>
      <c r="J115">
        <f>IF(MOD(ROWS($J$18:J114),12)=0,J114+1,J114)</f>
        <v>2030</v>
      </c>
      <c r="K115" s="198">
        <f>IF(M115="#N/A",NA(),monthly_mortgage_schedule[[#This Row],[Month]])</f>
        <v>98</v>
      </c>
      <c r="L115" s="198">
        <f>IF(monthly_mortgage_schedule[[#This Row],[Calendar Year]]&gt;=$C$7,monthly_mortgage_schedule[[#This Row],[Calendar Year]],NA())</f>
        <v>2030</v>
      </c>
      <c r="M115" s="199">
        <f>IF((monthly_mortgage_schedule[[#This Row],[Calendar Year]]&gt;=$C$7)*(monthly_mortgage_schedule[[#This Row],[Calendar Year]]&lt;=$C$9),monthly_mortgage_schedule[[#This Row],[Begin Year (Range)]],NA())</f>
        <v>2030</v>
      </c>
      <c r="N115" s="214">
        <f>IF((monthly_mortgage_schedule[[#This Row],[Year (Range)]]&gt;=$C$7)*(monthly_mortgage_schedule[[#This Row],[Year (Range)]]&lt;=$C$9),X115,NA())</f>
        <v>2117.7038993480242</v>
      </c>
      <c r="O115" s="214">
        <f>IF((monthly_mortgage_schedule[[#This Row],[Year (Range)]]&gt;=$C$7)*(monthly_mortgage_schedule[[#This Row],[Year (Range)]]&lt;=$C$9),Y115,NA())</f>
        <v>982.32259611538393</v>
      </c>
      <c r="P115" s="214">
        <f>IF((monthly_mortgage_schedule[[#This Row],[Year (Range)]]&gt;=$C$7)*(monthly_mortgage_schedule[[#This Row],[Year (Range)]]&lt;=$C$9),AG115,NA())</f>
        <v>2188.8947497978647</v>
      </c>
      <c r="Q115" s="214">
        <f>IF((monthly_mortgage_schedule[[#This Row],[Year (Range)]]&gt;=$C$7)*(monthly_mortgage_schedule[[#This Row],[Year (Range)]]&lt;=$C$9),AH115,NA())</f>
        <v>911.13174566554335</v>
      </c>
      <c r="R115" s="214">
        <f>IF((monthly_mortgage_schedule[[#This Row],[Year (Range)]]&gt;=$C$7)*(monthly_mortgage_schedule[[#This Row],[Year (Range)]]&lt;=$C$9),AO115,NA())</f>
        <v>2326.3730897013425</v>
      </c>
      <c r="S115" s="214">
        <f>IF((monthly_mortgage_schedule[[#This Row],[Year (Range)]]&gt;=$C$7)*(monthly_mortgage_schedule[[#This Row],[Year (Range)]]&lt;=$C$9),AP115,NA())</f>
        <v>990</v>
      </c>
      <c r="T115" s="214">
        <f>IF((monthly_mortgage_schedule[[#This Row],[Year (Range)]]&gt;=$C$7)*(monthly_mortgage_schedule[[#This Row],[Year (Range)]]&lt;=$C$9),AR115,NA())</f>
        <v>3610.7066163964009</v>
      </c>
      <c r="U115" s="214">
        <f>IF((monthly_mortgage_schedule[[#This Row],[Year (Range)]]&gt;=$C$7)*(monthly_mortgage_schedule[[#This Row],[Year (Range)]]&lt;=$C$9),AB115,NA())</f>
        <v>87188.629878681648</v>
      </c>
      <c r="V115" s="214">
        <f>IF((monthly_mortgage_schedule[[#This Row],[Year (Range)]]&gt;=$C$7)*(monthly_mortgage_schedule[[#This Row],[Year (Range)]]&lt;=$C$9),AI115,NA())</f>
        <v>71862.256788980289</v>
      </c>
      <c r="W115" s="187">
        <f t="shared" si="10"/>
        <v>453793.69271743367</v>
      </c>
      <c r="X115" s="4">
        <f t="shared" si="13"/>
        <v>2117.7038993480242</v>
      </c>
      <c r="Y115" s="4">
        <f t="shared" si="11"/>
        <v>982.32259611538393</v>
      </c>
      <c r="Z115" s="4">
        <f>_xlfn.IFNA(INDEX(additional_mortgage_payments[],MATCH(monthly_mortgage_schedule[[#This Row],[Month]],additional_mortgage_payments[Month],0),3),0)</f>
        <v>0</v>
      </c>
      <c r="AA115" s="4">
        <f>AA114+monthly_mortgage_schedule[[#This Row],[Extra Payments Towards Equity]]</f>
        <v>13000</v>
      </c>
      <c r="AB115" s="4">
        <f>AB114+monthly_mortgage_schedule[[#This Row],[Principal With Extra Principal Payments]]+monthly_mortgage_schedule[[#This Row],[Extra Payments Towards Equity]]</f>
        <v>87188.629878681648</v>
      </c>
      <c r="AC115" s="4">
        <f>monthly_mortgage_schedule[[#This Row],[Cumulative Principal With Extra Principal Payments]]+down_payment_dollars</f>
        <v>147188.62987868165</v>
      </c>
      <c r="AD115" s="200">
        <f t="shared" si="8"/>
        <v>0</v>
      </c>
      <c r="AE11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452811.37012131826</v>
      </c>
      <c r="AF115" s="187">
        <f t="shared" si="14"/>
        <v>469048.87495668529</v>
      </c>
      <c r="AG115" s="4">
        <f>IF(monthly_mortgage_schedule[[#This Row],[Loan Balance (BOY) Without Extra Principal Payments]]&gt;0,monthly_mortgage_schedule[[#This Row],[Loan Balance (BOY) Without Extra Principal Payments]]*monthly_interest_rate,0)</f>
        <v>2188.8947497978647</v>
      </c>
      <c r="AH115" s="4">
        <f>IF(monthly_mortgage_schedule[[#This Row],[Loan Balance (BOY) Without Extra Principal Payments]]&gt;1,monthly_principal_and_interest-monthly_mortgage_schedule[[#This Row],[Interest Without Extra Principal Payments]],0)</f>
        <v>911.13174566554335</v>
      </c>
      <c r="AI115" s="4">
        <f>AI114+monthly_mortgage_schedule[[#This Row],[Principal Without Extra Principal Payments]]</f>
        <v>71862.256788980289</v>
      </c>
      <c r="AJ115" s="4">
        <f>monthly_mortgage_schedule[[#This Row],[Cumulative Principal Without Extra Principal Payments]]+down_payment_dollars</f>
        <v>131862.25678898027</v>
      </c>
      <c r="AK115" s="200">
        <f t="shared" si="9"/>
        <v>0</v>
      </c>
      <c r="AL11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468137.74321101973</v>
      </c>
      <c r="AN115" s="196">
        <f>monthly_mortgage_schedule[[#This Row],[Extra Payments Towards Equity]]+AN114+IF(monthly_mortgage_schedule[[#This Row],[Interest With Extra Principal Payments]]&gt;0,monthly_mortgage_schedule[[#This Row],[Interest Without Extra Principal Payments]]-monthly_mortgage_schedule[[#This Row],[Interest With Extra Principal Payments]],0)</f>
        <v>15326.373089701347</v>
      </c>
      <c r="AO115" s="4">
        <f>AO114+IF(monthly_mortgage_schedule[[#This Row],[Interest With Extra Principal Payments]]&gt;0,monthly_mortgage_schedule[[#This Row],[Interest Without Extra Principal Payments]]-monthly_mortgage_schedule[[#This Row],[Interest With Extra Principal Payments]],0)</f>
        <v>2326.3730897013425</v>
      </c>
      <c r="AP115" s="4">
        <f>AP114+monthly_mortgage_schedule[[#This Row],[PMI Without Extra Principal Payments]]-monthly_mortgage_schedule[[#This Row],[PMI with Additional Payments]]</f>
        <v>990</v>
      </c>
      <c r="AQ115" s="4">
        <f t="shared" si="12"/>
        <v>16610.706616396401</v>
      </c>
      <c r="AR115" s="4">
        <f>Table60[[#This Row],[Cumulative Investments]]-monthly_mortgage_schedule[[#This Row],[Cumulative Extra Payments Towards Equity]]</f>
        <v>3610.7066163964009</v>
      </c>
    </row>
    <row r="116" spans="9:44" x14ac:dyDescent="0.25">
      <c r="I116">
        <v>99</v>
      </c>
      <c r="J116">
        <f>IF(MOD(ROWS($J$18:J115),12)=0,J115+1,J115)</f>
        <v>2030</v>
      </c>
      <c r="K116" s="198">
        <f>IF(M116="#N/A",NA(),monthly_mortgage_schedule[[#This Row],[Month]])</f>
        <v>99</v>
      </c>
      <c r="L116" s="198">
        <f>IF(monthly_mortgage_schedule[[#This Row],[Calendar Year]]&gt;=$C$7,monthly_mortgage_schedule[[#This Row],[Calendar Year]],NA())</f>
        <v>2030</v>
      </c>
      <c r="M116" s="199">
        <f>IF((monthly_mortgage_schedule[[#This Row],[Calendar Year]]&gt;=$C$7)*(monthly_mortgage_schedule[[#This Row],[Calendar Year]]&lt;=$C$9),monthly_mortgage_schedule[[#This Row],[Begin Year (Range)]],NA())</f>
        <v>2030</v>
      </c>
      <c r="N116" s="214">
        <f>IF((monthly_mortgage_schedule[[#This Row],[Year (Range)]]&gt;=$C$7)*(monthly_mortgage_schedule[[#This Row],[Year (Range)]]&lt;=$C$9),X116,NA())</f>
        <v>2113.1197272328186</v>
      </c>
      <c r="O116" s="214">
        <f>IF((monthly_mortgage_schedule[[#This Row],[Year (Range)]]&gt;=$C$7)*(monthly_mortgage_schedule[[#This Row],[Year (Range)]]&lt;=$C$9),Y116,NA())</f>
        <v>986.90676823058948</v>
      </c>
      <c r="P116" s="214">
        <f>IF((monthly_mortgage_schedule[[#This Row],[Year (Range)]]&gt;=$C$7)*(monthly_mortgage_schedule[[#This Row],[Year (Range)]]&lt;=$C$9),AG116,NA())</f>
        <v>2184.6428016514255</v>
      </c>
      <c r="Q116" s="214">
        <f>IF((monthly_mortgage_schedule[[#This Row],[Year (Range)]]&gt;=$C$7)*(monthly_mortgage_schedule[[#This Row],[Year (Range)]]&lt;=$C$9),AH116,NA())</f>
        <v>915.38369381198254</v>
      </c>
      <c r="R116" s="214">
        <f>IF((monthly_mortgage_schedule[[#This Row],[Year (Range)]]&gt;=$C$7)*(monthly_mortgage_schedule[[#This Row],[Year (Range)]]&lt;=$C$9),AO116,NA())</f>
        <v>2397.8961641199494</v>
      </c>
      <c r="S116" s="214">
        <f>IF((monthly_mortgage_schedule[[#This Row],[Year (Range)]]&gt;=$C$7)*(monthly_mortgage_schedule[[#This Row],[Year (Range)]]&lt;=$C$9),AP116,NA())</f>
        <v>990</v>
      </c>
      <c r="T116" s="214">
        <f>IF((monthly_mortgage_schedule[[#This Row],[Year (Range)]]&gt;=$C$7)*(monthly_mortgage_schedule[[#This Row],[Year (Range)]]&lt;=$C$9),AR116,NA())</f>
        <v>3721.4446605057092</v>
      </c>
      <c r="U116" s="214">
        <f>IF((monthly_mortgage_schedule[[#This Row],[Year (Range)]]&gt;=$C$7)*(monthly_mortgage_schedule[[#This Row],[Year (Range)]]&lt;=$C$9),AB116,NA())</f>
        <v>88175.536646912238</v>
      </c>
      <c r="V116" s="214">
        <f>IF((monthly_mortgage_schedule[[#This Row],[Year (Range)]]&gt;=$C$7)*(monthly_mortgage_schedule[[#This Row],[Year (Range)]]&lt;=$C$9),AI116,NA())</f>
        <v>72777.640482792267</v>
      </c>
      <c r="W116" s="187">
        <f t="shared" si="10"/>
        <v>452811.37012131826</v>
      </c>
      <c r="X116" s="4">
        <f t="shared" si="13"/>
        <v>2113.1197272328186</v>
      </c>
      <c r="Y116" s="4">
        <f t="shared" si="11"/>
        <v>986.90676823058948</v>
      </c>
      <c r="Z116" s="4">
        <f>_xlfn.IFNA(INDEX(additional_mortgage_payments[],MATCH(monthly_mortgage_schedule[[#This Row],[Month]],additional_mortgage_payments[Month],0),3),0)</f>
        <v>0</v>
      </c>
      <c r="AA116" s="4">
        <f>AA115+monthly_mortgage_schedule[[#This Row],[Extra Payments Towards Equity]]</f>
        <v>13000</v>
      </c>
      <c r="AB116" s="4">
        <f>AB115+monthly_mortgage_schedule[[#This Row],[Principal With Extra Principal Payments]]+monthly_mortgage_schedule[[#This Row],[Extra Payments Towards Equity]]</f>
        <v>88175.536646912238</v>
      </c>
      <c r="AC116" s="4">
        <f>monthly_mortgage_schedule[[#This Row],[Cumulative Principal With Extra Principal Payments]]+down_payment_dollars</f>
        <v>148175.53664691222</v>
      </c>
      <c r="AD116" s="200">
        <f t="shared" si="8"/>
        <v>0</v>
      </c>
      <c r="AE11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451824.46335308766</v>
      </c>
      <c r="AF116" s="187">
        <f t="shared" si="14"/>
        <v>468137.74321101973</v>
      </c>
      <c r="AG116" s="4">
        <f>IF(monthly_mortgage_schedule[[#This Row],[Loan Balance (BOY) Without Extra Principal Payments]]&gt;0,monthly_mortgage_schedule[[#This Row],[Loan Balance (BOY) Without Extra Principal Payments]]*monthly_interest_rate,0)</f>
        <v>2184.6428016514255</v>
      </c>
      <c r="AH116" s="4">
        <f>IF(monthly_mortgage_schedule[[#This Row],[Loan Balance (BOY) Without Extra Principal Payments]]&gt;1,monthly_principal_and_interest-monthly_mortgage_schedule[[#This Row],[Interest Without Extra Principal Payments]],0)</f>
        <v>915.38369381198254</v>
      </c>
      <c r="AI116" s="4">
        <f>AI115+monthly_mortgage_schedule[[#This Row],[Principal Without Extra Principal Payments]]</f>
        <v>72777.640482792267</v>
      </c>
      <c r="AJ116" s="4">
        <f>monthly_mortgage_schedule[[#This Row],[Cumulative Principal Without Extra Principal Payments]]+down_payment_dollars</f>
        <v>132777.64048279228</v>
      </c>
      <c r="AK116" s="200">
        <f t="shared" si="9"/>
        <v>0</v>
      </c>
      <c r="AL11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467222.35951720772</v>
      </c>
      <c r="AN116" s="196">
        <f>monthly_mortgage_schedule[[#This Row],[Extra Payments Towards Equity]]+AN115+IF(monthly_mortgage_schedule[[#This Row],[Interest With Extra Principal Payments]]&gt;0,monthly_mortgage_schedule[[#This Row],[Interest Without Extra Principal Payments]]-monthly_mortgage_schedule[[#This Row],[Interest With Extra Principal Payments]],0)</f>
        <v>15397.896164119953</v>
      </c>
      <c r="AO116" s="4">
        <f>AO115+IF(monthly_mortgage_schedule[[#This Row],[Interest With Extra Principal Payments]]&gt;0,monthly_mortgage_schedule[[#This Row],[Interest Without Extra Principal Payments]]-monthly_mortgage_schedule[[#This Row],[Interest With Extra Principal Payments]],0)</f>
        <v>2397.8961641199494</v>
      </c>
      <c r="AP116" s="4">
        <f>AP115+monthly_mortgage_schedule[[#This Row],[PMI Without Extra Principal Payments]]-monthly_mortgage_schedule[[#This Row],[PMI with Additional Payments]]</f>
        <v>990</v>
      </c>
      <c r="AQ116" s="4">
        <f t="shared" si="12"/>
        <v>16721.444660505709</v>
      </c>
      <c r="AR116" s="4">
        <f>Table60[[#This Row],[Cumulative Investments]]-monthly_mortgage_schedule[[#This Row],[Cumulative Extra Payments Towards Equity]]</f>
        <v>3721.4446605057092</v>
      </c>
    </row>
    <row r="117" spans="9:44" x14ac:dyDescent="0.25">
      <c r="I117">
        <v>100</v>
      </c>
      <c r="J117">
        <f>IF(MOD(ROWS($J$18:J116),12)=0,J116+1,J116)</f>
        <v>2030</v>
      </c>
      <c r="K117" s="198">
        <f>IF(M117="#N/A",NA(),monthly_mortgage_schedule[[#This Row],[Month]])</f>
        <v>100</v>
      </c>
      <c r="L117" s="198">
        <f>IF(monthly_mortgage_schedule[[#This Row],[Calendar Year]]&gt;=$C$7,monthly_mortgage_schedule[[#This Row],[Calendar Year]],NA())</f>
        <v>2030</v>
      </c>
      <c r="M117" s="199">
        <f>IF((monthly_mortgage_schedule[[#This Row],[Calendar Year]]&gt;=$C$7)*(monthly_mortgage_schedule[[#This Row],[Calendar Year]]&lt;=$C$9),monthly_mortgage_schedule[[#This Row],[Begin Year (Range)]],NA())</f>
        <v>2030</v>
      </c>
      <c r="N117" s="214">
        <f>IF((monthly_mortgage_schedule[[#This Row],[Year (Range)]]&gt;=$C$7)*(monthly_mortgage_schedule[[#This Row],[Year (Range)]]&lt;=$C$9),X117,NA())</f>
        <v>2108.5141623144091</v>
      </c>
      <c r="O117" s="214">
        <f>IF((monthly_mortgage_schedule[[#This Row],[Year (Range)]]&gt;=$C$7)*(monthly_mortgage_schedule[[#This Row],[Year (Range)]]&lt;=$C$9),Y117,NA())</f>
        <v>991.51233314899901</v>
      </c>
      <c r="P117" s="214">
        <f>IF((monthly_mortgage_schedule[[#This Row],[Year (Range)]]&gt;=$C$7)*(monthly_mortgage_schedule[[#This Row],[Year (Range)]]&lt;=$C$9),AG117,NA())</f>
        <v>2180.3710110803027</v>
      </c>
      <c r="Q117" s="214">
        <f>IF((monthly_mortgage_schedule[[#This Row],[Year (Range)]]&gt;=$C$7)*(monthly_mortgage_schedule[[#This Row],[Year (Range)]]&lt;=$C$9),AH117,NA())</f>
        <v>919.65548438310543</v>
      </c>
      <c r="R117" s="214">
        <f>IF((monthly_mortgage_schedule[[#This Row],[Year (Range)]]&gt;=$C$7)*(monthly_mortgage_schedule[[#This Row],[Year (Range)]]&lt;=$C$9),AO117,NA())</f>
        <v>2469.753012885843</v>
      </c>
      <c r="S117" s="214">
        <f>IF((monthly_mortgage_schedule[[#This Row],[Year (Range)]]&gt;=$C$7)*(monthly_mortgage_schedule[[#This Row],[Year (Range)]]&lt;=$C$9),AP117,NA())</f>
        <v>990</v>
      </c>
      <c r="T117" s="214">
        <f>IF((monthly_mortgage_schedule[[#This Row],[Year (Range)]]&gt;=$C$7)*(monthly_mortgage_schedule[[#This Row],[Year (Range)]]&lt;=$C$9),AR117,NA())</f>
        <v>3852.9209582424119</v>
      </c>
      <c r="U117" s="214">
        <f>IF((monthly_mortgage_schedule[[#This Row],[Year (Range)]]&gt;=$C$7)*(monthly_mortgage_schedule[[#This Row],[Year (Range)]]&lt;=$C$9),AB117,NA())</f>
        <v>92167.048980061241</v>
      </c>
      <c r="V117" s="214">
        <f>IF((monthly_mortgage_schedule[[#This Row],[Year (Range)]]&gt;=$C$7)*(monthly_mortgage_schedule[[#This Row],[Year (Range)]]&lt;=$C$9),AI117,NA())</f>
        <v>73697.295967175378</v>
      </c>
      <c r="W117" s="187">
        <f t="shared" si="10"/>
        <v>451824.46335308766</v>
      </c>
      <c r="X117" s="4">
        <f t="shared" si="13"/>
        <v>2108.5141623144091</v>
      </c>
      <c r="Y117" s="4">
        <f t="shared" si="11"/>
        <v>991.51233314899901</v>
      </c>
      <c r="Z117" s="4">
        <f>_xlfn.IFNA(INDEX(additional_mortgage_payments[],MATCH(monthly_mortgage_schedule[[#This Row],[Month]],additional_mortgage_payments[Month],0),3),0)</f>
        <v>3000</v>
      </c>
      <c r="AA117" s="4">
        <f>AA116+monthly_mortgage_schedule[[#This Row],[Extra Payments Towards Equity]]</f>
        <v>16000</v>
      </c>
      <c r="AB117" s="4">
        <f>AB116+monthly_mortgage_schedule[[#This Row],[Principal With Extra Principal Payments]]+monthly_mortgage_schedule[[#This Row],[Extra Payments Towards Equity]]</f>
        <v>92167.048980061241</v>
      </c>
      <c r="AC117" s="4">
        <f>monthly_mortgage_schedule[[#This Row],[Cumulative Principal With Extra Principal Payments]]+down_payment_dollars</f>
        <v>152167.04898006126</v>
      </c>
      <c r="AD117" s="200">
        <f t="shared" si="8"/>
        <v>0</v>
      </c>
      <c r="AE11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447832.95101993869</v>
      </c>
      <c r="AF117" s="187">
        <f t="shared" si="14"/>
        <v>467222.35951720772</v>
      </c>
      <c r="AG117" s="4">
        <f>IF(monthly_mortgage_schedule[[#This Row],[Loan Balance (BOY) Without Extra Principal Payments]]&gt;0,monthly_mortgage_schedule[[#This Row],[Loan Balance (BOY) Without Extra Principal Payments]]*monthly_interest_rate,0)</f>
        <v>2180.3710110803027</v>
      </c>
      <c r="AH117" s="4">
        <f>IF(monthly_mortgage_schedule[[#This Row],[Loan Balance (BOY) Without Extra Principal Payments]]&gt;1,monthly_principal_and_interest-monthly_mortgage_schedule[[#This Row],[Interest Without Extra Principal Payments]],0)</f>
        <v>919.65548438310543</v>
      </c>
      <c r="AI117" s="4">
        <f>AI116+monthly_mortgage_schedule[[#This Row],[Principal Without Extra Principal Payments]]</f>
        <v>73697.295967175378</v>
      </c>
      <c r="AJ117" s="4">
        <f>monthly_mortgage_schedule[[#This Row],[Cumulative Principal Without Extra Principal Payments]]+down_payment_dollars</f>
        <v>133697.29596717539</v>
      </c>
      <c r="AK117" s="200">
        <f t="shared" si="9"/>
        <v>0</v>
      </c>
      <c r="AL11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466302.70403282461</v>
      </c>
      <c r="AN117" s="196">
        <f>monthly_mortgage_schedule[[#This Row],[Extra Payments Towards Equity]]+AN116+IF(monthly_mortgage_schedule[[#This Row],[Interest With Extra Principal Payments]]&gt;0,monthly_mortgage_schedule[[#This Row],[Interest Without Extra Principal Payments]]-monthly_mortgage_schedule[[#This Row],[Interest With Extra Principal Payments]],0)</f>
        <v>18469.753012885845</v>
      </c>
      <c r="AO117" s="4">
        <f>AO116+IF(monthly_mortgage_schedule[[#This Row],[Interest With Extra Principal Payments]]&gt;0,monthly_mortgage_schedule[[#This Row],[Interest Without Extra Principal Payments]]-monthly_mortgage_schedule[[#This Row],[Interest With Extra Principal Payments]],0)</f>
        <v>2469.753012885843</v>
      </c>
      <c r="AP117" s="4">
        <f>AP116+monthly_mortgage_schedule[[#This Row],[PMI Without Extra Principal Payments]]-monthly_mortgage_schedule[[#This Row],[PMI with Additional Payments]]</f>
        <v>990</v>
      </c>
      <c r="AQ117" s="4">
        <f t="shared" si="12"/>
        <v>19852.920958242412</v>
      </c>
      <c r="AR117" s="4">
        <f>Table60[[#This Row],[Cumulative Investments]]-monthly_mortgage_schedule[[#This Row],[Cumulative Extra Payments Towards Equity]]</f>
        <v>3852.9209582424119</v>
      </c>
    </row>
    <row r="118" spans="9:44" x14ac:dyDescent="0.25">
      <c r="I118">
        <v>101</v>
      </c>
      <c r="J118">
        <f>IF(MOD(ROWS($J$18:J117),12)=0,J117+1,J117)</f>
        <v>2030</v>
      </c>
      <c r="K118" s="198">
        <f>IF(M118="#N/A",NA(),monthly_mortgage_schedule[[#This Row],[Month]])</f>
        <v>101</v>
      </c>
      <c r="L118" s="198">
        <f>IF(monthly_mortgage_schedule[[#This Row],[Calendar Year]]&gt;=$C$7,monthly_mortgage_schedule[[#This Row],[Calendar Year]],NA())</f>
        <v>2030</v>
      </c>
      <c r="M118" s="199">
        <f>IF((monthly_mortgage_schedule[[#This Row],[Calendar Year]]&gt;=$C$7)*(monthly_mortgage_schedule[[#This Row],[Calendar Year]]&lt;=$C$9),monthly_mortgage_schedule[[#This Row],[Begin Year (Range)]],NA())</f>
        <v>2030</v>
      </c>
      <c r="N118" s="214">
        <f>IF((monthly_mortgage_schedule[[#This Row],[Year (Range)]]&gt;=$C$7)*(monthly_mortgage_schedule[[#This Row],[Year (Range)]]&lt;=$C$9),X118,NA())</f>
        <v>2089.887104759714</v>
      </c>
      <c r="O118" s="214">
        <f>IF((monthly_mortgage_schedule[[#This Row],[Year (Range)]]&gt;=$C$7)*(monthly_mortgage_schedule[[#This Row],[Year (Range)]]&lt;=$C$9),Y118,NA())</f>
        <v>1010.1393907036941</v>
      </c>
      <c r="P118" s="214">
        <f>IF((monthly_mortgage_schedule[[#This Row],[Year (Range)]]&gt;=$C$7)*(monthly_mortgage_schedule[[#This Row],[Year (Range)]]&lt;=$C$9),AG118,NA())</f>
        <v>2176.0792854865149</v>
      </c>
      <c r="Q118" s="214">
        <f>IF((monthly_mortgage_schedule[[#This Row],[Year (Range)]]&gt;=$C$7)*(monthly_mortgage_schedule[[#This Row],[Year (Range)]]&lt;=$C$9),AH118,NA())</f>
        <v>923.94720997689319</v>
      </c>
      <c r="R118" s="214">
        <f>IF((monthly_mortgage_schedule[[#This Row],[Year (Range)]]&gt;=$C$7)*(monthly_mortgage_schedule[[#This Row],[Year (Range)]]&lt;=$C$9),AO118,NA())</f>
        <v>2555.9451936126438</v>
      </c>
      <c r="S118" s="214">
        <f>IF((monthly_mortgage_schedule[[#This Row],[Year (Range)]]&gt;=$C$7)*(monthly_mortgage_schedule[[#This Row],[Year (Range)]]&lt;=$C$9),AP118,NA())</f>
        <v>990</v>
      </c>
      <c r="T118" s="214">
        <f>IF((monthly_mortgage_schedule[[#This Row],[Year (Range)]]&gt;=$C$7)*(monthly_mortgage_schedule[[#This Row],[Year (Range)]]&lt;=$C$9),AR118,NA())</f>
        <v>3985.2737646306923</v>
      </c>
      <c r="U118" s="214">
        <f>IF((monthly_mortgage_schedule[[#This Row],[Year (Range)]]&gt;=$C$7)*(monthly_mortgage_schedule[[#This Row],[Year (Range)]]&lt;=$C$9),AB118,NA())</f>
        <v>93177.188370764939</v>
      </c>
      <c r="V118" s="214">
        <f>IF((monthly_mortgage_schedule[[#This Row],[Year (Range)]]&gt;=$C$7)*(monthly_mortgage_schedule[[#This Row],[Year (Range)]]&lt;=$C$9),AI118,NA())</f>
        <v>74621.243177152268</v>
      </c>
      <c r="W118" s="187">
        <f t="shared" si="10"/>
        <v>447832.95101993869</v>
      </c>
      <c r="X118" s="4">
        <f t="shared" si="13"/>
        <v>2089.887104759714</v>
      </c>
      <c r="Y118" s="4">
        <f t="shared" si="11"/>
        <v>1010.1393907036941</v>
      </c>
      <c r="Z118" s="4">
        <f>_xlfn.IFNA(INDEX(additional_mortgage_payments[],MATCH(monthly_mortgage_schedule[[#This Row],[Month]],additional_mortgage_payments[Month],0),3),0)</f>
        <v>0</v>
      </c>
      <c r="AA118" s="4">
        <f>AA117+monthly_mortgage_schedule[[#This Row],[Extra Payments Towards Equity]]</f>
        <v>16000</v>
      </c>
      <c r="AB118" s="4">
        <f>AB117+monthly_mortgage_schedule[[#This Row],[Principal With Extra Principal Payments]]+monthly_mortgage_schedule[[#This Row],[Extra Payments Towards Equity]]</f>
        <v>93177.188370764939</v>
      </c>
      <c r="AC118" s="4">
        <f>monthly_mortgage_schedule[[#This Row],[Cumulative Principal With Extra Principal Payments]]+down_payment_dollars</f>
        <v>153177.18837076495</v>
      </c>
      <c r="AD118" s="200">
        <f t="shared" si="8"/>
        <v>0</v>
      </c>
      <c r="AE11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446822.81162923499</v>
      </c>
      <c r="AF118" s="187">
        <f t="shared" si="14"/>
        <v>466302.70403282461</v>
      </c>
      <c r="AG118" s="4">
        <f>IF(monthly_mortgage_schedule[[#This Row],[Loan Balance (BOY) Without Extra Principal Payments]]&gt;0,monthly_mortgage_schedule[[#This Row],[Loan Balance (BOY) Without Extra Principal Payments]]*monthly_interest_rate,0)</f>
        <v>2176.0792854865149</v>
      </c>
      <c r="AH118" s="4">
        <f>IF(monthly_mortgage_schedule[[#This Row],[Loan Balance (BOY) Without Extra Principal Payments]]&gt;1,monthly_principal_and_interest-monthly_mortgage_schedule[[#This Row],[Interest Without Extra Principal Payments]],0)</f>
        <v>923.94720997689319</v>
      </c>
      <c r="AI118" s="4">
        <f>AI117+monthly_mortgage_schedule[[#This Row],[Principal Without Extra Principal Payments]]</f>
        <v>74621.243177152268</v>
      </c>
      <c r="AJ118" s="4">
        <f>monthly_mortgage_schedule[[#This Row],[Cumulative Principal Without Extra Principal Payments]]+down_payment_dollars</f>
        <v>134621.24317715227</v>
      </c>
      <c r="AK118" s="200">
        <f t="shared" si="9"/>
        <v>0</v>
      </c>
      <c r="AL11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465378.7568228477</v>
      </c>
      <c r="AN118" s="196">
        <f>monthly_mortgage_schedule[[#This Row],[Extra Payments Towards Equity]]+AN117+IF(monthly_mortgage_schedule[[#This Row],[Interest With Extra Principal Payments]]&gt;0,monthly_mortgage_schedule[[#This Row],[Interest Without Extra Principal Payments]]-monthly_mortgage_schedule[[#This Row],[Interest With Extra Principal Payments]],0)</f>
        <v>18555.945193612646</v>
      </c>
      <c r="AO118" s="4">
        <f>AO117+IF(monthly_mortgage_schedule[[#This Row],[Interest With Extra Principal Payments]]&gt;0,monthly_mortgage_schedule[[#This Row],[Interest Without Extra Principal Payments]]-monthly_mortgage_schedule[[#This Row],[Interest With Extra Principal Payments]],0)</f>
        <v>2555.9451936126438</v>
      </c>
      <c r="AP118" s="4">
        <f>AP117+monthly_mortgage_schedule[[#This Row],[PMI Without Extra Principal Payments]]-monthly_mortgage_schedule[[#This Row],[PMI with Additional Payments]]</f>
        <v>990</v>
      </c>
      <c r="AQ118" s="4">
        <f t="shared" si="12"/>
        <v>19985.273764630692</v>
      </c>
      <c r="AR118" s="4">
        <f>Table60[[#This Row],[Cumulative Investments]]-monthly_mortgage_schedule[[#This Row],[Cumulative Extra Payments Towards Equity]]</f>
        <v>3985.2737646306923</v>
      </c>
    </row>
    <row r="119" spans="9:44" x14ac:dyDescent="0.25">
      <c r="I119">
        <v>102</v>
      </c>
      <c r="J119">
        <f>IF(MOD(ROWS($J$18:J118),12)=0,J118+1,J118)</f>
        <v>2030</v>
      </c>
      <c r="K119" s="198">
        <f>IF(M119="#N/A",NA(),monthly_mortgage_schedule[[#This Row],[Month]])</f>
        <v>102</v>
      </c>
      <c r="L119" s="198">
        <f>IF(monthly_mortgage_schedule[[#This Row],[Calendar Year]]&gt;=$C$7,monthly_mortgage_schedule[[#This Row],[Calendar Year]],NA())</f>
        <v>2030</v>
      </c>
      <c r="M119" s="199">
        <f>IF((monthly_mortgage_schedule[[#This Row],[Calendar Year]]&gt;=$C$7)*(monthly_mortgage_schedule[[#This Row],[Calendar Year]]&lt;=$C$9),monthly_mortgage_schedule[[#This Row],[Begin Year (Range)]],NA())</f>
        <v>2030</v>
      </c>
      <c r="N119" s="214">
        <f>IF((monthly_mortgage_schedule[[#This Row],[Year (Range)]]&gt;=$C$7)*(monthly_mortgage_schedule[[#This Row],[Year (Range)]]&lt;=$C$9),X119,NA())</f>
        <v>2085.1731209364302</v>
      </c>
      <c r="O119" s="214">
        <f>IF((monthly_mortgage_schedule[[#This Row],[Year (Range)]]&gt;=$C$7)*(monthly_mortgage_schedule[[#This Row],[Year (Range)]]&lt;=$C$9),Y119,NA())</f>
        <v>1014.8533745269779</v>
      </c>
      <c r="P119" s="214">
        <f>IF((monthly_mortgage_schedule[[#This Row],[Year (Range)]]&gt;=$C$7)*(monthly_mortgage_schedule[[#This Row],[Year (Range)]]&lt;=$C$9),AG119,NA())</f>
        <v>2171.7675318399561</v>
      </c>
      <c r="Q119" s="214">
        <f>IF((monthly_mortgage_schedule[[#This Row],[Year (Range)]]&gt;=$C$7)*(monthly_mortgage_schedule[[#This Row],[Year (Range)]]&lt;=$C$9),AH119,NA())</f>
        <v>928.25896362345202</v>
      </c>
      <c r="R119" s="214">
        <f>IF((monthly_mortgage_schedule[[#This Row],[Year (Range)]]&gt;=$C$7)*(monthly_mortgage_schedule[[#This Row],[Year (Range)]]&lt;=$C$9),AO119,NA())</f>
        <v>2642.5396045161697</v>
      </c>
      <c r="S119" s="214">
        <f>IF((monthly_mortgage_schedule[[#This Row],[Year (Range)]]&gt;=$C$7)*(monthly_mortgage_schedule[[#This Row],[Year (Range)]]&lt;=$C$9),AP119,NA())</f>
        <v>990</v>
      </c>
      <c r="T119" s="214">
        <f>IF((monthly_mortgage_schedule[[#This Row],[Year (Range)]]&gt;=$C$7)*(monthly_mortgage_schedule[[#This Row],[Year (Range)]]&lt;=$C$9),AR119,NA())</f>
        <v>4118.5089230615631</v>
      </c>
      <c r="U119" s="214">
        <f>IF((monthly_mortgage_schedule[[#This Row],[Year (Range)]]&gt;=$C$7)*(monthly_mortgage_schedule[[#This Row],[Year (Range)]]&lt;=$C$9),AB119,NA())</f>
        <v>94192.041745291921</v>
      </c>
      <c r="V119" s="214">
        <f>IF((monthly_mortgage_schedule[[#This Row],[Year (Range)]]&gt;=$C$7)*(monthly_mortgage_schedule[[#This Row],[Year (Range)]]&lt;=$C$9),AI119,NA())</f>
        <v>75549.502140775716</v>
      </c>
      <c r="W119" s="187">
        <f t="shared" si="10"/>
        <v>446822.81162923499</v>
      </c>
      <c r="X119" s="4">
        <f t="shared" si="13"/>
        <v>2085.1731209364302</v>
      </c>
      <c r="Y119" s="4">
        <f t="shared" si="11"/>
        <v>1014.8533745269779</v>
      </c>
      <c r="Z119" s="4">
        <f>_xlfn.IFNA(INDEX(additional_mortgage_payments[],MATCH(monthly_mortgage_schedule[[#This Row],[Month]],additional_mortgage_payments[Month],0),3),0)</f>
        <v>0</v>
      </c>
      <c r="AA119" s="4">
        <f>AA118+monthly_mortgage_schedule[[#This Row],[Extra Payments Towards Equity]]</f>
        <v>16000</v>
      </c>
      <c r="AB119" s="4">
        <f>AB118+monthly_mortgage_schedule[[#This Row],[Principal With Extra Principal Payments]]+monthly_mortgage_schedule[[#This Row],[Extra Payments Towards Equity]]</f>
        <v>94192.041745291921</v>
      </c>
      <c r="AC119" s="4">
        <f>monthly_mortgage_schedule[[#This Row],[Cumulative Principal With Extra Principal Payments]]+down_payment_dollars</f>
        <v>154192.04174529191</v>
      </c>
      <c r="AD119" s="200">
        <f t="shared" si="8"/>
        <v>0</v>
      </c>
      <c r="AE11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445807.95825470804</v>
      </c>
      <c r="AF119" s="187">
        <f t="shared" si="14"/>
        <v>465378.7568228477</v>
      </c>
      <c r="AG119" s="4">
        <f>IF(monthly_mortgage_schedule[[#This Row],[Loan Balance (BOY) Without Extra Principal Payments]]&gt;0,monthly_mortgage_schedule[[#This Row],[Loan Balance (BOY) Without Extra Principal Payments]]*monthly_interest_rate,0)</f>
        <v>2171.7675318399561</v>
      </c>
      <c r="AH119" s="4">
        <f>IF(monthly_mortgage_schedule[[#This Row],[Loan Balance (BOY) Without Extra Principal Payments]]&gt;1,monthly_principal_and_interest-monthly_mortgage_schedule[[#This Row],[Interest Without Extra Principal Payments]],0)</f>
        <v>928.25896362345202</v>
      </c>
      <c r="AI119" s="4">
        <f>AI118+monthly_mortgage_schedule[[#This Row],[Principal Without Extra Principal Payments]]</f>
        <v>75549.502140775716</v>
      </c>
      <c r="AJ119" s="4">
        <f>monthly_mortgage_schedule[[#This Row],[Cumulative Principal Without Extra Principal Payments]]+down_payment_dollars</f>
        <v>135549.50214077573</v>
      </c>
      <c r="AK119" s="200">
        <f t="shared" si="9"/>
        <v>0</v>
      </c>
      <c r="AL11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464450.49785922427</v>
      </c>
      <c r="AN119" s="196">
        <f>monthly_mortgage_schedule[[#This Row],[Extra Payments Towards Equity]]+AN118+IF(monthly_mortgage_schedule[[#This Row],[Interest With Extra Principal Payments]]&gt;0,monthly_mortgage_schedule[[#This Row],[Interest Without Extra Principal Payments]]-monthly_mortgage_schedule[[#This Row],[Interest With Extra Principal Payments]],0)</f>
        <v>18642.539604516172</v>
      </c>
      <c r="AO119" s="4">
        <f>AO118+IF(monthly_mortgage_schedule[[#This Row],[Interest With Extra Principal Payments]]&gt;0,monthly_mortgage_schedule[[#This Row],[Interest Without Extra Principal Payments]]-monthly_mortgage_schedule[[#This Row],[Interest With Extra Principal Payments]],0)</f>
        <v>2642.5396045161697</v>
      </c>
      <c r="AP119" s="4">
        <f>AP118+monthly_mortgage_schedule[[#This Row],[PMI Without Extra Principal Payments]]-monthly_mortgage_schedule[[#This Row],[PMI with Additional Payments]]</f>
        <v>990</v>
      </c>
      <c r="AQ119" s="4">
        <f t="shared" si="12"/>
        <v>20118.508923061563</v>
      </c>
      <c r="AR119" s="4">
        <f>Table60[[#This Row],[Cumulative Investments]]-monthly_mortgage_schedule[[#This Row],[Cumulative Extra Payments Towards Equity]]</f>
        <v>4118.5089230615631</v>
      </c>
    </row>
    <row r="120" spans="9:44" x14ac:dyDescent="0.25">
      <c r="I120">
        <v>103</v>
      </c>
      <c r="J120">
        <f>IF(MOD(ROWS($J$18:J119),12)=0,J119+1,J119)</f>
        <v>2030</v>
      </c>
      <c r="K120" s="198">
        <f>IF(M120="#N/A",NA(),monthly_mortgage_schedule[[#This Row],[Month]])</f>
        <v>103</v>
      </c>
      <c r="L120" s="198">
        <f>IF(monthly_mortgage_schedule[[#This Row],[Calendar Year]]&gt;=$C$7,monthly_mortgage_schedule[[#This Row],[Calendar Year]],NA())</f>
        <v>2030</v>
      </c>
      <c r="M120" s="199">
        <f>IF((monthly_mortgage_schedule[[#This Row],[Calendar Year]]&gt;=$C$7)*(monthly_mortgage_schedule[[#This Row],[Calendar Year]]&lt;=$C$9),monthly_mortgage_schedule[[#This Row],[Begin Year (Range)]],NA())</f>
        <v>2030</v>
      </c>
      <c r="N120" s="214">
        <f>IF((monthly_mortgage_schedule[[#This Row],[Year (Range)]]&gt;=$C$7)*(monthly_mortgage_schedule[[#This Row],[Year (Range)]]&lt;=$C$9),X120,NA())</f>
        <v>2080.4371385219711</v>
      </c>
      <c r="O120" s="214">
        <f>IF((monthly_mortgage_schedule[[#This Row],[Year (Range)]]&gt;=$C$7)*(monthly_mortgage_schedule[[#This Row],[Year (Range)]]&lt;=$C$9),Y120,NA())</f>
        <v>1019.589356941437</v>
      </c>
      <c r="P120" s="214">
        <f>IF((monthly_mortgage_schedule[[#This Row],[Year (Range)]]&gt;=$C$7)*(monthly_mortgage_schedule[[#This Row],[Year (Range)]]&lt;=$C$9),AG120,NA())</f>
        <v>2167.4356566763799</v>
      </c>
      <c r="Q120" s="214">
        <f>IF((monthly_mortgage_schedule[[#This Row],[Year (Range)]]&gt;=$C$7)*(monthly_mortgage_schedule[[#This Row],[Year (Range)]]&lt;=$C$9),AH120,NA())</f>
        <v>932.59083878702813</v>
      </c>
      <c r="R120" s="214">
        <f>IF((monthly_mortgage_schedule[[#This Row],[Year (Range)]]&gt;=$C$7)*(monthly_mortgage_schedule[[#This Row],[Year (Range)]]&lt;=$C$9),AO120,NA())</f>
        <v>2729.5381226705786</v>
      </c>
      <c r="S120" s="214">
        <f>IF((monthly_mortgage_schedule[[#This Row],[Year (Range)]]&gt;=$C$7)*(monthly_mortgage_schedule[[#This Row],[Year (Range)]]&lt;=$C$9),AP120,NA())</f>
        <v>990</v>
      </c>
      <c r="T120" s="214">
        <f>IF((monthly_mortgage_schedule[[#This Row],[Year (Range)]]&gt;=$C$7)*(monthly_mortgage_schedule[[#This Row],[Year (Range)]]&lt;=$C$9),AR120,NA())</f>
        <v>4252.6323158819723</v>
      </c>
      <c r="U120" s="214">
        <f>IF((monthly_mortgage_schedule[[#This Row],[Year (Range)]]&gt;=$C$7)*(monthly_mortgage_schedule[[#This Row],[Year (Range)]]&lt;=$C$9),AB120,NA())</f>
        <v>95211.631102233354</v>
      </c>
      <c r="V120" s="214">
        <f>IF((monthly_mortgage_schedule[[#This Row],[Year (Range)]]&gt;=$C$7)*(monthly_mortgage_schedule[[#This Row],[Year (Range)]]&lt;=$C$9),AI120,NA())</f>
        <v>76482.092979562745</v>
      </c>
      <c r="W120" s="187">
        <f t="shared" si="10"/>
        <v>445807.95825470804</v>
      </c>
      <c r="X120" s="4">
        <f t="shared" si="13"/>
        <v>2080.4371385219711</v>
      </c>
      <c r="Y120" s="4">
        <f t="shared" si="11"/>
        <v>1019.589356941437</v>
      </c>
      <c r="Z120" s="4">
        <f>_xlfn.IFNA(INDEX(additional_mortgage_payments[],MATCH(monthly_mortgage_schedule[[#This Row],[Month]],additional_mortgage_payments[Month],0),3),0)</f>
        <v>0</v>
      </c>
      <c r="AA120" s="4">
        <f>AA119+monthly_mortgage_schedule[[#This Row],[Extra Payments Towards Equity]]</f>
        <v>16000</v>
      </c>
      <c r="AB120" s="4">
        <f>AB119+monthly_mortgage_schedule[[#This Row],[Principal With Extra Principal Payments]]+monthly_mortgage_schedule[[#This Row],[Extra Payments Towards Equity]]</f>
        <v>95211.631102233354</v>
      </c>
      <c r="AC120" s="4">
        <f>monthly_mortgage_schedule[[#This Row],[Cumulative Principal With Extra Principal Payments]]+down_payment_dollars</f>
        <v>155211.63110223337</v>
      </c>
      <c r="AD120" s="200">
        <f t="shared" si="8"/>
        <v>0</v>
      </c>
      <c r="AE12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444788.36889776657</v>
      </c>
      <c r="AF120" s="187">
        <f t="shared" si="14"/>
        <v>464450.49785922427</v>
      </c>
      <c r="AG120" s="4">
        <f>IF(monthly_mortgage_schedule[[#This Row],[Loan Balance (BOY) Without Extra Principal Payments]]&gt;0,monthly_mortgage_schedule[[#This Row],[Loan Balance (BOY) Without Extra Principal Payments]]*monthly_interest_rate,0)</f>
        <v>2167.4356566763799</v>
      </c>
      <c r="AH120" s="4">
        <f>IF(monthly_mortgage_schedule[[#This Row],[Loan Balance (BOY) Without Extra Principal Payments]]&gt;1,monthly_principal_and_interest-monthly_mortgage_schedule[[#This Row],[Interest Without Extra Principal Payments]],0)</f>
        <v>932.59083878702813</v>
      </c>
      <c r="AI120" s="4">
        <f>AI119+monthly_mortgage_schedule[[#This Row],[Principal Without Extra Principal Payments]]</f>
        <v>76482.092979562745</v>
      </c>
      <c r="AJ120" s="4">
        <f>monthly_mortgage_schedule[[#This Row],[Cumulative Principal Without Extra Principal Payments]]+down_payment_dollars</f>
        <v>136482.09297956276</v>
      </c>
      <c r="AK120" s="200">
        <f t="shared" si="9"/>
        <v>0</v>
      </c>
      <c r="AL12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463517.90702043724</v>
      </c>
      <c r="AN120" s="196">
        <f>monthly_mortgage_schedule[[#This Row],[Extra Payments Towards Equity]]+AN119+IF(monthly_mortgage_schedule[[#This Row],[Interest With Extra Principal Payments]]&gt;0,monthly_mortgage_schedule[[#This Row],[Interest Without Extra Principal Payments]]-monthly_mortgage_schedule[[#This Row],[Interest With Extra Principal Payments]],0)</f>
        <v>18729.538122670579</v>
      </c>
      <c r="AO120" s="4">
        <f>AO119+IF(monthly_mortgage_schedule[[#This Row],[Interest With Extra Principal Payments]]&gt;0,monthly_mortgage_schedule[[#This Row],[Interest Without Extra Principal Payments]]-monthly_mortgage_schedule[[#This Row],[Interest With Extra Principal Payments]],0)</f>
        <v>2729.5381226705786</v>
      </c>
      <c r="AP120" s="4">
        <f>AP119+monthly_mortgage_schedule[[#This Row],[PMI Without Extra Principal Payments]]-monthly_mortgage_schedule[[#This Row],[PMI with Additional Payments]]</f>
        <v>990</v>
      </c>
      <c r="AQ120" s="4">
        <f t="shared" si="12"/>
        <v>20252.632315881972</v>
      </c>
      <c r="AR120" s="4">
        <f>Table60[[#This Row],[Cumulative Investments]]-monthly_mortgage_schedule[[#This Row],[Cumulative Extra Payments Towards Equity]]</f>
        <v>4252.6323158819723</v>
      </c>
    </row>
    <row r="121" spans="9:44" x14ac:dyDescent="0.25">
      <c r="I121">
        <v>104</v>
      </c>
      <c r="J121">
        <f>IF(MOD(ROWS($J$18:J120),12)=0,J120+1,J120)</f>
        <v>2030</v>
      </c>
      <c r="K121" s="198">
        <f>IF(M121="#N/A",NA(),monthly_mortgage_schedule[[#This Row],[Month]])</f>
        <v>104</v>
      </c>
      <c r="L121" s="198">
        <f>IF(monthly_mortgage_schedule[[#This Row],[Calendar Year]]&gt;=$C$7,monthly_mortgage_schedule[[#This Row],[Calendar Year]],NA())</f>
        <v>2030</v>
      </c>
      <c r="M121" s="199">
        <f>IF((monthly_mortgage_schedule[[#This Row],[Calendar Year]]&gt;=$C$7)*(monthly_mortgage_schedule[[#This Row],[Calendar Year]]&lt;=$C$9),monthly_mortgage_schedule[[#This Row],[Begin Year (Range)]],NA())</f>
        <v>2030</v>
      </c>
      <c r="N121" s="214">
        <f>IF((monthly_mortgage_schedule[[#This Row],[Year (Range)]]&gt;=$C$7)*(monthly_mortgage_schedule[[#This Row],[Year (Range)]]&lt;=$C$9),X121,NA())</f>
        <v>2075.679054856244</v>
      </c>
      <c r="O121" s="214">
        <f>IF((monthly_mortgage_schedule[[#This Row],[Year (Range)]]&gt;=$C$7)*(monthly_mortgage_schedule[[#This Row],[Year (Range)]]&lt;=$C$9),Y121,NA())</f>
        <v>1024.3474406071641</v>
      </c>
      <c r="P121" s="214">
        <f>IF((monthly_mortgage_schedule[[#This Row],[Year (Range)]]&gt;=$C$7)*(monthly_mortgage_schedule[[#This Row],[Year (Range)]]&lt;=$C$9),AG121,NA())</f>
        <v>2163.083566095374</v>
      </c>
      <c r="Q121" s="214">
        <f>IF((monthly_mortgage_schedule[[#This Row],[Year (Range)]]&gt;=$C$7)*(monthly_mortgage_schedule[[#This Row],[Year (Range)]]&lt;=$C$9),AH121,NA())</f>
        <v>936.94292936803413</v>
      </c>
      <c r="R121" s="214">
        <f>IF((monthly_mortgage_schedule[[#This Row],[Year (Range)]]&gt;=$C$7)*(monthly_mortgage_schedule[[#This Row],[Year (Range)]]&lt;=$C$9),AO121,NA())</f>
        <v>2816.9426339097085</v>
      </c>
      <c r="S121" s="214">
        <f>IF((monthly_mortgage_schedule[[#This Row],[Year (Range)]]&gt;=$C$7)*(monthly_mortgage_schedule[[#This Row],[Year (Range)]]&lt;=$C$9),AP121,NA())</f>
        <v>990</v>
      </c>
      <c r="T121" s="214">
        <f>IF((monthly_mortgage_schedule[[#This Row],[Year (Range)]]&gt;=$C$7)*(monthly_mortgage_schedule[[#This Row],[Year (Range)]]&lt;=$C$9),AR121,NA())</f>
        <v>4387.6498646545188</v>
      </c>
      <c r="U121" s="214">
        <f>IF((monthly_mortgage_schedule[[#This Row],[Year (Range)]]&gt;=$C$7)*(monthly_mortgage_schedule[[#This Row],[Year (Range)]]&lt;=$C$9),AB121,NA())</f>
        <v>96235.978542840516</v>
      </c>
      <c r="V121" s="214">
        <f>IF((monthly_mortgage_schedule[[#This Row],[Year (Range)]]&gt;=$C$7)*(monthly_mortgage_schedule[[#This Row],[Year (Range)]]&lt;=$C$9),AI121,NA())</f>
        <v>77419.035908930775</v>
      </c>
      <c r="W121" s="187">
        <f t="shared" si="10"/>
        <v>444788.36889776657</v>
      </c>
      <c r="X121" s="4">
        <f t="shared" si="13"/>
        <v>2075.679054856244</v>
      </c>
      <c r="Y121" s="4">
        <f t="shared" si="11"/>
        <v>1024.3474406071641</v>
      </c>
      <c r="Z121" s="4">
        <f>_xlfn.IFNA(INDEX(additional_mortgage_payments[],MATCH(monthly_mortgage_schedule[[#This Row],[Month]],additional_mortgage_payments[Month],0),3),0)</f>
        <v>0</v>
      </c>
      <c r="AA121" s="4">
        <f>AA120+monthly_mortgage_schedule[[#This Row],[Extra Payments Towards Equity]]</f>
        <v>16000</v>
      </c>
      <c r="AB121" s="4">
        <f>AB120+monthly_mortgage_schedule[[#This Row],[Principal With Extra Principal Payments]]+monthly_mortgage_schedule[[#This Row],[Extra Payments Towards Equity]]</f>
        <v>96235.978542840516</v>
      </c>
      <c r="AC121" s="4">
        <f>monthly_mortgage_schedule[[#This Row],[Cumulative Principal With Extra Principal Payments]]+down_payment_dollars</f>
        <v>156235.97854284052</v>
      </c>
      <c r="AD121" s="200">
        <f t="shared" si="8"/>
        <v>0</v>
      </c>
      <c r="AE12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443764.02145715943</v>
      </c>
      <c r="AF121" s="187">
        <f t="shared" si="14"/>
        <v>463517.90702043724</v>
      </c>
      <c r="AG121" s="4">
        <f>IF(monthly_mortgage_schedule[[#This Row],[Loan Balance (BOY) Without Extra Principal Payments]]&gt;0,monthly_mortgage_schedule[[#This Row],[Loan Balance (BOY) Without Extra Principal Payments]]*monthly_interest_rate,0)</f>
        <v>2163.083566095374</v>
      </c>
      <c r="AH121" s="4">
        <f>IF(monthly_mortgage_schedule[[#This Row],[Loan Balance (BOY) Without Extra Principal Payments]]&gt;1,monthly_principal_and_interest-monthly_mortgage_schedule[[#This Row],[Interest Without Extra Principal Payments]],0)</f>
        <v>936.94292936803413</v>
      </c>
      <c r="AI121" s="4">
        <f>AI120+monthly_mortgage_schedule[[#This Row],[Principal Without Extra Principal Payments]]</f>
        <v>77419.035908930775</v>
      </c>
      <c r="AJ121" s="4">
        <f>monthly_mortgage_schedule[[#This Row],[Cumulative Principal Without Extra Principal Payments]]+down_payment_dollars</f>
        <v>137419.03590893076</v>
      </c>
      <c r="AK121" s="200">
        <f t="shared" si="9"/>
        <v>0</v>
      </c>
      <c r="AL12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462580.96409106918</v>
      </c>
      <c r="AN121" s="196">
        <f>monthly_mortgage_schedule[[#This Row],[Extra Payments Towards Equity]]+AN120+IF(monthly_mortgage_schedule[[#This Row],[Interest With Extra Principal Payments]]&gt;0,monthly_mortgage_schedule[[#This Row],[Interest Without Extra Principal Payments]]-monthly_mortgage_schedule[[#This Row],[Interest With Extra Principal Payments]],0)</f>
        <v>18816.942633909708</v>
      </c>
      <c r="AO121" s="4">
        <f>AO120+IF(monthly_mortgage_schedule[[#This Row],[Interest With Extra Principal Payments]]&gt;0,monthly_mortgage_schedule[[#This Row],[Interest Without Extra Principal Payments]]-monthly_mortgage_schedule[[#This Row],[Interest With Extra Principal Payments]],0)</f>
        <v>2816.9426339097085</v>
      </c>
      <c r="AP121" s="4">
        <f>AP120+monthly_mortgage_schedule[[#This Row],[PMI Without Extra Principal Payments]]-monthly_mortgage_schedule[[#This Row],[PMI with Additional Payments]]</f>
        <v>990</v>
      </c>
      <c r="AQ121" s="4">
        <f t="shared" si="12"/>
        <v>20387.649864654519</v>
      </c>
      <c r="AR121" s="4">
        <f>Table60[[#This Row],[Cumulative Investments]]-monthly_mortgage_schedule[[#This Row],[Cumulative Extra Payments Towards Equity]]</f>
        <v>4387.6498646545188</v>
      </c>
    </row>
    <row r="122" spans="9:44" x14ac:dyDescent="0.25">
      <c r="I122">
        <v>105</v>
      </c>
      <c r="J122">
        <f>IF(MOD(ROWS($J$18:J121),12)=0,J121+1,J121)</f>
        <v>2030</v>
      </c>
      <c r="K122" s="198">
        <f>IF(M122="#N/A",NA(),monthly_mortgage_schedule[[#This Row],[Month]])</f>
        <v>105</v>
      </c>
      <c r="L122" s="198">
        <f>IF(monthly_mortgage_schedule[[#This Row],[Calendar Year]]&gt;=$C$7,monthly_mortgage_schedule[[#This Row],[Calendar Year]],NA())</f>
        <v>2030</v>
      </c>
      <c r="M122" s="199">
        <f>IF((monthly_mortgage_schedule[[#This Row],[Calendar Year]]&gt;=$C$7)*(monthly_mortgage_schedule[[#This Row],[Calendar Year]]&lt;=$C$9),monthly_mortgage_schedule[[#This Row],[Begin Year (Range)]],NA())</f>
        <v>2030</v>
      </c>
      <c r="N122" s="214">
        <f>IF((monthly_mortgage_schedule[[#This Row],[Year (Range)]]&gt;=$C$7)*(monthly_mortgage_schedule[[#This Row],[Year (Range)]]&lt;=$C$9),X122,NA())</f>
        <v>2070.8987668000773</v>
      </c>
      <c r="O122" s="214">
        <f>IF((monthly_mortgage_schedule[[#This Row],[Year (Range)]]&gt;=$C$7)*(monthly_mortgage_schedule[[#This Row],[Year (Range)]]&lt;=$C$9),Y122,NA())</f>
        <v>1029.1277286633308</v>
      </c>
      <c r="P122" s="214">
        <f>IF((monthly_mortgage_schedule[[#This Row],[Year (Range)]]&gt;=$C$7)*(monthly_mortgage_schedule[[#This Row],[Year (Range)]]&lt;=$C$9),AG122,NA())</f>
        <v>2158.7111657583232</v>
      </c>
      <c r="Q122" s="214">
        <f>IF((monthly_mortgage_schedule[[#This Row],[Year (Range)]]&gt;=$C$7)*(monthly_mortgage_schedule[[#This Row],[Year (Range)]]&lt;=$C$9),AH122,NA())</f>
        <v>941.31532970508488</v>
      </c>
      <c r="R122" s="214">
        <f>IF((monthly_mortgage_schedule[[#This Row],[Year (Range)]]&gt;=$C$7)*(monthly_mortgage_schedule[[#This Row],[Year (Range)]]&lt;=$C$9),AO122,NA())</f>
        <v>2904.7550328679545</v>
      </c>
      <c r="S122" s="214">
        <f>IF((monthly_mortgage_schedule[[#This Row],[Year (Range)]]&gt;=$C$7)*(monthly_mortgage_schedule[[#This Row],[Year (Range)]]&lt;=$C$9),AP122,NA())</f>
        <v>990</v>
      </c>
      <c r="T122" s="214">
        <f>IF((monthly_mortgage_schedule[[#This Row],[Year (Range)]]&gt;=$C$7)*(monthly_mortgage_schedule[[#This Row],[Year (Range)]]&lt;=$C$9),AR122,NA())</f>
        <v>4523.5675304188808</v>
      </c>
      <c r="U122" s="214">
        <f>IF((monthly_mortgage_schedule[[#This Row],[Year (Range)]]&gt;=$C$7)*(monthly_mortgage_schedule[[#This Row],[Year (Range)]]&lt;=$C$9),AB122,NA())</f>
        <v>97265.106271503842</v>
      </c>
      <c r="V122" s="214">
        <f>IF((monthly_mortgage_schedule[[#This Row],[Year (Range)]]&gt;=$C$7)*(monthly_mortgage_schedule[[#This Row],[Year (Range)]]&lt;=$C$9),AI122,NA())</f>
        <v>78360.351238635863</v>
      </c>
      <c r="W122" s="187">
        <f t="shared" si="10"/>
        <v>443764.02145715943</v>
      </c>
      <c r="X122" s="4">
        <f t="shared" si="13"/>
        <v>2070.8987668000773</v>
      </c>
      <c r="Y122" s="4">
        <f t="shared" si="11"/>
        <v>1029.1277286633308</v>
      </c>
      <c r="Z122" s="4">
        <f>_xlfn.IFNA(INDEX(additional_mortgage_payments[],MATCH(monthly_mortgage_schedule[[#This Row],[Month]],additional_mortgage_payments[Month],0),3),0)</f>
        <v>0</v>
      </c>
      <c r="AA122" s="4">
        <f>AA121+monthly_mortgage_schedule[[#This Row],[Extra Payments Towards Equity]]</f>
        <v>16000</v>
      </c>
      <c r="AB122" s="4">
        <f>AB121+monthly_mortgage_schedule[[#This Row],[Principal With Extra Principal Payments]]+monthly_mortgage_schedule[[#This Row],[Extra Payments Towards Equity]]</f>
        <v>97265.106271503842</v>
      </c>
      <c r="AC122" s="4">
        <f>monthly_mortgage_schedule[[#This Row],[Cumulative Principal With Extra Principal Payments]]+down_payment_dollars</f>
        <v>157265.10627150384</v>
      </c>
      <c r="AD122" s="200">
        <f t="shared" si="8"/>
        <v>0</v>
      </c>
      <c r="AE12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442734.8937284961</v>
      </c>
      <c r="AF122" s="187">
        <f t="shared" si="14"/>
        <v>462580.96409106918</v>
      </c>
      <c r="AG122" s="4">
        <f>IF(monthly_mortgage_schedule[[#This Row],[Loan Balance (BOY) Without Extra Principal Payments]]&gt;0,monthly_mortgage_schedule[[#This Row],[Loan Balance (BOY) Without Extra Principal Payments]]*monthly_interest_rate,0)</f>
        <v>2158.7111657583232</v>
      </c>
      <c r="AH122" s="4">
        <f>IF(monthly_mortgage_schedule[[#This Row],[Loan Balance (BOY) Without Extra Principal Payments]]&gt;1,monthly_principal_and_interest-monthly_mortgage_schedule[[#This Row],[Interest Without Extra Principal Payments]],0)</f>
        <v>941.31532970508488</v>
      </c>
      <c r="AI122" s="4">
        <f>AI121+monthly_mortgage_schedule[[#This Row],[Principal Without Extra Principal Payments]]</f>
        <v>78360.351238635863</v>
      </c>
      <c r="AJ122" s="4">
        <f>monthly_mortgage_schedule[[#This Row],[Cumulative Principal Without Extra Principal Payments]]+down_payment_dollars</f>
        <v>138360.35123863586</v>
      </c>
      <c r="AK122" s="200">
        <f t="shared" si="9"/>
        <v>0</v>
      </c>
      <c r="AL12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461639.64876136411</v>
      </c>
      <c r="AN122" s="196">
        <f>monthly_mortgage_schedule[[#This Row],[Extra Payments Towards Equity]]+AN121+IF(monthly_mortgage_schedule[[#This Row],[Interest With Extra Principal Payments]]&gt;0,monthly_mortgage_schedule[[#This Row],[Interest Without Extra Principal Payments]]-monthly_mortgage_schedule[[#This Row],[Interest With Extra Principal Payments]],0)</f>
        <v>18904.755032867954</v>
      </c>
      <c r="AO122" s="4">
        <f>AO121+IF(monthly_mortgage_schedule[[#This Row],[Interest With Extra Principal Payments]]&gt;0,monthly_mortgage_schedule[[#This Row],[Interest Without Extra Principal Payments]]-monthly_mortgage_schedule[[#This Row],[Interest With Extra Principal Payments]],0)</f>
        <v>2904.7550328679545</v>
      </c>
      <c r="AP122" s="4">
        <f>AP121+monthly_mortgage_schedule[[#This Row],[PMI Without Extra Principal Payments]]-monthly_mortgage_schedule[[#This Row],[PMI with Additional Payments]]</f>
        <v>990</v>
      </c>
      <c r="AQ122" s="4">
        <f t="shared" si="12"/>
        <v>20523.567530418881</v>
      </c>
      <c r="AR122" s="4">
        <f>Table60[[#This Row],[Cumulative Investments]]-monthly_mortgage_schedule[[#This Row],[Cumulative Extra Payments Towards Equity]]</f>
        <v>4523.5675304188808</v>
      </c>
    </row>
    <row r="123" spans="9:44" x14ac:dyDescent="0.25">
      <c r="I123">
        <v>106</v>
      </c>
      <c r="J123">
        <f>IF(MOD(ROWS($J$18:J122),12)=0,J122+1,J122)</f>
        <v>2030</v>
      </c>
      <c r="K123" s="198">
        <f>IF(M123="#N/A",NA(),monthly_mortgage_schedule[[#This Row],[Month]])</f>
        <v>106</v>
      </c>
      <c r="L123" s="198">
        <f>IF(monthly_mortgage_schedule[[#This Row],[Calendar Year]]&gt;=$C$7,monthly_mortgage_schedule[[#This Row],[Calendar Year]],NA())</f>
        <v>2030</v>
      </c>
      <c r="M123" s="199">
        <f>IF((monthly_mortgage_schedule[[#This Row],[Calendar Year]]&gt;=$C$7)*(monthly_mortgage_schedule[[#This Row],[Calendar Year]]&lt;=$C$9),monthly_mortgage_schedule[[#This Row],[Begin Year (Range)]],NA())</f>
        <v>2030</v>
      </c>
      <c r="N123" s="214">
        <f>IF((monthly_mortgage_schedule[[#This Row],[Year (Range)]]&gt;=$C$7)*(monthly_mortgage_schedule[[#This Row],[Year (Range)]]&lt;=$C$9),X123,NA())</f>
        <v>2066.096170732982</v>
      </c>
      <c r="O123" s="214">
        <f>IF((monthly_mortgage_schedule[[#This Row],[Year (Range)]]&gt;=$C$7)*(monthly_mortgage_schedule[[#This Row],[Year (Range)]]&lt;=$C$9),Y123,NA())</f>
        <v>1033.930324730426</v>
      </c>
      <c r="P123" s="214">
        <f>IF((monthly_mortgage_schedule[[#This Row],[Year (Range)]]&gt;=$C$7)*(monthly_mortgage_schedule[[#This Row],[Year (Range)]]&lt;=$C$9),AG123,NA())</f>
        <v>2154.318360886366</v>
      </c>
      <c r="Q123" s="214">
        <f>IF((monthly_mortgage_schedule[[#This Row],[Year (Range)]]&gt;=$C$7)*(monthly_mortgage_schedule[[#This Row],[Year (Range)]]&lt;=$C$9),AH123,NA())</f>
        <v>945.70813457704207</v>
      </c>
      <c r="R123" s="214">
        <f>IF((monthly_mortgage_schedule[[#This Row],[Year (Range)]]&gt;=$C$7)*(monthly_mortgage_schedule[[#This Row],[Year (Range)]]&lt;=$C$9),AO123,NA())</f>
        <v>2992.9772230213384</v>
      </c>
      <c r="S123" s="214">
        <f>IF((monthly_mortgage_schedule[[#This Row],[Year (Range)]]&gt;=$C$7)*(monthly_mortgage_schedule[[#This Row],[Year (Range)]]&lt;=$C$9),AP123,NA())</f>
        <v>990</v>
      </c>
      <c r="T123" s="214">
        <f>IF((monthly_mortgage_schedule[[#This Row],[Year (Range)]]&gt;=$C$7)*(monthly_mortgage_schedule[[#This Row],[Year (Range)]]&lt;=$C$9),AR123,NA())</f>
        <v>4660.3913139550059</v>
      </c>
      <c r="U123" s="214">
        <f>IF((monthly_mortgage_schedule[[#This Row],[Year (Range)]]&gt;=$C$7)*(monthly_mortgage_schedule[[#This Row],[Year (Range)]]&lt;=$C$9),AB123,NA())</f>
        <v>98299.036596234262</v>
      </c>
      <c r="V123" s="214">
        <f>IF((monthly_mortgage_schedule[[#This Row],[Year (Range)]]&gt;=$C$7)*(monthly_mortgage_schedule[[#This Row],[Year (Range)]]&lt;=$C$9),AI123,NA())</f>
        <v>79306.059373212905</v>
      </c>
      <c r="W123" s="187">
        <f t="shared" si="10"/>
        <v>442734.8937284961</v>
      </c>
      <c r="X123" s="4">
        <f t="shared" si="13"/>
        <v>2066.096170732982</v>
      </c>
      <c r="Y123" s="4">
        <f t="shared" si="11"/>
        <v>1033.930324730426</v>
      </c>
      <c r="Z123" s="4">
        <f>_xlfn.IFNA(INDEX(additional_mortgage_payments[],MATCH(monthly_mortgage_schedule[[#This Row],[Month]],additional_mortgage_payments[Month],0),3),0)</f>
        <v>0</v>
      </c>
      <c r="AA123" s="4">
        <f>AA122+monthly_mortgage_schedule[[#This Row],[Extra Payments Towards Equity]]</f>
        <v>16000</v>
      </c>
      <c r="AB123" s="4">
        <f>AB122+monthly_mortgage_schedule[[#This Row],[Principal With Extra Principal Payments]]+monthly_mortgage_schedule[[#This Row],[Extra Payments Towards Equity]]</f>
        <v>98299.036596234262</v>
      </c>
      <c r="AC123" s="4">
        <f>monthly_mortgage_schedule[[#This Row],[Cumulative Principal With Extra Principal Payments]]+down_payment_dollars</f>
        <v>158299.03659623425</v>
      </c>
      <c r="AD123" s="200">
        <f t="shared" si="8"/>
        <v>0</v>
      </c>
      <c r="AE12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441700.96340376569</v>
      </c>
      <c r="AF123" s="187">
        <f t="shared" si="14"/>
        <v>461639.64876136411</v>
      </c>
      <c r="AG123" s="4">
        <f>IF(monthly_mortgage_schedule[[#This Row],[Loan Balance (BOY) Without Extra Principal Payments]]&gt;0,monthly_mortgage_schedule[[#This Row],[Loan Balance (BOY) Without Extra Principal Payments]]*monthly_interest_rate,0)</f>
        <v>2154.318360886366</v>
      </c>
      <c r="AH123" s="4">
        <f>IF(monthly_mortgage_schedule[[#This Row],[Loan Balance (BOY) Without Extra Principal Payments]]&gt;1,monthly_principal_and_interest-monthly_mortgage_schedule[[#This Row],[Interest Without Extra Principal Payments]],0)</f>
        <v>945.70813457704207</v>
      </c>
      <c r="AI123" s="4">
        <f>AI122+monthly_mortgage_schedule[[#This Row],[Principal Without Extra Principal Payments]]</f>
        <v>79306.059373212905</v>
      </c>
      <c r="AJ123" s="4">
        <f>monthly_mortgage_schedule[[#This Row],[Cumulative Principal Without Extra Principal Payments]]+down_payment_dollars</f>
        <v>139306.05937321292</v>
      </c>
      <c r="AK123" s="200">
        <f t="shared" si="9"/>
        <v>0</v>
      </c>
      <c r="AL12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460693.94062678708</v>
      </c>
      <c r="AN123" s="196">
        <f>monthly_mortgage_schedule[[#This Row],[Extra Payments Towards Equity]]+AN122+IF(monthly_mortgage_schedule[[#This Row],[Interest With Extra Principal Payments]]&gt;0,monthly_mortgage_schedule[[#This Row],[Interest Without Extra Principal Payments]]-monthly_mortgage_schedule[[#This Row],[Interest With Extra Principal Payments]],0)</f>
        <v>18992.977223021338</v>
      </c>
      <c r="AO123" s="4">
        <f>AO122+IF(monthly_mortgage_schedule[[#This Row],[Interest With Extra Principal Payments]]&gt;0,monthly_mortgage_schedule[[#This Row],[Interest Without Extra Principal Payments]]-monthly_mortgage_schedule[[#This Row],[Interest With Extra Principal Payments]],0)</f>
        <v>2992.9772230213384</v>
      </c>
      <c r="AP123" s="4">
        <f>AP122+monthly_mortgage_schedule[[#This Row],[PMI Without Extra Principal Payments]]-monthly_mortgage_schedule[[#This Row],[PMI with Additional Payments]]</f>
        <v>990</v>
      </c>
      <c r="AQ123" s="4">
        <f t="shared" si="12"/>
        <v>20660.391313955006</v>
      </c>
      <c r="AR123" s="4">
        <f>Table60[[#This Row],[Cumulative Investments]]-monthly_mortgage_schedule[[#This Row],[Cumulative Extra Payments Towards Equity]]</f>
        <v>4660.3913139550059</v>
      </c>
    </row>
    <row r="124" spans="9:44" x14ac:dyDescent="0.25">
      <c r="I124">
        <v>107</v>
      </c>
      <c r="J124">
        <f>IF(MOD(ROWS($J$18:J123),12)=0,J123+1,J123)</f>
        <v>2030</v>
      </c>
      <c r="K124" s="198">
        <f>IF(M124="#N/A",NA(),monthly_mortgage_schedule[[#This Row],[Month]])</f>
        <v>107</v>
      </c>
      <c r="L124" s="198">
        <f>IF(monthly_mortgage_schedule[[#This Row],[Calendar Year]]&gt;=$C$7,monthly_mortgage_schedule[[#This Row],[Calendar Year]],NA())</f>
        <v>2030</v>
      </c>
      <c r="M124" s="199">
        <f>IF((monthly_mortgage_schedule[[#This Row],[Calendar Year]]&gt;=$C$7)*(monthly_mortgage_schedule[[#This Row],[Calendar Year]]&lt;=$C$9),monthly_mortgage_schedule[[#This Row],[Begin Year (Range)]],NA())</f>
        <v>2030</v>
      </c>
      <c r="N124" s="214">
        <f>IF((monthly_mortgage_schedule[[#This Row],[Year (Range)]]&gt;=$C$7)*(monthly_mortgage_schedule[[#This Row],[Year (Range)]]&lt;=$C$9),X124,NA())</f>
        <v>2061.2711625509069</v>
      </c>
      <c r="O124" s="214">
        <f>IF((monthly_mortgage_schedule[[#This Row],[Year (Range)]]&gt;=$C$7)*(monthly_mortgage_schedule[[#This Row],[Year (Range)]]&lt;=$C$9),Y124,NA())</f>
        <v>1038.7553329125012</v>
      </c>
      <c r="P124" s="214">
        <f>IF((monthly_mortgage_schedule[[#This Row],[Year (Range)]]&gt;=$C$7)*(monthly_mortgage_schedule[[#This Row],[Year (Range)]]&lt;=$C$9),AG124,NA())</f>
        <v>2149.9050562583398</v>
      </c>
      <c r="Q124" s="214">
        <f>IF((monthly_mortgage_schedule[[#This Row],[Year (Range)]]&gt;=$C$7)*(monthly_mortgage_schedule[[#This Row],[Year (Range)]]&lt;=$C$9),AH124,NA())</f>
        <v>950.12143920506833</v>
      </c>
      <c r="R124" s="214">
        <f>IF((monthly_mortgage_schedule[[#This Row],[Year (Range)]]&gt;=$C$7)*(monthly_mortgage_schedule[[#This Row],[Year (Range)]]&lt;=$C$9),AO124,NA())</f>
        <v>3081.6111167287713</v>
      </c>
      <c r="S124" s="214">
        <f>IF((monthly_mortgage_schedule[[#This Row],[Year (Range)]]&gt;=$C$7)*(monthly_mortgage_schedule[[#This Row],[Year (Range)]]&lt;=$C$9),AP124,NA())</f>
        <v>990</v>
      </c>
      <c r="T124" s="214">
        <f>IF((monthly_mortgage_schedule[[#This Row],[Year (Range)]]&gt;=$C$7)*(monthly_mortgage_schedule[[#This Row],[Year (Range)]]&lt;=$C$9),AR124,NA())</f>
        <v>4798.1272560480393</v>
      </c>
      <c r="U124" s="214">
        <f>IF((monthly_mortgage_schedule[[#This Row],[Year (Range)]]&gt;=$C$7)*(monthly_mortgage_schedule[[#This Row],[Year (Range)]]&lt;=$C$9),AB124,NA())</f>
        <v>99337.79192914677</v>
      </c>
      <c r="V124" s="214">
        <f>IF((monthly_mortgage_schedule[[#This Row],[Year (Range)]]&gt;=$C$7)*(monthly_mortgage_schedule[[#This Row],[Year (Range)]]&lt;=$C$9),AI124,NA())</f>
        <v>80256.180812417981</v>
      </c>
      <c r="W124" s="187">
        <f t="shared" si="10"/>
        <v>441700.96340376569</v>
      </c>
      <c r="X124" s="4">
        <f t="shared" si="13"/>
        <v>2061.2711625509069</v>
      </c>
      <c r="Y124" s="4">
        <f t="shared" si="11"/>
        <v>1038.7553329125012</v>
      </c>
      <c r="Z124" s="4">
        <f>_xlfn.IFNA(INDEX(additional_mortgage_payments[],MATCH(monthly_mortgage_schedule[[#This Row],[Month]],additional_mortgage_payments[Month],0),3),0)</f>
        <v>0</v>
      </c>
      <c r="AA124" s="4">
        <f>AA123+monthly_mortgage_schedule[[#This Row],[Extra Payments Towards Equity]]</f>
        <v>16000</v>
      </c>
      <c r="AB124" s="4">
        <f>AB123+monthly_mortgage_schedule[[#This Row],[Principal With Extra Principal Payments]]+monthly_mortgage_schedule[[#This Row],[Extra Payments Towards Equity]]</f>
        <v>99337.79192914677</v>
      </c>
      <c r="AC124" s="4">
        <f>monthly_mortgage_schedule[[#This Row],[Cumulative Principal With Extra Principal Payments]]+down_payment_dollars</f>
        <v>159337.79192914677</v>
      </c>
      <c r="AD124" s="200">
        <f t="shared" si="8"/>
        <v>0</v>
      </c>
      <c r="AE12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440662.2080708532</v>
      </c>
      <c r="AF124" s="187">
        <f t="shared" si="14"/>
        <v>460693.94062678708</v>
      </c>
      <c r="AG124" s="4">
        <f>IF(monthly_mortgage_schedule[[#This Row],[Loan Balance (BOY) Without Extra Principal Payments]]&gt;0,monthly_mortgage_schedule[[#This Row],[Loan Balance (BOY) Without Extra Principal Payments]]*monthly_interest_rate,0)</f>
        <v>2149.9050562583398</v>
      </c>
      <c r="AH124" s="4">
        <f>IF(monthly_mortgage_schedule[[#This Row],[Loan Balance (BOY) Without Extra Principal Payments]]&gt;1,monthly_principal_and_interest-monthly_mortgage_schedule[[#This Row],[Interest Without Extra Principal Payments]],0)</f>
        <v>950.12143920506833</v>
      </c>
      <c r="AI124" s="4">
        <f>AI123+monthly_mortgage_schedule[[#This Row],[Principal Without Extra Principal Payments]]</f>
        <v>80256.180812417981</v>
      </c>
      <c r="AJ124" s="4">
        <f>monthly_mortgage_schedule[[#This Row],[Cumulative Principal Without Extra Principal Payments]]+down_payment_dollars</f>
        <v>140256.180812418</v>
      </c>
      <c r="AK124" s="200">
        <f t="shared" si="9"/>
        <v>0</v>
      </c>
      <c r="AL12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459743.819187582</v>
      </c>
      <c r="AN124" s="196">
        <f>monthly_mortgage_schedule[[#This Row],[Extra Payments Towards Equity]]+AN123+IF(monthly_mortgage_schedule[[#This Row],[Interest With Extra Principal Payments]]&gt;0,monthly_mortgage_schedule[[#This Row],[Interest Without Extra Principal Payments]]-monthly_mortgage_schedule[[#This Row],[Interest With Extra Principal Payments]],0)</f>
        <v>19081.611116728771</v>
      </c>
      <c r="AO124" s="4">
        <f>AO123+IF(monthly_mortgage_schedule[[#This Row],[Interest With Extra Principal Payments]]&gt;0,monthly_mortgage_schedule[[#This Row],[Interest Without Extra Principal Payments]]-monthly_mortgage_schedule[[#This Row],[Interest With Extra Principal Payments]],0)</f>
        <v>3081.6111167287713</v>
      </c>
      <c r="AP124" s="4">
        <f>AP123+monthly_mortgage_schedule[[#This Row],[PMI Without Extra Principal Payments]]-monthly_mortgage_schedule[[#This Row],[PMI with Additional Payments]]</f>
        <v>990</v>
      </c>
      <c r="AQ124" s="4">
        <f t="shared" si="12"/>
        <v>20798.127256048039</v>
      </c>
      <c r="AR124" s="4">
        <f>Table60[[#This Row],[Cumulative Investments]]-monthly_mortgage_schedule[[#This Row],[Cumulative Extra Payments Towards Equity]]</f>
        <v>4798.1272560480393</v>
      </c>
    </row>
    <row r="125" spans="9:44" x14ac:dyDescent="0.25">
      <c r="I125">
        <v>108</v>
      </c>
      <c r="J125">
        <f>IF(MOD(ROWS($J$18:J124),12)=0,J124+1,J124)</f>
        <v>2030</v>
      </c>
      <c r="K125" s="198">
        <f>IF(M125="#N/A",NA(),monthly_mortgage_schedule[[#This Row],[Month]])</f>
        <v>108</v>
      </c>
      <c r="L125" s="198">
        <f>IF(monthly_mortgage_schedule[[#This Row],[Calendar Year]]&gt;=$C$7,monthly_mortgage_schedule[[#This Row],[Calendar Year]],NA())</f>
        <v>2030</v>
      </c>
      <c r="M125" s="199">
        <f>IF((monthly_mortgage_schedule[[#This Row],[Calendar Year]]&gt;=$C$7)*(monthly_mortgage_schedule[[#This Row],[Calendar Year]]&lt;=$C$9),monthly_mortgage_schedule[[#This Row],[Begin Year (Range)]],NA())</f>
        <v>2030</v>
      </c>
      <c r="N125" s="214">
        <f>IF((monthly_mortgage_schedule[[#This Row],[Year (Range)]]&gt;=$C$7)*(monthly_mortgage_schedule[[#This Row],[Year (Range)]]&lt;=$C$9),X125,NA())</f>
        <v>2056.4236376639819</v>
      </c>
      <c r="O125" s="214">
        <f>IF((monthly_mortgage_schedule[[#This Row],[Year (Range)]]&gt;=$C$7)*(monthly_mortgage_schedule[[#This Row],[Year (Range)]]&lt;=$C$9),Y125,NA())</f>
        <v>1043.6028577994261</v>
      </c>
      <c r="P125" s="214">
        <f>IF((monthly_mortgage_schedule[[#This Row],[Year (Range)]]&gt;=$C$7)*(monthly_mortgage_schedule[[#This Row],[Year (Range)]]&lt;=$C$9),AG125,NA())</f>
        <v>2145.4711562087164</v>
      </c>
      <c r="Q125" s="214">
        <f>IF((monthly_mortgage_schedule[[#This Row],[Year (Range)]]&gt;=$C$7)*(monthly_mortgage_schedule[[#This Row],[Year (Range)]]&lt;=$C$9),AH125,NA())</f>
        <v>954.55533925469172</v>
      </c>
      <c r="R125" s="214">
        <f>IF((monthly_mortgage_schedule[[#This Row],[Year (Range)]]&gt;=$C$7)*(monthly_mortgage_schedule[[#This Row],[Year (Range)]]&lt;=$C$9),AO125,NA())</f>
        <v>3170.6586352735058</v>
      </c>
      <c r="S125" s="214">
        <f>IF((monthly_mortgage_schedule[[#This Row],[Year (Range)]]&gt;=$C$7)*(monthly_mortgage_schedule[[#This Row],[Year (Range)]]&lt;=$C$9),AP125,NA())</f>
        <v>990</v>
      </c>
      <c r="T125" s="214">
        <f>IF((monthly_mortgage_schedule[[#This Row],[Year (Range)]]&gt;=$C$7)*(monthly_mortgage_schedule[[#This Row],[Year (Range)]]&lt;=$C$9),AR125,NA())</f>
        <v>4936.7814377550239</v>
      </c>
      <c r="U125" s="214">
        <f>IF((monthly_mortgage_schedule[[#This Row],[Year (Range)]]&gt;=$C$7)*(monthly_mortgage_schedule[[#This Row],[Year (Range)]]&lt;=$C$9),AB125,NA())</f>
        <v>100381.3947869462</v>
      </c>
      <c r="V125" s="214">
        <f>IF((monthly_mortgage_schedule[[#This Row],[Year (Range)]]&gt;=$C$7)*(monthly_mortgage_schedule[[#This Row],[Year (Range)]]&lt;=$C$9),AI125,NA())</f>
        <v>81210.736151672667</v>
      </c>
      <c r="W125" s="187">
        <f t="shared" si="10"/>
        <v>440662.2080708532</v>
      </c>
      <c r="X125" s="4">
        <f t="shared" si="13"/>
        <v>2056.4236376639819</v>
      </c>
      <c r="Y125" s="4">
        <f t="shared" si="11"/>
        <v>1043.6028577994261</v>
      </c>
      <c r="Z125" s="4">
        <f>_xlfn.IFNA(INDEX(additional_mortgage_payments[],MATCH(monthly_mortgage_schedule[[#This Row],[Month]],additional_mortgage_payments[Month],0),3),0)</f>
        <v>0</v>
      </c>
      <c r="AA125" s="4">
        <f>AA124+monthly_mortgage_schedule[[#This Row],[Extra Payments Towards Equity]]</f>
        <v>16000</v>
      </c>
      <c r="AB125" s="4">
        <f>AB124+monthly_mortgage_schedule[[#This Row],[Principal With Extra Principal Payments]]+monthly_mortgage_schedule[[#This Row],[Extra Payments Towards Equity]]</f>
        <v>100381.3947869462</v>
      </c>
      <c r="AC125" s="4">
        <f>monthly_mortgage_schedule[[#This Row],[Cumulative Principal With Extra Principal Payments]]+down_payment_dollars</f>
        <v>160381.39478694618</v>
      </c>
      <c r="AD125" s="200">
        <f t="shared" si="8"/>
        <v>0</v>
      </c>
      <c r="AE12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439618.60521305376</v>
      </c>
      <c r="AF125" s="187">
        <f t="shared" si="14"/>
        <v>459743.819187582</v>
      </c>
      <c r="AG125" s="4">
        <f>IF(monthly_mortgage_schedule[[#This Row],[Loan Balance (BOY) Without Extra Principal Payments]]&gt;0,monthly_mortgage_schedule[[#This Row],[Loan Balance (BOY) Without Extra Principal Payments]]*monthly_interest_rate,0)</f>
        <v>2145.4711562087164</v>
      </c>
      <c r="AH125" s="4">
        <f>IF(monthly_mortgage_schedule[[#This Row],[Loan Balance (BOY) Without Extra Principal Payments]]&gt;1,monthly_principal_and_interest-monthly_mortgage_schedule[[#This Row],[Interest Without Extra Principal Payments]],0)</f>
        <v>954.55533925469172</v>
      </c>
      <c r="AI125" s="4">
        <f>AI124+monthly_mortgage_schedule[[#This Row],[Principal Without Extra Principal Payments]]</f>
        <v>81210.736151672667</v>
      </c>
      <c r="AJ125" s="4">
        <f>monthly_mortgage_schedule[[#This Row],[Cumulative Principal Without Extra Principal Payments]]+down_payment_dollars</f>
        <v>141210.73615167267</v>
      </c>
      <c r="AK125" s="200">
        <f t="shared" si="9"/>
        <v>0</v>
      </c>
      <c r="AL12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458789.26384832733</v>
      </c>
      <c r="AN125" s="196">
        <f>monthly_mortgage_schedule[[#This Row],[Extra Payments Towards Equity]]+AN124+IF(monthly_mortgage_schedule[[#This Row],[Interest With Extra Principal Payments]]&gt;0,monthly_mortgage_schedule[[#This Row],[Interest Without Extra Principal Payments]]-monthly_mortgage_schedule[[#This Row],[Interest With Extra Principal Payments]],0)</f>
        <v>19170.658635273507</v>
      </c>
      <c r="AO125" s="4">
        <f>AO124+IF(monthly_mortgage_schedule[[#This Row],[Interest With Extra Principal Payments]]&gt;0,monthly_mortgage_schedule[[#This Row],[Interest Without Extra Principal Payments]]-monthly_mortgage_schedule[[#This Row],[Interest With Extra Principal Payments]],0)</f>
        <v>3170.6586352735058</v>
      </c>
      <c r="AP125" s="4">
        <f>AP124+monthly_mortgage_schedule[[#This Row],[PMI Without Extra Principal Payments]]-monthly_mortgage_schedule[[#This Row],[PMI with Additional Payments]]</f>
        <v>990</v>
      </c>
      <c r="AQ125" s="4">
        <f t="shared" si="12"/>
        <v>20936.781437755024</v>
      </c>
      <c r="AR125" s="4">
        <f>Table60[[#This Row],[Cumulative Investments]]-monthly_mortgage_schedule[[#This Row],[Cumulative Extra Payments Towards Equity]]</f>
        <v>4936.7814377550239</v>
      </c>
    </row>
    <row r="126" spans="9:44" x14ac:dyDescent="0.25">
      <c r="I126">
        <v>109</v>
      </c>
      <c r="J126">
        <f>IF(MOD(ROWS($J$18:J125),12)=0,J125+1,J125)</f>
        <v>2031</v>
      </c>
      <c r="K126" s="198">
        <f>IF(M126="#N/A",NA(),monthly_mortgage_schedule[[#This Row],[Month]])</f>
        <v>109</v>
      </c>
      <c r="L126" s="198">
        <f>IF(monthly_mortgage_schedule[[#This Row],[Calendar Year]]&gt;=$C$7,monthly_mortgage_schedule[[#This Row],[Calendar Year]],NA())</f>
        <v>2031</v>
      </c>
      <c r="M126" s="199">
        <f>IF((monthly_mortgage_schedule[[#This Row],[Calendar Year]]&gt;=$C$7)*(monthly_mortgage_schedule[[#This Row],[Calendar Year]]&lt;=$C$9),monthly_mortgage_schedule[[#This Row],[Begin Year (Range)]],NA())</f>
        <v>2031</v>
      </c>
      <c r="N126" s="214">
        <f>IF((monthly_mortgage_schedule[[#This Row],[Year (Range)]]&gt;=$C$7)*(monthly_mortgage_schedule[[#This Row],[Year (Range)]]&lt;=$C$9),X126,NA())</f>
        <v>2051.5534909942512</v>
      </c>
      <c r="O126" s="214">
        <f>IF((monthly_mortgage_schedule[[#This Row],[Year (Range)]]&gt;=$C$7)*(monthly_mortgage_schedule[[#This Row],[Year (Range)]]&lt;=$C$9),Y126,NA())</f>
        <v>1048.4730044691569</v>
      </c>
      <c r="P126" s="214">
        <f>IF((monthly_mortgage_schedule[[#This Row],[Year (Range)]]&gt;=$C$7)*(monthly_mortgage_schedule[[#This Row],[Year (Range)]]&lt;=$C$9),AG126,NA())</f>
        <v>2141.0165646255277</v>
      </c>
      <c r="Q126" s="214">
        <f>IF((monthly_mortgage_schedule[[#This Row],[Year (Range)]]&gt;=$C$7)*(monthly_mortgage_schedule[[#This Row],[Year (Range)]]&lt;=$C$9),AH126,NA())</f>
        <v>959.00993083788035</v>
      </c>
      <c r="R126" s="214">
        <f>IF((monthly_mortgage_schedule[[#This Row],[Year (Range)]]&gt;=$C$7)*(monthly_mortgage_schedule[[#This Row],[Year (Range)]]&lt;=$C$9),AO126,NA())</f>
        <v>3260.1217089047823</v>
      </c>
      <c r="S126" s="214">
        <f>IF((monthly_mortgage_schedule[[#This Row],[Year (Range)]]&gt;=$C$7)*(monthly_mortgage_schedule[[#This Row],[Year (Range)]]&lt;=$C$9),AP126,NA())</f>
        <v>990</v>
      </c>
      <c r="T126" s="214">
        <f>IF((monthly_mortgage_schedule[[#This Row],[Year (Range)]]&gt;=$C$7)*(monthly_mortgage_schedule[[#This Row],[Year (Range)]]&lt;=$C$9),AR126,NA())</f>
        <v>5076.359980673391</v>
      </c>
      <c r="U126" s="214">
        <f>IF((monthly_mortgage_schedule[[#This Row],[Year (Range)]]&gt;=$C$7)*(monthly_mortgage_schedule[[#This Row],[Year (Range)]]&lt;=$C$9),AB126,NA())</f>
        <v>101429.86779141535</v>
      </c>
      <c r="V126" s="214">
        <f>IF((monthly_mortgage_schedule[[#This Row],[Year (Range)]]&gt;=$C$7)*(monthly_mortgage_schedule[[#This Row],[Year (Range)]]&lt;=$C$9),AI126,NA())</f>
        <v>82169.746082510552</v>
      </c>
      <c r="W126" s="187">
        <f t="shared" si="10"/>
        <v>439618.60521305376</v>
      </c>
      <c r="X126" s="4">
        <f t="shared" si="13"/>
        <v>2051.5534909942512</v>
      </c>
      <c r="Y126" s="4">
        <f t="shared" si="11"/>
        <v>1048.4730044691569</v>
      </c>
      <c r="Z126" s="4">
        <f>_xlfn.IFNA(INDEX(additional_mortgage_payments[],MATCH(monthly_mortgage_schedule[[#This Row],[Month]],additional_mortgage_payments[Month],0),3),0)</f>
        <v>0</v>
      </c>
      <c r="AA126" s="4">
        <f>AA125+monthly_mortgage_schedule[[#This Row],[Extra Payments Towards Equity]]</f>
        <v>16000</v>
      </c>
      <c r="AB126" s="4">
        <f>AB125+monthly_mortgage_schedule[[#This Row],[Principal With Extra Principal Payments]]+monthly_mortgage_schedule[[#This Row],[Extra Payments Towards Equity]]</f>
        <v>101429.86779141535</v>
      </c>
      <c r="AC126" s="4">
        <f>monthly_mortgage_schedule[[#This Row],[Cumulative Principal With Extra Principal Payments]]+down_payment_dollars</f>
        <v>161429.86779141537</v>
      </c>
      <c r="AD126" s="200">
        <f t="shared" si="8"/>
        <v>0</v>
      </c>
      <c r="AE12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438570.13220858457</v>
      </c>
      <c r="AF126" s="187">
        <f t="shared" si="14"/>
        <v>458789.26384832733</v>
      </c>
      <c r="AG126" s="4">
        <f>IF(monthly_mortgage_schedule[[#This Row],[Loan Balance (BOY) Without Extra Principal Payments]]&gt;0,monthly_mortgage_schedule[[#This Row],[Loan Balance (BOY) Without Extra Principal Payments]]*monthly_interest_rate,0)</f>
        <v>2141.0165646255277</v>
      </c>
      <c r="AH126" s="4">
        <f>IF(monthly_mortgage_schedule[[#This Row],[Loan Balance (BOY) Without Extra Principal Payments]]&gt;1,monthly_principal_and_interest-monthly_mortgage_schedule[[#This Row],[Interest Without Extra Principal Payments]],0)</f>
        <v>959.00993083788035</v>
      </c>
      <c r="AI126" s="4">
        <f>AI125+monthly_mortgage_schedule[[#This Row],[Principal Without Extra Principal Payments]]</f>
        <v>82169.746082510552</v>
      </c>
      <c r="AJ126" s="4">
        <f>monthly_mortgage_schedule[[#This Row],[Cumulative Principal Without Extra Principal Payments]]+down_payment_dollars</f>
        <v>142169.74608251057</v>
      </c>
      <c r="AK126" s="200">
        <f t="shared" si="9"/>
        <v>0</v>
      </c>
      <c r="AL12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457830.25391748943</v>
      </c>
      <c r="AN126" s="196">
        <f>monthly_mortgage_schedule[[#This Row],[Extra Payments Towards Equity]]+AN125+IF(monthly_mortgage_schedule[[#This Row],[Interest With Extra Principal Payments]]&gt;0,monthly_mortgage_schedule[[#This Row],[Interest Without Extra Principal Payments]]-monthly_mortgage_schedule[[#This Row],[Interest With Extra Principal Payments]],0)</f>
        <v>19260.121708904782</v>
      </c>
      <c r="AO126" s="4">
        <f>AO125+IF(monthly_mortgage_schedule[[#This Row],[Interest With Extra Principal Payments]]&gt;0,monthly_mortgage_schedule[[#This Row],[Interest Without Extra Principal Payments]]-monthly_mortgage_schedule[[#This Row],[Interest With Extra Principal Payments]],0)</f>
        <v>3260.1217089047823</v>
      </c>
      <c r="AP126" s="4">
        <f>AP125+monthly_mortgage_schedule[[#This Row],[PMI Without Extra Principal Payments]]-monthly_mortgage_schedule[[#This Row],[PMI with Additional Payments]]</f>
        <v>990</v>
      </c>
      <c r="AQ126" s="4">
        <f t="shared" si="12"/>
        <v>21076.359980673391</v>
      </c>
      <c r="AR126" s="4">
        <f>Table60[[#This Row],[Cumulative Investments]]-monthly_mortgage_schedule[[#This Row],[Cumulative Extra Payments Towards Equity]]</f>
        <v>5076.359980673391</v>
      </c>
    </row>
    <row r="127" spans="9:44" x14ac:dyDescent="0.25">
      <c r="I127">
        <v>110</v>
      </c>
      <c r="J127">
        <f>IF(MOD(ROWS($J$18:J126),12)=0,J126+1,J126)</f>
        <v>2031</v>
      </c>
      <c r="K127" s="198">
        <f>IF(M127="#N/A",NA(),monthly_mortgage_schedule[[#This Row],[Month]])</f>
        <v>110</v>
      </c>
      <c r="L127" s="198">
        <f>IF(monthly_mortgage_schedule[[#This Row],[Calendar Year]]&gt;=$C$7,monthly_mortgage_schedule[[#This Row],[Calendar Year]],NA())</f>
        <v>2031</v>
      </c>
      <c r="M127" s="199">
        <f>IF((monthly_mortgage_schedule[[#This Row],[Calendar Year]]&gt;=$C$7)*(monthly_mortgage_schedule[[#This Row],[Calendar Year]]&lt;=$C$9),monthly_mortgage_schedule[[#This Row],[Begin Year (Range)]],NA())</f>
        <v>2031</v>
      </c>
      <c r="N127" s="214">
        <f>IF((monthly_mortgage_schedule[[#This Row],[Year (Range)]]&gt;=$C$7)*(monthly_mortgage_schedule[[#This Row],[Year (Range)]]&lt;=$C$9),X127,NA())</f>
        <v>2046.6606169733948</v>
      </c>
      <c r="O127" s="214">
        <f>IF((monthly_mortgage_schedule[[#This Row],[Year (Range)]]&gt;=$C$7)*(monthly_mortgage_schedule[[#This Row],[Year (Range)]]&lt;=$C$9),Y127,NA())</f>
        <v>1053.3658784900133</v>
      </c>
      <c r="P127" s="214">
        <f>IF((monthly_mortgage_schedule[[#This Row],[Year (Range)]]&gt;=$C$7)*(monthly_mortgage_schedule[[#This Row],[Year (Range)]]&lt;=$C$9),AG127,NA())</f>
        <v>2136.5411849482844</v>
      </c>
      <c r="Q127" s="214">
        <f>IF((monthly_mortgage_schedule[[#This Row],[Year (Range)]]&gt;=$C$7)*(monthly_mortgage_schedule[[#This Row],[Year (Range)]]&lt;=$C$9),AH127,NA())</f>
        <v>963.48531051512373</v>
      </c>
      <c r="R127" s="214">
        <f>IF((monthly_mortgage_schedule[[#This Row],[Year (Range)]]&gt;=$C$7)*(monthly_mortgage_schedule[[#This Row],[Year (Range)]]&lt;=$C$9),AO127,NA())</f>
        <v>3350.0022768796716</v>
      </c>
      <c r="S127" s="214">
        <f>IF((monthly_mortgage_schedule[[#This Row],[Year (Range)]]&gt;=$C$7)*(monthly_mortgage_schedule[[#This Row],[Year (Range)]]&lt;=$C$9),AP127,NA())</f>
        <v>990</v>
      </c>
      <c r="T127" s="214">
        <f>IF((monthly_mortgage_schedule[[#This Row],[Year (Range)]]&gt;=$C$7)*(monthly_mortgage_schedule[[#This Row],[Year (Range)]]&lt;=$C$9),AR127,NA())</f>
        <v>5220.202380544546</v>
      </c>
      <c r="U127" s="214">
        <f>IF((monthly_mortgage_schedule[[#This Row],[Year (Range)]]&gt;=$C$7)*(monthly_mortgage_schedule[[#This Row],[Year (Range)]]&lt;=$C$9),AB127,NA())</f>
        <v>102983.23366990537</v>
      </c>
      <c r="V127" s="214">
        <f>IF((monthly_mortgage_schedule[[#This Row],[Year (Range)]]&gt;=$C$7)*(monthly_mortgage_schedule[[#This Row],[Year (Range)]]&lt;=$C$9),AI127,NA())</f>
        <v>83133.231393025679</v>
      </c>
      <c r="W127" s="187">
        <f t="shared" si="10"/>
        <v>438570.13220858457</v>
      </c>
      <c r="X127" s="4">
        <f t="shared" si="13"/>
        <v>2046.6606169733948</v>
      </c>
      <c r="Y127" s="4">
        <f t="shared" si="11"/>
        <v>1053.3658784900133</v>
      </c>
      <c r="Z127" s="4">
        <f>_xlfn.IFNA(INDEX(additional_mortgage_payments[],MATCH(monthly_mortgage_schedule[[#This Row],[Month]],additional_mortgage_payments[Month],0),3),0)</f>
        <v>500</v>
      </c>
      <c r="AA127" s="4">
        <f>AA126+monthly_mortgage_schedule[[#This Row],[Extra Payments Towards Equity]]</f>
        <v>16500</v>
      </c>
      <c r="AB127" s="4">
        <f>AB126+monthly_mortgage_schedule[[#This Row],[Principal With Extra Principal Payments]]+monthly_mortgage_schedule[[#This Row],[Extra Payments Towards Equity]]</f>
        <v>102983.23366990537</v>
      </c>
      <c r="AC127" s="4">
        <f>monthly_mortgage_schedule[[#This Row],[Cumulative Principal With Extra Principal Payments]]+down_payment_dollars</f>
        <v>162983.23366990537</v>
      </c>
      <c r="AD127" s="200">
        <f t="shared" si="8"/>
        <v>0</v>
      </c>
      <c r="AE12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437016.76633009454</v>
      </c>
      <c r="AF127" s="187">
        <f t="shared" si="14"/>
        <v>457830.25391748943</v>
      </c>
      <c r="AG127" s="4">
        <f>IF(monthly_mortgage_schedule[[#This Row],[Loan Balance (BOY) Without Extra Principal Payments]]&gt;0,monthly_mortgage_schedule[[#This Row],[Loan Balance (BOY) Without Extra Principal Payments]]*monthly_interest_rate,0)</f>
        <v>2136.5411849482844</v>
      </c>
      <c r="AH127" s="4">
        <f>IF(monthly_mortgage_schedule[[#This Row],[Loan Balance (BOY) Without Extra Principal Payments]]&gt;1,monthly_principal_and_interest-monthly_mortgage_schedule[[#This Row],[Interest Without Extra Principal Payments]],0)</f>
        <v>963.48531051512373</v>
      </c>
      <c r="AI127" s="4">
        <f>AI126+monthly_mortgage_schedule[[#This Row],[Principal Without Extra Principal Payments]]</f>
        <v>83133.231393025679</v>
      </c>
      <c r="AJ127" s="4">
        <f>monthly_mortgage_schedule[[#This Row],[Cumulative Principal Without Extra Principal Payments]]+down_payment_dollars</f>
        <v>143133.23139302566</v>
      </c>
      <c r="AK127" s="200">
        <f t="shared" si="9"/>
        <v>0</v>
      </c>
      <c r="AL12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456866.76860697434</v>
      </c>
      <c r="AN127" s="196">
        <f>monthly_mortgage_schedule[[#This Row],[Extra Payments Towards Equity]]+AN126+IF(monthly_mortgage_schedule[[#This Row],[Interest With Extra Principal Payments]]&gt;0,monthly_mortgage_schedule[[#This Row],[Interest Without Extra Principal Payments]]-monthly_mortgage_schedule[[#This Row],[Interest With Extra Principal Payments]],0)</f>
        <v>19850.002276879673</v>
      </c>
      <c r="AO127" s="4">
        <f>AO126+IF(monthly_mortgage_schedule[[#This Row],[Interest With Extra Principal Payments]]&gt;0,monthly_mortgage_schedule[[#This Row],[Interest Without Extra Principal Payments]]-monthly_mortgage_schedule[[#This Row],[Interest With Extra Principal Payments]],0)</f>
        <v>3350.0022768796716</v>
      </c>
      <c r="AP127" s="4">
        <f>AP126+monthly_mortgage_schedule[[#This Row],[PMI Without Extra Principal Payments]]-monthly_mortgage_schedule[[#This Row],[PMI with Additional Payments]]</f>
        <v>990</v>
      </c>
      <c r="AQ127" s="4">
        <f t="shared" si="12"/>
        <v>21720.202380544546</v>
      </c>
      <c r="AR127" s="4">
        <f>Table60[[#This Row],[Cumulative Investments]]-monthly_mortgage_schedule[[#This Row],[Cumulative Extra Payments Towards Equity]]</f>
        <v>5220.202380544546</v>
      </c>
    </row>
    <row r="128" spans="9:44" x14ac:dyDescent="0.25">
      <c r="I128">
        <v>111</v>
      </c>
      <c r="J128">
        <f>IF(MOD(ROWS($J$18:J127),12)=0,J127+1,J127)</f>
        <v>2031</v>
      </c>
      <c r="K128" s="198">
        <f>IF(M128="#N/A",NA(),monthly_mortgage_schedule[[#This Row],[Month]])</f>
        <v>111</v>
      </c>
      <c r="L128" s="198">
        <f>IF(monthly_mortgage_schedule[[#This Row],[Calendar Year]]&gt;=$C$7,monthly_mortgage_schedule[[#This Row],[Calendar Year]],NA())</f>
        <v>2031</v>
      </c>
      <c r="M128" s="199">
        <f>IF((monthly_mortgage_schedule[[#This Row],[Calendar Year]]&gt;=$C$7)*(monthly_mortgage_schedule[[#This Row],[Calendar Year]]&lt;=$C$9),monthly_mortgage_schedule[[#This Row],[Begin Year (Range)]],NA())</f>
        <v>2031</v>
      </c>
      <c r="N128" s="214">
        <f>IF((monthly_mortgage_schedule[[#This Row],[Year (Range)]]&gt;=$C$7)*(monthly_mortgage_schedule[[#This Row],[Year (Range)]]&lt;=$C$9),X128,NA())</f>
        <v>2039.4115762071081</v>
      </c>
      <c r="O128" s="214">
        <f>IF((monthly_mortgage_schedule[[#This Row],[Year (Range)]]&gt;=$C$7)*(monthly_mortgage_schedule[[#This Row],[Year (Range)]]&lt;=$C$9),Y128,NA())</f>
        <v>1060.6149192563</v>
      </c>
      <c r="P128" s="214">
        <f>IF((monthly_mortgage_schedule[[#This Row],[Year (Range)]]&gt;=$C$7)*(monthly_mortgage_schedule[[#This Row],[Year (Range)]]&lt;=$C$9),AG128,NA())</f>
        <v>2132.0449201658803</v>
      </c>
      <c r="Q128" s="214">
        <f>IF((monthly_mortgage_schedule[[#This Row],[Year (Range)]]&gt;=$C$7)*(monthly_mortgage_schedule[[#This Row],[Year (Range)]]&lt;=$C$9),AH128,NA())</f>
        <v>967.9815752975278</v>
      </c>
      <c r="R128" s="214">
        <f>IF((monthly_mortgage_schedule[[#This Row],[Year (Range)]]&gt;=$C$7)*(monthly_mortgage_schedule[[#This Row],[Year (Range)]]&lt;=$C$9),AO128,NA())</f>
        <v>3442.6356208384441</v>
      </c>
      <c r="S128" s="214">
        <f>IF((monthly_mortgage_schedule[[#This Row],[Year (Range)]]&gt;=$C$7)*(monthly_mortgage_schedule[[#This Row],[Year (Range)]]&lt;=$C$9),AP128,NA())</f>
        <v>990</v>
      </c>
      <c r="T128" s="214">
        <f>IF((monthly_mortgage_schedule[[#This Row],[Year (Range)]]&gt;=$C$7)*(monthly_mortgage_schedule[[#This Row],[Year (Range)]]&lt;=$C$9),AR128,NA())</f>
        <v>5365.0037297481758</v>
      </c>
      <c r="U128" s="214">
        <f>IF((monthly_mortgage_schedule[[#This Row],[Year (Range)]]&gt;=$C$7)*(monthly_mortgage_schedule[[#This Row],[Year (Range)]]&lt;=$C$9),AB128,NA())</f>
        <v>104043.84858916167</v>
      </c>
      <c r="V128" s="214">
        <f>IF((monthly_mortgage_schedule[[#This Row],[Year (Range)]]&gt;=$C$7)*(monthly_mortgage_schedule[[#This Row],[Year (Range)]]&lt;=$C$9),AI128,NA())</f>
        <v>84101.212968323205</v>
      </c>
      <c r="W128" s="187">
        <f t="shared" si="10"/>
        <v>437016.76633009454</v>
      </c>
      <c r="X128" s="4">
        <f t="shared" si="13"/>
        <v>2039.4115762071081</v>
      </c>
      <c r="Y128" s="4">
        <f t="shared" si="11"/>
        <v>1060.6149192563</v>
      </c>
      <c r="Z128" s="4">
        <f>_xlfn.IFNA(INDEX(additional_mortgage_payments[],MATCH(monthly_mortgage_schedule[[#This Row],[Month]],additional_mortgage_payments[Month],0),3),0)</f>
        <v>0</v>
      </c>
      <c r="AA128" s="4">
        <f>AA127+monthly_mortgage_schedule[[#This Row],[Extra Payments Towards Equity]]</f>
        <v>16500</v>
      </c>
      <c r="AB128" s="4">
        <f>AB127+monthly_mortgage_schedule[[#This Row],[Principal With Extra Principal Payments]]+monthly_mortgage_schedule[[#This Row],[Extra Payments Towards Equity]]</f>
        <v>104043.84858916167</v>
      </c>
      <c r="AC128" s="4">
        <f>monthly_mortgage_schedule[[#This Row],[Cumulative Principal With Extra Principal Payments]]+down_payment_dollars</f>
        <v>164043.84858916167</v>
      </c>
      <c r="AD128" s="200">
        <f t="shared" si="8"/>
        <v>0</v>
      </c>
      <c r="AE12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435956.15141083824</v>
      </c>
      <c r="AF128" s="187">
        <f t="shared" si="14"/>
        <v>456866.76860697434</v>
      </c>
      <c r="AG128" s="4">
        <f>IF(monthly_mortgage_schedule[[#This Row],[Loan Balance (BOY) Without Extra Principal Payments]]&gt;0,monthly_mortgage_schedule[[#This Row],[Loan Balance (BOY) Without Extra Principal Payments]]*monthly_interest_rate,0)</f>
        <v>2132.0449201658803</v>
      </c>
      <c r="AH128" s="4">
        <f>IF(monthly_mortgage_schedule[[#This Row],[Loan Balance (BOY) Without Extra Principal Payments]]&gt;1,monthly_principal_and_interest-monthly_mortgage_schedule[[#This Row],[Interest Without Extra Principal Payments]],0)</f>
        <v>967.9815752975278</v>
      </c>
      <c r="AI128" s="4">
        <f>AI127+monthly_mortgage_schedule[[#This Row],[Principal Without Extra Principal Payments]]</f>
        <v>84101.212968323205</v>
      </c>
      <c r="AJ128" s="4">
        <f>monthly_mortgage_schedule[[#This Row],[Cumulative Principal Without Extra Principal Payments]]+down_payment_dollars</f>
        <v>144101.21296832321</v>
      </c>
      <c r="AK128" s="200">
        <f t="shared" si="9"/>
        <v>0</v>
      </c>
      <c r="AL12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455898.78703167679</v>
      </c>
      <c r="AN128" s="196">
        <f>monthly_mortgage_schedule[[#This Row],[Extra Payments Towards Equity]]+AN127+IF(monthly_mortgage_schedule[[#This Row],[Interest With Extra Principal Payments]]&gt;0,monthly_mortgage_schedule[[#This Row],[Interest Without Extra Principal Payments]]-monthly_mortgage_schedule[[#This Row],[Interest With Extra Principal Payments]],0)</f>
        <v>19942.635620838446</v>
      </c>
      <c r="AO128" s="4">
        <f>AO127+IF(monthly_mortgage_schedule[[#This Row],[Interest With Extra Principal Payments]]&gt;0,monthly_mortgage_schedule[[#This Row],[Interest Without Extra Principal Payments]]-monthly_mortgage_schedule[[#This Row],[Interest With Extra Principal Payments]],0)</f>
        <v>3442.6356208384441</v>
      </c>
      <c r="AP128" s="4">
        <f>AP127+monthly_mortgage_schedule[[#This Row],[PMI Without Extra Principal Payments]]-monthly_mortgage_schedule[[#This Row],[PMI with Additional Payments]]</f>
        <v>990</v>
      </c>
      <c r="AQ128" s="4">
        <f t="shared" si="12"/>
        <v>21865.003729748176</v>
      </c>
      <c r="AR128" s="4">
        <f>Table60[[#This Row],[Cumulative Investments]]-monthly_mortgage_schedule[[#This Row],[Cumulative Extra Payments Towards Equity]]</f>
        <v>5365.0037297481758</v>
      </c>
    </row>
    <row r="129" spans="9:44" x14ac:dyDescent="0.25">
      <c r="I129">
        <v>112</v>
      </c>
      <c r="J129">
        <f>IF(MOD(ROWS($J$18:J128),12)=0,J128+1,J128)</f>
        <v>2031</v>
      </c>
      <c r="K129" s="198">
        <f>IF(M129="#N/A",NA(),monthly_mortgage_schedule[[#This Row],[Month]])</f>
        <v>112</v>
      </c>
      <c r="L129" s="198">
        <f>IF(monthly_mortgage_schedule[[#This Row],[Calendar Year]]&gt;=$C$7,monthly_mortgage_schedule[[#This Row],[Calendar Year]],NA())</f>
        <v>2031</v>
      </c>
      <c r="M129" s="199">
        <f>IF((monthly_mortgage_schedule[[#This Row],[Calendar Year]]&gt;=$C$7)*(monthly_mortgage_schedule[[#This Row],[Calendar Year]]&lt;=$C$9),monthly_mortgage_schedule[[#This Row],[Begin Year (Range)]],NA())</f>
        <v>2031</v>
      </c>
      <c r="N129" s="214">
        <f>IF((monthly_mortgage_schedule[[#This Row],[Year (Range)]]&gt;=$C$7)*(monthly_mortgage_schedule[[#This Row],[Year (Range)]]&lt;=$C$9),X129,NA())</f>
        <v>2034.4620399172452</v>
      </c>
      <c r="O129" s="214">
        <f>IF((monthly_mortgage_schedule[[#This Row],[Year (Range)]]&gt;=$C$7)*(monthly_mortgage_schedule[[#This Row],[Year (Range)]]&lt;=$C$9),Y129,NA())</f>
        <v>1065.5644555461629</v>
      </c>
      <c r="P129" s="214">
        <f>IF((monthly_mortgage_schedule[[#This Row],[Year (Range)]]&gt;=$C$7)*(monthly_mortgage_schedule[[#This Row],[Year (Range)]]&lt;=$C$9),AG129,NA())</f>
        <v>2127.5276728144918</v>
      </c>
      <c r="Q129" s="214">
        <f>IF((monthly_mortgage_schedule[[#This Row],[Year (Range)]]&gt;=$C$7)*(monthly_mortgage_schedule[[#This Row],[Year (Range)]]&lt;=$C$9),AH129,NA())</f>
        <v>972.4988226489163</v>
      </c>
      <c r="R129" s="214">
        <f>IF((monthly_mortgage_schedule[[#This Row],[Year (Range)]]&gt;=$C$7)*(monthly_mortgage_schedule[[#This Row],[Year (Range)]]&lt;=$C$9),AO129,NA())</f>
        <v>3535.7012537356904</v>
      </c>
      <c r="S129" s="214">
        <f>IF((monthly_mortgage_schedule[[#This Row],[Year (Range)]]&gt;=$C$7)*(monthly_mortgage_schedule[[#This Row],[Year (Range)]]&lt;=$C$9),AP129,NA())</f>
        <v>990</v>
      </c>
      <c r="T129" s="214">
        <f>IF((monthly_mortgage_schedule[[#This Row],[Year (Range)]]&gt;=$C$7)*(monthly_mortgage_schedule[[#This Row],[Year (Range)]]&lt;=$C$9),AR129,NA())</f>
        <v>5510.7704212798271</v>
      </c>
      <c r="U129" s="214">
        <f>IF((monthly_mortgage_schedule[[#This Row],[Year (Range)]]&gt;=$C$7)*(monthly_mortgage_schedule[[#This Row],[Year (Range)]]&lt;=$C$9),AB129,NA())</f>
        <v>105109.41304470784</v>
      </c>
      <c r="V129" s="214">
        <f>IF((monthly_mortgage_schedule[[#This Row],[Year (Range)]]&gt;=$C$7)*(monthly_mortgage_schedule[[#This Row],[Year (Range)]]&lt;=$C$9),AI129,NA())</f>
        <v>85073.711790972127</v>
      </c>
      <c r="W129" s="187">
        <f t="shared" si="10"/>
        <v>435956.15141083824</v>
      </c>
      <c r="X129" s="4">
        <f t="shared" si="13"/>
        <v>2034.4620399172452</v>
      </c>
      <c r="Y129" s="4">
        <f t="shared" si="11"/>
        <v>1065.5644555461629</v>
      </c>
      <c r="Z129" s="4">
        <f>_xlfn.IFNA(INDEX(additional_mortgage_payments[],MATCH(monthly_mortgage_schedule[[#This Row],[Month]],additional_mortgage_payments[Month],0),3),0)</f>
        <v>0</v>
      </c>
      <c r="AA129" s="4">
        <f>AA128+monthly_mortgage_schedule[[#This Row],[Extra Payments Towards Equity]]</f>
        <v>16500</v>
      </c>
      <c r="AB129" s="4">
        <f>AB128+monthly_mortgage_schedule[[#This Row],[Principal With Extra Principal Payments]]+monthly_mortgage_schedule[[#This Row],[Extra Payments Towards Equity]]</f>
        <v>105109.41304470784</v>
      </c>
      <c r="AC129" s="4">
        <f>monthly_mortgage_schedule[[#This Row],[Cumulative Principal With Extra Principal Payments]]+down_payment_dollars</f>
        <v>165109.41304470785</v>
      </c>
      <c r="AD129" s="200">
        <f t="shared" si="8"/>
        <v>0</v>
      </c>
      <c r="AE12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434890.58695529209</v>
      </c>
      <c r="AF129" s="187">
        <f t="shared" si="14"/>
        <v>455898.78703167679</v>
      </c>
      <c r="AG129" s="4">
        <f>IF(monthly_mortgage_schedule[[#This Row],[Loan Balance (BOY) Without Extra Principal Payments]]&gt;0,monthly_mortgage_schedule[[#This Row],[Loan Balance (BOY) Without Extra Principal Payments]]*monthly_interest_rate,0)</f>
        <v>2127.5276728144918</v>
      </c>
      <c r="AH129" s="4">
        <f>IF(monthly_mortgage_schedule[[#This Row],[Loan Balance (BOY) Without Extra Principal Payments]]&gt;1,monthly_principal_and_interest-monthly_mortgage_schedule[[#This Row],[Interest Without Extra Principal Payments]],0)</f>
        <v>972.4988226489163</v>
      </c>
      <c r="AI129" s="4">
        <f>AI128+monthly_mortgage_schedule[[#This Row],[Principal Without Extra Principal Payments]]</f>
        <v>85073.711790972127</v>
      </c>
      <c r="AJ129" s="4">
        <f>monthly_mortgage_schedule[[#This Row],[Cumulative Principal Without Extra Principal Payments]]+down_payment_dollars</f>
        <v>145073.71179097213</v>
      </c>
      <c r="AK129" s="200">
        <f t="shared" si="9"/>
        <v>0</v>
      </c>
      <c r="AL12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454926.2882090279</v>
      </c>
      <c r="AN129" s="196">
        <f>monthly_mortgage_schedule[[#This Row],[Extra Payments Towards Equity]]+AN128+IF(monthly_mortgage_schedule[[#This Row],[Interest With Extra Principal Payments]]&gt;0,monthly_mortgage_schedule[[#This Row],[Interest Without Extra Principal Payments]]-monthly_mortgage_schedule[[#This Row],[Interest With Extra Principal Payments]],0)</f>
        <v>20035.701253735693</v>
      </c>
      <c r="AO129" s="4">
        <f>AO128+IF(monthly_mortgage_schedule[[#This Row],[Interest With Extra Principal Payments]]&gt;0,monthly_mortgage_schedule[[#This Row],[Interest Without Extra Principal Payments]]-monthly_mortgage_schedule[[#This Row],[Interest With Extra Principal Payments]],0)</f>
        <v>3535.7012537356904</v>
      </c>
      <c r="AP129" s="4">
        <f>AP128+monthly_mortgage_schedule[[#This Row],[PMI Without Extra Principal Payments]]-monthly_mortgage_schedule[[#This Row],[PMI with Additional Payments]]</f>
        <v>990</v>
      </c>
      <c r="AQ129" s="4">
        <f t="shared" si="12"/>
        <v>22010.770421279827</v>
      </c>
      <c r="AR129" s="4">
        <f>Table60[[#This Row],[Cumulative Investments]]-monthly_mortgage_schedule[[#This Row],[Cumulative Extra Payments Towards Equity]]</f>
        <v>5510.7704212798271</v>
      </c>
    </row>
    <row r="130" spans="9:44" x14ac:dyDescent="0.25">
      <c r="I130">
        <v>113</v>
      </c>
      <c r="J130">
        <f>IF(MOD(ROWS($J$18:J129),12)=0,J129+1,J129)</f>
        <v>2031</v>
      </c>
      <c r="K130" s="198">
        <f>IF(M130="#N/A",NA(),monthly_mortgage_schedule[[#This Row],[Month]])</f>
        <v>113</v>
      </c>
      <c r="L130" s="198">
        <f>IF(monthly_mortgage_schedule[[#This Row],[Calendar Year]]&gt;=$C$7,monthly_mortgage_schedule[[#This Row],[Calendar Year]],NA())</f>
        <v>2031</v>
      </c>
      <c r="M130" s="199">
        <f>IF((monthly_mortgage_schedule[[#This Row],[Calendar Year]]&gt;=$C$7)*(monthly_mortgage_schedule[[#This Row],[Calendar Year]]&lt;=$C$9),monthly_mortgage_schedule[[#This Row],[Begin Year (Range)]],NA())</f>
        <v>2031</v>
      </c>
      <c r="N130" s="214">
        <f>IF((monthly_mortgage_schedule[[#This Row],[Year (Range)]]&gt;=$C$7)*(monthly_mortgage_schedule[[#This Row],[Year (Range)]]&lt;=$C$9),X130,NA())</f>
        <v>2029.4894057913632</v>
      </c>
      <c r="O130" s="214">
        <f>IF((monthly_mortgage_schedule[[#This Row],[Year (Range)]]&gt;=$C$7)*(monthly_mortgage_schedule[[#This Row],[Year (Range)]]&lt;=$C$9),Y130,NA())</f>
        <v>1070.5370896720449</v>
      </c>
      <c r="P130" s="214">
        <f>IF((monthly_mortgage_schedule[[#This Row],[Year (Range)]]&gt;=$C$7)*(monthly_mortgage_schedule[[#This Row],[Year (Range)]]&lt;=$C$9),AG130,NA())</f>
        <v>2122.9893449754636</v>
      </c>
      <c r="Q130" s="214">
        <f>IF((monthly_mortgage_schedule[[#This Row],[Year (Range)]]&gt;=$C$7)*(monthly_mortgage_schedule[[#This Row],[Year (Range)]]&lt;=$C$9),AH130,NA())</f>
        <v>977.03715048794447</v>
      </c>
      <c r="R130" s="214">
        <f>IF((monthly_mortgage_schedule[[#This Row],[Year (Range)]]&gt;=$C$7)*(monthly_mortgage_schedule[[#This Row],[Year (Range)]]&lt;=$C$9),AO130,NA())</f>
        <v>3629.2011929197906</v>
      </c>
      <c r="S130" s="214">
        <f>IF((monthly_mortgage_schedule[[#This Row],[Year (Range)]]&gt;=$C$7)*(monthly_mortgage_schedule[[#This Row],[Year (Range)]]&lt;=$C$9),AP130,NA())</f>
        <v>990</v>
      </c>
      <c r="T130" s="214">
        <f>IF((monthly_mortgage_schedule[[#This Row],[Year (Range)]]&gt;=$C$7)*(monthly_mortgage_schedule[[#This Row],[Year (Range)]]&lt;=$C$9),AR130,NA())</f>
        <v>5657.5088907550235</v>
      </c>
      <c r="U130" s="214">
        <f>IF((monthly_mortgage_schedule[[#This Row],[Year (Range)]]&gt;=$C$7)*(monthly_mortgage_schedule[[#This Row],[Year (Range)]]&lt;=$C$9),AB130,NA())</f>
        <v>106179.95013437988</v>
      </c>
      <c r="V130" s="214">
        <f>IF((monthly_mortgage_schedule[[#This Row],[Year (Range)]]&gt;=$C$7)*(monthly_mortgage_schedule[[#This Row],[Year (Range)]]&lt;=$C$9),AI130,NA())</f>
        <v>86050.748941460071</v>
      </c>
      <c r="W130" s="187">
        <f t="shared" si="10"/>
        <v>434890.58695529209</v>
      </c>
      <c r="X130" s="4">
        <f t="shared" si="13"/>
        <v>2029.4894057913632</v>
      </c>
      <c r="Y130" s="4">
        <f t="shared" si="11"/>
        <v>1070.5370896720449</v>
      </c>
      <c r="Z130" s="4">
        <f>_xlfn.IFNA(INDEX(additional_mortgage_payments[],MATCH(monthly_mortgage_schedule[[#This Row],[Month]],additional_mortgage_payments[Month],0),3),0)</f>
        <v>0</v>
      </c>
      <c r="AA130" s="4">
        <f>AA129+monthly_mortgage_schedule[[#This Row],[Extra Payments Towards Equity]]</f>
        <v>16500</v>
      </c>
      <c r="AB130" s="4">
        <f>AB129+monthly_mortgage_schedule[[#This Row],[Principal With Extra Principal Payments]]+monthly_mortgage_schedule[[#This Row],[Extra Payments Towards Equity]]</f>
        <v>106179.95013437988</v>
      </c>
      <c r="AC130" s="4">
        <f>monthly_mortgage_schedule[[#This Row],[Cumulative Principal With Extra Principal Payments]]+down_payment_dollars</f>
        <v>166179.95013437988</v>
      </c>
      <c r="AD130" s="200">
        <f t="shared" si="8"/>
        <v>0</v>
      </c>
      <c r="AE13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433820.04986562004</v>
      </c>
      <c r="AF130" s="187">
        <f t="shared" si="14"/>
        <v>454926.2882090279</v>
      </c>
      <c r="AG130" s="4">
        <f>IF(monthly_mortgage_schedule[[#This Row],[Loan Balance (BOY) Without Extra Principal Payments]]&gt;0,monthly_mortgage_schedule[[#This Row],[Loan Balance (BOY) Without Extra Principal Payments]]*monthly_interest_rate,0)</f>
        <v>2122.9893449754636</v>
      </c>
      <c r="AH130" s="4">
        <f>IF(monthly_mortgage_schedule[[#This Row],[Loan Balance (BOY) Without Extra Principal Payments]]&gt;1,monthly_principal_and_interest-monthly_mortgage_schedule[[#This Row],[Interest Without Extra Principal Payments]],0)</f>
        <v>977.03715048794447</v>
      </c>
      <c r="AI130" s="4">
        <f>AI129+monthly_mortgage_schedule[[#This Row],[Principal Without Extra Principal Payments]]</f>
        <v>86050.748941460071</v>
      </c>
      <c r="AJ130" s="4">
        <f>monthly_mortgage_schedule[[#This Row],[Cumulative Principal Without Extra Principal Payments]]+down_payment_dollars</f>
        <v>146050.74894146007</v>
      </c>
      <c r="AK130" s="200">
        <f t="shared" si="9"/>
        <v>0</v>
      </c>
      <c r="AL13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453949.25105853996</v>
      </c>
      <c r="AN130" s="196">
        <f>monthly_mortgage_schedule[[#This Row],[Extra Payments Towards Equity]]+AN129+IF(monthly_mortgage_schedule[[#This Row],[Interest With Extra Principal Payments]]&gt;0,monthly_mortgage_schedule[[#This Row],[Interest Without Extra Principal Payments]]-monthly_mortgage_schedule[[#This Row],[Interest With Extra Principal Payments]],0)</f>
        <v>20129.201192919794</v>
      </c>
      <c r="AO130" s="4">
        <f>AO129+IF(monthly_mortgage_schedule[[#This Row],[Interest With Extra Principal Payments]]&gt;0,monthly_mortgage_schedule[[#This Row],[Interest Without Extra Principal Payments]]-monthly_mortgage_schedule[[#This Row],[Interest With Extra Principal Payments]],0)</f>
        <v>3629.2011929197906</v>
      </c>
      <c r="AP130" s="4">
        <f>AP129+monthly_mortgage_schedule[[#This Row],[PMI Without Extra Principal Payments]]-monthly_mortgage_schedule[[#This Row],[PMI with Additional Payments]]</f>
        <v>990</v>
      </c>
      <c r="AQ130" s="4">
        <f t="shared" si="12"/>
        <v>22157.508890755023</v>
      </c>
      <c r="AR130" s="4">
        <f>Table60[[#This Row],[Cumulative Investments]]-monthly_mortgage_schedule[[#This Row],[Cumulative Extra Payments Towards Equity]]</f>
        <v>5657.5088907550235</v>
      </c>
    </row>
    <row r="131" spans="9:44" x14ac:dyDescent="0.25">
      <c r="I131">
        <v>114</v>
      </c>
      <c r="J131">
        <f>IF(MOD(ROWS($J$18:J130),12)=0,J130+1,J130)</f>
        <v>2031</v>
      </c>
      <c r="K131" s="198">
        <f>IF(M131="#N/A",NA(),monthly_mortgage_schedule[[#This Row],[Month]])</f>
        <v>114</v>
      </c>
      <c r="L131" s="198">
        <f>IF(monthly_mortgage_schedule[[#This Row],[Calendar Year]]&gt;=$C$7,monthly_mortgage_schedule[[#This Row],[Calendar Year]],NA())</f>
        <v>2031</v>
      </c>
      <c r="M131" s="199">
        <f>IF((monthly_mortgage_schedule[[#This Row],[Calendar Year]]&gt;=$C$7)*(monthly_mortgage_schedule[[#This Row],[Calendar Year]]&lt;=$C$9),monthly_mortgage_schedule[[#This Row],[Begin Year (Range)]],NA())</f>
        <v>2031</v>
      </c>
      <c r="N131" s="214">
        <f>IF((monthly_mortgage_schedule[[#This Row],[Year (Range)]]&gt;=$C$7)*(monthly_mortgage_schedule[[#This Row],[Year (Range)]]&lt;=$C$9),X131,NA())</f>
        <v>2024.4935660395604</v>
      </c>
      <c r="O131" s="214">
        <f>IF((monthly_mortgage_schedule[[#This Row],[Year (Range)]]&gt;=$C$7)*(monthly_mortgage_schedule[[#This Row],[Year (Range)]]&lt;=$C$9),Y131,NA())</f>
        <v>1075.5329294238477</v>
      </c>
      <c r="P131" s="214">
        <f>IF((monthly_mortgage_schedule[[#This Row],[Year (Range)]]&gt;=$C$7)*(monthly_mortgage_schedule[[#This Row],[Year (Range)]]&lt;=$C$9),AG131,NA())</f>
        <v>2118.4298382731868</v>
      </c>
      <c r="Q131" s="214">
        <f>IF((monthly_mortgage_schedule[[#This Row],[Year (Range)]]&gt;=$C$7)*(monthly_mortgage_schedule[[#This Row],[Year (Range)]]&lt;=$C$9),AH131,NA())</f>
        <v>981.59665719022132</v>
      </c>
      <c r="R131" s="214">
        <f>IF((monthly_mortgage_schedule[[#This Row],[Year (Range)]]&gt;=$C$7)*(monthly_mortgage_schedule[[#This Row],[Year (Range)]]&lt;=$C$9),AO131,NA())</f>
        <v>3723.137465153417</v>
      </c>
      <c r="S131" s="214">
        <f>IF((monthly_mortgage_schedule[[#This Row],[Year (Range)]]&gt;=$C$7)*(monthly_mortgage_schedule[[#This Row],[Year (Range)]]&lt;=$C$9),AP131,NA())</f>
        <v>990</v>
      </c>
      <c r="T131" s="214">
        <f>IF((monthly_mortgage_schedule[[#This Row],[Year (Range)]]&gt;=$C$7)*(monthly_mortgage_schedule[[#This Row],[Year (Range)]]&lt;=$C$9),AR131,NA())</f>
        <v>5805.2256166933876</v>
      </c>
      <c r="U131" s="214">
        <f>IF((monthly_mortgage_schedule[[#This Row],[Year (Range)]]&gt;=$C$7)*(monthly_mortgage_schedule[[#This Row],[Year (Range)]]&lt;=$C$9),AB131,NA())</f>
        <v>107255.48306380372</v>
      </c>
      <c r="V131" s="214">
        <f>IF((monthly_mortgage_schedule[[#This Row],[Year (Range)]]&gt;=$C$7)*(monthly_mortgage_schedule[[#This Row],[Year (Range)]]&lt;=$C$9),AI131,NA())</f>
        <v>87032.345598650296</v>
      </c>
      <c r="W131" s="187">
        <f t="shared" si="10"/>
        <v>433820.04986562004</v>
      </c>
      <c r="X131" s="4">
        <f t="shared" si="13"/>
        <v>2024.4935660395604</v>
      </c>
      <c r="Y131" s="4">
        <f t="shared" si="11"/>
        <v>1075.5329294238477</v>
      </c>
      <c r="Z131" s="4">
        <f>_xlfn.IFNA(INDEX(additional_mortgage_payments[],MATCH(monthly_mortgage_schedule[[#This Row],[Month]],additional_mortgage_payments[Month],0),3),0)</f>
        <v>0</v>
      </c>
      <c r="AA131" s="4">
        <f>AA130+monthly_mortgage_schedule[[#This Row],[Extra Payments Towards Equity]]</f>
        <v>16500</v>
      </c>
      <c r="AB131" s="4">
        <f>AB130+monthly_mortgage_schedule[[#This Row],[Principal With Extra Principal Payments]]+monthly_mortgage_schedule[[#This Row],[Extra Payments Towards Equity]]</f>
        <v>107255.48306380372</v>
      </c>
      <c r="AC131" s="4">
        <f>monthly_mortgage_schedule[[#This Row],[Cumulative Principal With Extra Principal Payments]]+down_payment_dollars</f>
        <v>167255.48306380372</v>
      </c>
      <c r="AD131" s="200">
        <f t="shared" si="8"/>
        <v>0</v>
      </c>
      <c r="AE13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432744.51693619619</v>
      </c>
      <c r="AF131" s="187">
        <f t="shared" si="14"/>
        <v>453949.25105853996</v>
      </c>
      <c r="AG131" s="4">
        <f>IF(monthly_mortgage_schedule[[#This Row],[Loan Balance (BOY) Without Extra Principal Payments]]&gt;0,monthly_mortgage_schedule[[#This Row],[Loan Balance (BOY) Without Extra Principal Payments]]*monthly_interest_rate,0)</f>
        <v>2118.4298382731868</v>
      </c>
      <c r="AH131" s="4">
        <f>IF(monthly_mortgage_schedule[[#This Row],[Loan Balance (BOY) Without Extra Principal Payments]]&gt;1,monthly_principal_and_interest-monthly_mortgage_schedule[[#This Row],[Interest Without Extra Principal Payments]],0)</f>
        <v>981.59665719022132</v>
      </c>
      <c r="AI131" s="4">
        <f>AI130+monthly_mortgage_schedule[[#This Row],[Principal Without Extra Principal Payments]]</f>
        <v>87032.345598650296</v>
      </c>
      <c r="AJ131" s="4">
        <f>monthly_mortgage_schedule[[#This Row],[Cumulative Principal Without Extra Principal Payments]]+down_payment_dollars</f>
        <v>147032.34559865028</v>
      </c>
      <c r="AK131" s="200">
        <f t="shared" si="9"/>
        <v>0</v>
      </c>
      <c r="AL13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452967.65440134972</v>
      </c>
      <c r="AN131" s="196">
        <f>monthly_mortgage_schedule[[#This Row],[Extra Payments Towards Equity]]+AN130+IF(monthly_mortgage_schedule[[#This Row],[Interest With Extra Principal Payments]]&gt;0,monthly_mortgage_schedule[[#This Row],[Interest Without Extra Principal Payments]]-monthly_mortgage_schedule[[#This Row],[Interest With Extra Principal Payments]],0)</f>
        <v>20223.137465153421</v>
      </c>
      <c r="AO131" s="4">
        <f>AO130+IF(monthly_mortgage_schedule[[#This Row],[Interest With Extra Principal Payments]]&gt;0,monthly_mortgage_schedule[[#This Row],[Interest Without Extra Principal Payments]]-monthly_mortgage_schedule[[#This Row],[Interest With Extra Principal Payments]],0)</f>
        <v>3723.137465153417</v>
      </c>
      <c r="AP131" s="4">
        <f>AP130+monthly_mortgage_schedule[[#This Row],[PMI Without Extra Principal Payments]]-monthly_mortgage_schedule[[#This Row],[PMI with Additional Payments]]</f>
        <v>990</v>
      </c>
      <c r="AQ131" s="4">
        <f t="shared" si="12"/>
        <v>22305.225616693388</v>
      </c>
      <c r="AR131" s="4">
        <f>Table60[[#This Row],[Cumulative Investments]]-monthly_mortgage_schedule[[#This Row],[Cumulative Extra Payments Towards Equity]]</f>
        <v>5805.2256166933876</v>
      </c>
    </row>
    <row r="132" spans="9:44" x14ac:dyDescent="0.25">
      <c r="I132">
        <v>115</v>
      </c>
      <c r="J132">
        <f>IF(MOD(ROWS($J$18:J131),12)=0,J131+1,J131)</f>
        <v>2031</v>
      </c>
      <c r="K132" s="198">
        <f>IF(M132="#N/A",NA(),monthly_mortgage_schedule[[#This Row],[Month]])</f>
        <v>115</v>
      </c>
      <c r="L132" s="198">
        <f>IF(monthly_mortgage_schedule[[#This Row],[Calendar Year]]&gt;=$C$7,monthly_mortgage_schedule[[#This Row],[Calendar Year]],NA())</f>
        <v>2031</v>
      </c>
      <c r="M132" s="199">
        <f>IF((monthly_mortgage_schedule[[#This Row],[Calendar Year]]&gt;=$C$7)*(monthly_mortgage_schedule[[#This Row],[Calendar Year]]&lt;=$C$9),monthly_mortgage_schedule[[#This Row],[Begin Year (Range)]],NA())</f>
        <v>2031</v>
      </c>
      <c r="N132" s="214">
        <f>IF((monthly_mortgage_schedule[[#This Row],[Year (Range)]]&gt;=$C$7)*(monthly_mortgage_schedule[[#This Row],[Year (Range)]]&lt;=$C$9),X132,NA())</f>
        <v>2019.4744123689156</v>
      </c>
      <c r="O132" s="214">
        <f>IF((monthly_mortgage_schedule[[#This Row],[Year (Range)]]&gt;=$C$7)*(monthly_mortgage_schedule[[#This Row],[Year (Range)]]&lt;=$C$9),Y132,NA())</f>
        <v>1080.5520830944924</v>
      </c>
      <c r="P132" s="214">
        <f>IF((monthly_mortgage_schedule[[#This Row],[Year (Range)]]&gt;=$C$7)*(monthly_mortgage_schedule[[#This Row],[Year (Range)]]&lt;=$C$9),AG132,NA())</f>
        <v>2113.8490538729657</v>
      </c>
      <c r="Q132" s="214">
        <f>IF((monthly_mortgage_schedule[[#This Row],[Year (Range)]]&gt;=$C$7)*(monthly_mortgage_schedule[[#This Row],[Year (Range)]]&lt;=$C$9),AH132,NA())</f>
        <v>986.17744159044241</v>
      </c>
      <c r="R132" s="214">
        <f>IF((monthly_mortgage_schedule[[#This Row],[Year (Range)]]&gt;=$C$7)*(monthly_mortgage_schedule[[#This Row],[Year (Range)]]&lt;=$C$9),AO132,NA())</f>
        <v>3817.512106657467</v>
      </c>
      <c r="S132" s="214">
        <f>IF((monthly_mortgage_schedule[[#This Row],[Year (Range)]]&gt;=$C$7)*(monthly_mortgage_schedule[[#This Row],[Year (Range)]]&lt;=$C$9),AP132,NA())</f>
        <v>990</v>
      </c>
      <c r="T132" s="214">
        <f>IF((monthly_mortgage_schedule[[#This Row],[Year (Range)]]&gt;=$C$7)*(monthly_mortgage_schedule[[#This Row],[Year (Range)]]&lt;=$C$9),AR132,NA())</f>
        <v>5953.9271208046739</v>
      </c>
      <c r="U132" s="214">
        <f>IF((monthly_mortgage_schedule[[#This Row],[Year (Range)]]&gt;=$C$7)*(monthly_mortgage_schedule[[#This Row],[Year (Range)]]&lt;=$C$9),AB132,NA())</f>
        <v>108336.03514689821</v>
      </c>
      <c r="V132" s="214">
        <f>IF((monthly_mortgage_schedule[[#This Row],[Year (Range)]]&gt;=$C$7)*(monthly_mortgage_schedule[[#This Row],[Year (Range)]]&lt;=$C$9),AI132,NA())</f>
        <v>88018.523040240732</v>
      </c>
      <c r="W132" s="187">
        <f t="shared" si="10"/>
        <v>432744.51693619619</v>
      </c>
      <c r="X132" s="4">
        <f t="shared" si="13"/>
        <v>2019.4744123689156</v>
      </c>
      <c r="Y132" s="4">
        <f t="shared" si="11"/>
        <v>1080.5520830944924</v>
      </c>
      <c r="Z132" s="4">
        <f>_xlfn.IFNA(INDEX(additional_mortgage_payments[],MATCH(monthly_mortgage_schedule[[#This Row],[Month]],additional_mortgage_payments[Month],0),3),0)</f>
        <v>0</v>
      </c>
      <c r="AA132" s="4">
        <f>AA131+monthly_mortgage_schedule[[#This Row],[Extra Payments Towards Equity]]</f>
        <v>16500</v>
      </c>
      <c r="AB132" s="4">
        <f>AB131+monthly_mortgage_schedule[[#This Row],[Principal With Extra Principal Payments]]+monthly_mortgage_schedule[[#This Row],[Extra Payments Towards Equity]]</f>
        <v>108336.03514689821</v>
      </c>
      <c r="AC132" s="4">
        <f>monthly_mortgage_schedule[[#This Row],[Cumulative Principal With Extra Principal Payments]]+down_payment_dollars</f>
        <v>168336.03514689821</v>
      </c>
      <c r="AD132" s="200">
        <f t="shared" si="8"/>
        <v>0</v>
      </c>
      <c r="AE13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431663.9648531017</v>
      </c>
      <c r="AF132" s="187">
        <f t="shared" si="14"/>
        <v>452967.65440134972</v>
      </c>
      <c r="AG132" s="4">
        <f>IF(monthly_mortgage_schedule[[#This Row],[Loan Balance (BOY) Without Extra Principal Payments]]&gt;0,monthly_mortgage_schedule[[#This Row],[Loan Balance (BOY) Without Extra Principal Payments]]*monthly_interest_rate,0)</f>
        <v>2113.8490538729657</v>
      </c>
      <c r="AH132" s="4">
        <f>IF(monthly_mortgage_schedule[[#This Row],[Loan Balance (BOY) Without Extra Principal Payments]]&gt;1,monthly_principal_and_interest-monthly_mortgage_schedule[[#This Row],[Interest Without Extra Principal Payments]],0)</f>
        <v>986.17744159044241</v>
      </c>
      <c r="AI132" s="4">
        <f>AI131+monthly_mortgage_schedule[[#This Row],[Principal Without Extra Principal Payments]]</f>
        <v>88018.523040240732</v>
      </c>
      <c r="AJ132" s="4">
        <f>monthly_mortgage_schedule[[#This Row],[Cumulative Principal Without Extra Principal Payments]]+down_payment_dollars</f>
        <v>148018.52304024075</v>
      </c>
      <c r="AK132" s="200">
        <f t="shared" si="9"/>
        <v>0</v>
      </c>
      <c r="AL13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451981.47695975925</v>
      </c>
      <c r="AN132" s="196">
        <f>monthly_mortgage_schedule[[#This Row],[Extra Payments Towards Equity]]+AN131+IF(monthly_mortgage_schedule[[#This Row],[Interest With Extra Principal Payments]]&gt;0,monthly_mortgage_schedule[[#This Row],[Interest Without Extra Principal Payments]]-monthly_mortgage_schedule[[#This Row],[Interest With Extra Principal Payments]],0)</f>
        <v>20317.512106657472</v>
      </c>
      <c r="AO132" s="4">
        <f>AO131+IF(monthly_mortgage_schedule[[#This Row],[Interest With Extra Principal Payments]]&gt;0,monthly_mortgage_schedule[[#This Row],[Interest Without Extra Principal Payments]]-monthly_mortgage_schedule[[#This Row],[Interest With Extra Principal Payments]],0)</f>
        <v>3817.512106657467</v>
      </c>
      <c r="AP132" s="4">
        <f>AP131+monthly_mortgage_schedule[[#This Row],[PMI Without Extra Principal Payments]]-monthly_mortgage_schedule[[#This Row],[PMI with Additional Payments]]</f>
        <v>990</v>
      </c>
      <c r="AQ132" s="4">
        <f t="shared" si="12"/>
        <v>22453.927120804674</v>
      </c>
      <c r="AR132" s="4">
        <f>Table60[[#This Row],[Cumulative Investments]]-monthly_mortgage_schedule[[#This Row],[Cumulative Extra Payments Towards Equity]]</f>
        <v>5953.9271208046739</v>
      </c>
    </row>
    <row r="133" spans="9:44" x14ac:dyDescent="0.25">
      <c r="I133">
        <v>116</v>
      </c>
      <c r="J133">
        <f>IF(MOD(ROWS($J$18:J132),12)=0,J132+1,J132)</f>
        <v>2031</v>
      </c>
      <c r="K133" s="198">
        <f>IF(M133="#N/A",NA(),monthly_mortgage_schedule[[#This Row],[Month]])</f>
        <v>116</v>
      </c>
      <c r="L133" s="198">
        <f>IF(monthly_mortgage_schedule[[#This Row],[Calendar Year]]&gt;=$C$7,monthly_mortgage_schedule[[#This Row],[Calendar Year]],NA())</f>
        <v>2031</v>
      </c>
      <c r="M133" s="199">
        <f>IF((monthly_mortgage_schedule[[#This Row],[Calendar Year]]&gt;=$C$7)*(monthly_mortgage_schedule[[#This Row],[Calendar Year]]&lt;=$C$9),monthly_mortgage_schedule[[#This Row],[Begin Year (Range)]],NA())</f>
        <v>2031</v>
      </c>
      <c r="N133" s="214">
        <f>IF((monthly_mortgage_schedule[[#This Row],[Year (Range)]]&gt;=$C$7)*(monthly_mortgage_schedule[[#This Row],[Year (Range)]]&lt;=$C$9),X133,NA())</f>
        <v>2014.4318359811414</v>
      </c>
      <c r="O133" s="214">
        <f>IF((monthly_mortgage_schedule[[#This Row],[Year (Range)]]&gt;=$C$7)*(monthly_mortgage_schedule[[#This Row],[Year (Range)]]&lt;=$C$9),Y133,NA())</f>
        <v>1085.5946594822667</v>
      </c>
      <c r="P133" s="214">
        <f>IF((monthly_mortgage_schedule[[#This Row],[Year (Range)]]&gt;=$C$7)*(monthly_mortgage_schedule[[#This Row],[Year (Range)]]&lt;=$C$9),AG133,NA())</f>
        <v>2109.2468924788768</v>
      </c>
      <c r="Q133" s="214">
        <f>IF((monthly_mortgage_schedule[[#This Row],[Year (Range)]]&gt;=$C$7)*(monthly_mortgage_schedule[[#This Row],[Year (Range)]]&lt;=$C$9),AH133,NA())</f>
        <v>990.77960298453127</v>
      </c>
      <c r="R133" s="214">
        <f>IF((monthly_mortgage_schedule[[#This Row],[Year (Range)]]&gt;=$C$7)*(monthly_mortgage_schedule[[#This Row],[Year (Range)]]&lt;=$C$9),AO133,NA())</f>
        <v>3912.3271631552025</v>
      </c>
      <c r="S133" s="214">
        <f>IF((monthly_mortgage_schedule[[#This Row],[Year (Range)]]&gt;=$C$7)*(monthly_mortgage_schedule[[#This Row],[Year (Range)]]&lt;=$C$9),AP133,NA())</f>
        <v>990</v>
      </c>
      <c r="T133" s="214">
        <f>IF((monthly_mortgage_schedule[[#This Row],[Year (Range)]]&gt;=$C$7)*(monthly_mortgage_schedule[[#This Row],[Year (Range)]]&lt;=$C$9),AR133,NA())</f>
        <v>6103.6199682767037</v>
      </c>
      <c r="U133" s="214">
        <f>IF((monthly_mortgage_schedule[[#This Row],[Year (Range)]]&gt;=$C$7)*(monthly_mortgage_schedule[[#This Row],[Year (Range)]]&lt;=$C$9),AB133,NA())</f>
        <v>109421.62980638047</v>
      </c>
      <c r="V133" s="214">
        <f>IF((monthly_mortgage_schedule[[#This Row],[Year (Range)]]&gt;=$C$7)*(monthly_mortgage_schedule[[#This Row],[Year (Range)]]&lt;=$C$9),AI133,NA())</f>
        <v>89009.302643225266</v>
      </c>
      <c r="W133" s="187">
        <f t="shared" si="10"/>
        <v>431663.9648531017</v>
      </c>
      <c r="X133" s="4">
        <f t="shared" si="13"/>
        <v>2014.4318359811414</v>
      </c>
      <c r="Y133" s="4">
        <f t="shared" si="11"/>
        <v>1085.5946594822667</v>
      </c>
      <c r="Z133" s="4">
        <f>_xlfn.IFNA(INDEX(additional_mortgage_payments[],MATCH(monthly_mortgage_schedule[[#This Row],[Month]],additional_mortgage_payments[Month],0),3),0)</f>
        <v>0</v>
      </c>
      <c r="AA133" s="4">
        <f>AA132+monthly_mortgage_schedule[[#This Row],[Extra Payments Towards Equity]]</f>
        <v>16500</v>
      </c>
      <c r="AB133" s="4">
        <f>AB132+monthly_mortgage_schedule[[#This Row],[Principal With Extra Principal Payments]]+monthly_mortgage_schedule[[#This Row],[Extra Payments Towards Equity]]</f>
        <v>109421.62980638047</v>
      </c>
      <c r="AC133" s="4">
        <f>monthly_mortgage_schedule[[#This Row],[Cumulative Principal With Extra Principal Payments]]+down_payment_dollars</f>
        <v>169421.62980638049</v>
      </c>
      <c r="AD133" s="200">
        <f t="shared" si="8"/>
        <v>0</v>
      </c>
      <c r="AE13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430578.37019361946</v>
      </c>
      <c r="AF133" s="187">
        <f t="shared" si="14"/>
        <v>451981.47695975925</v>
      </c>
      <c r="AG133" s="4">
        <f>IF(monthly_mortgage_schedule[[#This Row],[Loan Balance (BOY) Without Extra Principal Payments]]&gt;0,monthly_mortgage_schedule[[#This Row],[Loan Balance (BOY) Without Extra Principal Payments]]*monthly_interest_rate,0)</f>
        <v>2109.2468924788768</v>
      </c>
      <c r="AH133" s="4">
        <f>IF(monthly_mortgage_schedule[[#This Row],[Loan Balance (BOY) Without Extra Principal Payments]]&gt;1,monthly_principal_and_interest-monthly_mortgage_schedule[[#This Row],[Interest Without Extra Principal Payments]],0)</f>
        <v>990.77960298453127</v>
      </c>
      <c r="AI133" s="4">
        <f>AI132+monthly_mortgage_schedule[[#This Row],[Principal Without Extra Principal Payments]]</f>
        <v>89009.302643225266</v>
      </c>
      <c r="AJ133" s="4">
        <f>monthly_mortgage_schedule[[#This Row],[Cumulative Principal Without Extra Principal Payments]]+down_payment_dollars</f>
        <v>149009.30264322527</v>
      </c>
      <c r="AK133" s="200">
        <f t="shared" si="9"/>
        <v>0</v>
      </c>
      <c r="AL13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450990.6973567747</v>
      </c>
      <c r="AN133" s="196">
        <f>monthly_mortgage_schedule[[#This Row],[Extra Payments Towards Equity]]+AN132+IF(monthly_mortgage_schedule[[#This Row],[Interest With Extra Principal Payments]]&gt;0,monthly_mortgage_schedule[[#This Row],[Interest Without Extra Principal Payments]]-monthly_mortgage_schedule[[#This Row],[Interest With Extra Principal Payments]],0)</f>
        <v>20412.327163155209</v>
      </c>
      <c r="AO133" s="4">
        <f>AO132+IF(monthly_mortgage_schedule[[#This Row],[Interest With Extra Principal Payments]]&gt;0,monthly_mortgage_schedule[[#This Row],[Interest Without Extra Principal Payments]]-monthly_mortgage_schedule[[#This Row],[Interest With Extra Principal Payments]],0)</f>
        <v>3912.3271631552025</v>
      </c>
      <c r="AP133" s="4">
        <f>AP132+monthly_mortgage_schedule[[#This Row],[PMI Without Extra Principal Payments]]-monthly_mortgage_schedule[[#This Row],[PMI with Additional Payments]]</f>
        <v>990</v>
      </c>
      <c r="AQ133" s="4">
        <f t="shared" si="12"/>
        <v>22603.619968276704</v>
      </c>
      <c r="AR133" s="4">
        <f>Table60[[#This Row],[Cumulative Investments]]-monthly_mortgage_schedule[[#This Row],[Cumulative Extra Payments Towards Equity]]</f>
        <v>6103.6199682767037</v>
      </c>
    </row>
    <row r="134" spans="9:44" x14ac:dyDescent="0.25">
      <c r="I134">
        <v>117</v>
      </c>
      <c r="J134">
        <f>IF(MOD(ROWS($J$18:J133),12)=0,J133+1,J133)</f>
        <v>2031</v>
      </c>
      <c r="K134" s="198">
        <f>IF(M134="#N/A",NA(),monthly_mortgage_schedule[[#This Row],[Month]])</f>
        <v>117</v>
      </c>
      <c r="L134" s="198">
        <f>IF(monthly_mortgage_schedule[[#This Row],[Calendar Year]]&gt;=$C$7,monthly_mortgage_schedule[[#This Row],[Calendar Year]],NA())</f>
        <v>2031</v>
      </c>
      <c r="M134" s="199">
        <f>IF((monthly_mortgage_schedule[[#This Row],[Calendar Year]]&gt;=$C$7)*(monthly_mortgage_schedule[[#This Row],[Calendar Year]]&lt;=$C$9),monthly_mortgage_schedule[[#This Row],[Begin Year (Range)]],NA())</f>
        <v>2031</v>
      </c>
      <c r="N134" s="214">
        <f>IF((monthly_mortgage_schedule[[#This Row],[Year (Range)]]&gt;=$C$7)*(monthly_mortgage_schedule[[#This Row],[Year (Range)]]&lt;=$C$9),X134,NA())</f>
        <v>2009.3657275702242</v>
      </c>
      <c r="O134" s="214">
        <f>IF((monthly_mortgage_schedule[[#This Row],[Year (Range)]]&gt;=$C$7)*(monthly_mortgage_schedule[[#This Row],[Year (Range)]]&lt;=$C$9),Y134,NA())</f>
        <v>1090.6607678931839</v>
      </c>
      <c r="P134" s="214">
        <f>IF((monthly_mortgage_schedule[[#This Row],[Year (Range)]]&gt;=$C$7)*(monthly_mortgage_schedule[[#This Row],[Year (Range)]]&lt;=$C$9),AG134,NA())</f>
        <v>2104.6232543316155</v>
      </c>
      <c r="Q134" s="214">
        <f>IF((monthly_mortgage_schedule[[#This Row],[Year (Range)]]&gt;=$C$7)*(monthly_mortgage_schedule[[#This Row],[Year (Range)]]&lt;=$C$9),AH134,NA())</f>
        <v>995.40324113179258</v>
      </c>
      <c r="R134" s="214">
        <f>IF((monthly_mortgage_schedule[[#This Row],[Year (Range)]]&gt;=$C$7)*(monthly_mortgage_schedule[[#This Row],[Year (Range)]]&lt;=$C$9),AO134,NA())</f>
        <v>4007.5846899165936</v>
      </c>
      <c r="S134" s="214">
        <f>IF((monthly_mortgage_schedule[[#This Row],[Year (Range)]]&gt;=$C$7)*(monthly_mortgage_schedule[[#This Row],[Year (Range)]]&lt;=$C$9),AP134,NA())</f>
        <v>990</v>
      </c>
      <c r="T134" s="214">
        <f>IF((monthly_mortgage_schedule[[#This Row],[Year (Range)]]&gt;=$C$7)*(monthly_mortgage_schedule[[#This Row],[Year (Range)]]&lt;=$C$9),AR134,NA())</f>
        <v>6254.3107680652138</v>
      </c>
      <c r="U134" s="214">
        <f>IF((monthly_mortgage_schedule[[#This Row],[Year (Range)]]&gt;=$C$7)*(monthly_mortgage_schedule[[#This Row],[Year (Range)]]&lt;=$C$9),AB134,NA())</f>
        <v>110512.29057427366</v>
      </c>
      <c r="V134" s="214">
        <f>IF((monthly_mortgage_schedule[[#This Row],[Year (Range)]]&gt;=$C$7)*(monthly_mortgage_schedule[[#This Row],[Year (Range)]]&lt;=$C$9),AI134,NA())</f>
        <v>90004.705884357056</v>
      </c>
      <c r="W134" s="187">
        <f t="shared" si="10"/>
        <v>430578.37019361946</v>
      </c>
      <c r="X134" s="4">
        <f t="shared" si="13"/>
        <v>2009.3657275702242</v>
      </c>
      <c r="Y134" s="4">
        <f t="shared" si="11"/>
        <v>1090.6607678931839</v>
      </c>
      <c r="Z134" s="4">
        <f>_xlfn.IFNA(INDEX(additional_mortgage_payments[],MATCH(monthly_mortgage_schedule[[#This Row],[Month]],additional_mortgage_payments[Month],0),3),0)</f>
        <v>0</v>
      </c>
      <c r="AA134" s="4">
        <f>AA133+monthly_mortgage_schedule[[#This Row],[Extra Payments Towards Equity]]</f>
        <v>16500</v>
      </c>
      <c r="AB134" s="4">
        <f>AB133+monthly_mortgage_schedule[[#This Row],[Principal With Extra Principal Payments]]+monthly_mortgage_schedule[[#This Row],[Extra Payments Towards Equity]]</f>
        <v>110512.29057427366</v>
      </c>
      <c r="AC134" s="4">
        <f>monthly_mortgage_schedule[[#This Row],[Cumulative Principal With Extra Principal Payments]]+down_payment_dollars</f>
        <v>170512.29057427368</v>
      </c>
      <c r="AD134" s="200">
        <f t="shared" si="8"/>
        <v>0</v>
      </c>
      <c r="AE13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429487.70942572627</v>
      </c>
      <c r="AF134" s="187">
        <f t="shared" si="14"/>
        <v>450990.6973567747</v>
      </c>
      <c r="AG134" s="4">
        <f>IF(monthly_mortgage_schedule[[#This Row],[Loan Balance (BOY) Without Extra Principal Payments]]&gt;0,monthly_mortgage_schedule[[#This Row],[Loan Balance (BOY) Without Extra Principal Payments]]*monthly_interest_rate,0)</f>
        <v>2104.6232543316155</v>
      </c>
      <c r="AH134" s="4">
        <f>IF(monthly_mortgage_schedule[[#This Row],[Loan Balance (BOY) Without Extra Principal Payments]]&gt;1,monthly_principal_and_interest-monthly_mortgage_schedule[[#This Row],[Interest Without Extra Principal Payments]],0)</f>
        <v>995.40324113179258</v>
      </c>
      <c r="AI134" s="4">
        <f>AI133+monthly_mortgage_schedule[[#This Row],[Principal Without Extra Principal Payments]]</f>
        <v>90004.705884357056</v>
      </c>
      <c r="AJ134" s="4">
        <f>monthly_mortgage_schedule[[#This Row],[Cumulative Principal Without Extra Principal Payments]]+down_payment_dollars</f>
        <v>150004.70588435704</v>
      </c>
      <c r="AK134" s="200">
        <f t="shared" si="9"/>
        <v>0</v>
      </c>
      <c r="AL13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449995.2941156429</v>
      </c>
      <c r="AN134" s="196">
        <f>monthly_mortgage_schedule[[#This Row],[Extra Payments Towards Equity]]+AN133+IF(monthly_mortgage_schedule[[#This Row],[Interest With Extra Principal Payments]]&gt;0,monthly_mortgage_schedule[[#This Row],[Interest Without Extra Principal Payments]]-monthly_mortgage_schedule[[#This Row],[Interest With Extra Principal Payments]],0)</f>
        <v>20507.584689916599</v>
      </c>
      <c r="AO134" s="4">
        <f>AO133+IF(monthly_mortgage_schedule[[#This Row],[Interest With Extra Principal Payments]]&gt;0,monthly_mortgage_schedule[[#This Row],[Interest Without Extra Principal Payments]]-monthly_mortgage_schedule[[#This Row],[Interest With Extra Principal Payments]],0)</f>
        <v>4007.5846899165936</v>
      </c>
      <c r="AP134" s="4">
        <f>AP133+monthly_mortgage_schedule[[#This Row],[PMI Without Extra Principal Payments]]-monthly_mortgage_schedule[[#This Row],[PMI with Additional Payments]]</f>
        <v>990</v>
      </c>
      <c r="AQ134" s="4">
        <f t="shared" si="12"/>
        <v>22754.310768065214</v>
      </c>
      <c r="AR134" s="4">
        <f>Table60[[#This Row],[Cumulative Investments]]-monthly_mortgage_schedule[[#This Row],[Cumulative Extra Payments Towards Equity]]</f>
        <v>6254.3107680652138</v>
      </c>
    </row>
    <row r="135" spans="9:44" x14ac:dyDescent="0.25">
      <c r="I135">
        <v>118</v>
      </c>
      <c r="J135">
        <f>IF(MOD(ROWS($J$18:J134),12)=0,J134+1,J134)</f>
        <v>2031</v>
      </c>
      <c r="K135" s="198">
        <f>IF(M135="#N/A",NA(),monthly_mortgage_schedule[[#This Row],[Month]])</f>
        <v>118</v>
      </c>
      <c r="L135" s="198">
        <f>IF(monthly_mortgage_schedule[[#This Row],[Calendar Year]]&gt;=$C$7,monthly_mortgage_schedule[[#This Row],[Calendar Year]],NA())</f>
        <v>2031</v>
      </c>
      <c r="M135" s="199">
        <f>IF((monthly_mortgage_schedule[[#This Row],[Calendar Year]]&gt;=$C$7)*(monthly_mortgage_schedule[[#This Row],[Calendar Year]]&lt;=$C$9),monthly_mortgage_schedule[[#This Row],[Begin Year (Range)]],NA())</f>
        <v>2031</v>
      </c>
      <c r="N135" s="214">
        <f>IF((monthly_mortgage_schedule[[#This Row],[Year (Range)]]&gt;=$C$7)*(monthly_mortgage_schedule[[#This Row],[Year (Range)]]&lt;=$C$9),X135,NA())</f>
        <v>2004.275977320056</v>
      </c>
      <c r="O135" s="214">
        <f>IF((monthly_mortgage_schedule[[#This Row],[Year (Range)]]&gt;=$C$7)*(monthly_mortgage_schedule[[#This Row],[Year (Range)]]&lt;=$C$9),Y135,NA())</f>
        <v>1095.7505181433521</v>
      </c>
      <c r="P135" s="214">
        <f>IF((monthly_mortgage_schedule[[#This Row],[Year (Range)]]&gt;=$C$7)*(monthly_mortgage_schedule[[#This Row],[Year (Range)]]&lt;=$C$9),AG135,NA())</f>
        <v>2099.9780392063335</v>
      </c>
      <c r="Q135" s="214">
        <f>IF((monthly_mortgage_schedule[[#This Row],[Year (Range)]]&gt;=$C$7)*(monthly_mortgage_schedule[[#This Row],[Year (Range)]]&lt;=$C$9),AH135,NA())</f>
        <v>1000.0484562570746</v>
      </c>
      <c r="R135" s="214">
        <f>IF((monthly_mortgage_schedule[[#This Row],[Year (Range)]]&gt;=$C$7)*(monthly_mortgage_schedule[[#This Row],[Year (Range)]]&lt;=$C$9),AO135,NA())</f>
        <v>4103.2867518028706</v>
      </c>
      <c r="S135" s="214">
        <f>IF((monthly_mortgage_schedule[[#This Row],[Year (Range)]]&gt;=$C$7)*(monthly_mortgage_schedule[[#This Row],[Year (Range)]]&lt;=$C$9),AP135,NA())</f>
        <v>990</v>
      </c>
      <c r="T135" s="214">
        <f>IF((monthly_mortgage_schedule[[#This Row],[Year (Range)]]&gt;=$C$7)*(monthly_mortgage_schedule[[#This Row],[Year (Range)]]&lt;=$C$9),AR135,NA())</f>
        <v>6406.0061731856476</v>
      </c>
      <c r="U135" s="214">
        <f>IF((monthly_mortgage_schedule[[#This Row],[Year (Range)]]&gt;=$C$7)*(monthly_mortgage_schedule[[#This Row],[Year (Range)]]&lt;=$C$9),AB135,NA())</f>
        <v>111608.04109241701</v>
      </c>
      <c r="V135" s="214">
        <f>IF((monthly_mortgage_schedule[[#This Row],[Year (Range)]]&gt;=$C$7)*(monthly_mortgage_schedule[[#This Row],[Year (Range)]]&lt;=$C$9),AI135,NA())</f>
        <v>91004.754340614134</v>
      </c>
      <c r="W135" s="187">
        <f t="shared" si="10"/>
        <v>429487.70942572627</v>
      </c>
      <c r="X135" s="4">
        <f t="shared" si="13"/>
        <v>2004.275977320056</v>
      </c>
      <c r="Y135" s="4">
        <f t="shared" si="11"/>
        <v>1095.7505181433521</v>
      </c>
      <c r="Z135" s="4">
        <f>_xlfn.IFNA(INDEX(additional_mortgage_payments[],MATCH(monthly_mortgage_schedule[[#This Row],[Month]],additional_mortgage_payments[Month],0),3),0)</f>
        <v>0</v>
      </c>
      <c r="AA135" s="4">
        <f>AA134+monthly_mortgage_schedule[[#This Row],[Extra Payments Towards Equity]]</f>
        <v>16500</v>
      </c>
      <c r="AB135" s="4">
        <f>AB134+monthly_mortgage_schedule[[#This Row],[Principal With Extra Principal Payments]]+monthly_mortgage_schedule[[#This Row],[Extra Payments Towards Equity]]</f>
        <v>111608.04109241701</v>
      </c>
      <c r="AC135" s="4">
        <f>monthly_mortgage_schedule[[#This Row],[Cumulative Principal With Extra Principal Payments]]+down_payment_dollars</f>
        <v>171608.04109241703</v>
      </c>
      <c r="AD135" s="200">
        <f t="shared" si="8"/>
        <v>0</v>
      </c>
      <c r="AE13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428391.95890758291</v>
      </c>
      <c r="AF135" s="187">
        <f t="shared" si="14"/>
        <v>449995.2941156429</v>
      </c>
      <c r="AG135" s="4">
        <f>IF(monthly_mortgage_schedule[[#This Row],[Loan Balance (BOY) Without Extra Principal Payments]]&gt;0,monthly_mortgage_schedule[[#This Row],[Loan Balance (BOY) Without Extra Principal Payments]]*monthly_interest_rate,0)</f>
        <v>2099.9780392063335</v>
      </c>
      <c r="AH135" s="4">
        <f>IF(monthly_mortgage_schedule[[#This Row],[Loan Balance (BOY) Without Extra Principal Payments]]&gt;1,monthly_principal_and_interest-monthly_mortgage_schedule[[#This Row],[Interest Without Extra Principal Payments]],0)</f>
        <v>1000.0484562570746</v>
      </c>
      <c r="AI135" s="4">
        <f>AI134+monthly_mortgage_schedule[[#This Row],[Principal Without Extra Principal Payments]]</f>
        <v>91004.754340614134</v>
      </c>
      <c r="AJ135" s="4">
        <f>monthly_mortgage_schedule[[#This Row],[Cumulative Principal Without Extra Principal Payments]]+down_payment_dollars</f>
        <v>151004.75434061413</v>
      </c>
      <c r="AK135" s="200">
        <f t="shared" si="9"/>
        <v>0</v>
      </c>
      <c r="AL13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448995.24565938581</v>
      </c>
      <c r="AN135" s="196">
        <f>monthly_mortgage_schedule[[#This Row],[Extra Payments Towards Equity]]+AN134+IF(monthly_mortgage_schedule[[#This Row],[Interest With Extra Principal Payments]]&gt;0,monthly_mortgage_schedule[[#This Row],[Interest Without Extra Principal Payments]]-monthly_mortgage_schedule[[#This Row],[Interest With Extra Principal Payments]],0)</f>
        <v>20603.286751802876</v>
      </c>
      <c r="AO135" s="4">
        <f>AO134+IF(monthly_mortgage_schedule[[#This Row],[Interest With Extra Principal Payments]]&gt;0,monthly_mortgage_schedule[[#This Row],[Interest Without Extra Principal Payments]]-monthly_mortgage_schedule[[#This Row],[Interest With Extra Principal Payments]],0)</f>
        <v>4103.2867518028706</v>
      </c>
      <c r="AP135" s="4">
        <f>AP134+monthly_mortgage_schedule[[#This Row],[PMI Without Extra Principal Payments]]-monthly_mortgage_schedule[[#This Row],[PMI with Additional Payments]]</f>
        <v>990</v>
      </c>
      <c r="AQ135" s="4">
        <f t="shared" si="12"/>
        <v>22906.006173185648</v>
      </c>
      <c r="AR135" s="4">
        <f>Table60[[#This Row],[Cumulative Investments]]-monthly_mortgage_schedule[[#This Row],[Cumulative Extra Payments Towards Equity]]</f>
        <v>6406.0061731856476</v>
      </c>
    </row>
    <row r="136" spans="9:44" x14ac:dyDescent="0.25">
      <c r="I136">
        <v>119</v>
      </c>
      <c r="J136">
        <f>IF(MOD(ROWS($J$18:J135),12)=0,J135+1,J135)</f>
        <v>2031</v>
      </c>
      <c r="K136" s="198">
        <f>IF(M136="#N/A",NA(),monthly_mortgage_schedule[[#This Row],[Month]])</f>
        <v>119</v>
      </c>
      <c r="L136" s="198">
        <f>IF(monthly_mortgage_schedule[[#This Row],[Calendar Year]]&gt;=$C$7,monthly_mortgage_schedule[[#This Row],[Calendar Year]],NA())</f>
        <v>2031</v>
      </c>
      <c r="M136" s="199">
        <f>IF((monthly_mortgage_schedule[[#This Row],[Calendar Year]]&gt;=$C$7)*(monthly_mortgage_schedule[[#This Row],[Calendar Year]]&lt;=$C$9),monthly_mortgage_schedule[[#This Row],[Begin Year (Range)]],NA())</f>
        <v>2031</v>
      </c>
      <c r="N136" s="214">
        <f>IF((monthly_mortgage_schedule[[#This Row],[Year (Range)]]&gt;=$C$7)*(monthly_mortgage_schedule[[#This Row],[Year (Range)]]&lt;=$C$9),X136,NA())</f>
        <v>1999.1624749020539</v>
      </c>
      <c r="O136" s="214">
        <f>IF((monthly_mortgage_schedule[[#This Row],[Year (Range)]]&gt;=$C$7)*(monthly_mortgage_schedule[[#This Row],[Year (Range)]]&lt;=$C$9),Y136,NA())</f>
        <v>1100.8640205613542</v>
      </c>
      <c r="P136" s="214">
        <f>IF((monthly_mortgage_schedule[[#This Row],[Year (Range)]]&gt;=$C$7)*(monthly_mortgage_schedule[[#This Row],[Year (Range)]]&lt;=$C$9),AG136,NA())</f>
        <v>2095.3111464104672</v>
      </c>
      <c r="Q136" s="214">
        <f>IF((monthly_mortgage_schedule[[#This Row],[Year (Range)]]&gt;=$C$7)*(monthly_mortgage_schedule[[#This Row],[Year (Range)]]&lt;=$C$9),AH136,NA())</f>
        <v>1004.7153490529408</v>
      </c>
      <c r="R136" s="214">
        <f>IF((monthly_mortgage_schedule[[#This Row],[Year (Range)]]&gt;=$C$7)*(monthly_mortgage_schedule[[#This Row],[Year (Range)]]&lt;=$C$9),AO136,NA())</f>
        <v>4199.4354233112845</v>
      </c>
      <c r="S136" s="214">
        <f>IF((monthly_mortgage_schedule[[#This Row],[Year (Range)]]&gt;=$C$7)*(monthly_mortgage_schedule[[#This Row],[Year (Range)]]&lt;=$C$9),AP136,NA())</f>
        <v>990</v>
      </c>
      <c r="T136" s="214">
        <f>IF((monthly_mortgage_schedule[[#This Row],[Year (Range)]]&gt;=$C$7)*(monthly_mortgage_schedule[[#This Row],[Year (Range)]]&lt;=$C$9),AR136,NA())</f>
        <v>6558.7128810068825</v>
      </c>
      <c r="U136" s="214">
        <f>IF((monthly_mortgage_schedule[[#This Row],[Year (Range)]]&gt;=$C$7)*(monthly_mortgage_schedule[[#This Row],[Year (Range)]]&lt;=$C$9),AB136,NA())</f>
        <v>112708.90511297836</v>
      </c>
      <c r="V136" s="214">
        <f>IF((monthly_mortgage_schedule[[#This Row],[Year (Range)]]&gt;=$C$7)*(monthly_mortgage_schedule[[#This Row],[Year (Range)]]&lt;=$C$9),AI136,NA())</f>
        <v>92009.469689667079</v>
      </c>
      <c r="W136" s="187">
        <f t="shared" si="10"/>
        <v>428391.95890758291</v>
      </c>
      <c r="X136" s="4">
        <f t="shared" si="13"/>
        <v>1999.1624749020539</v>
      </c>
      <c r="Y136" s="4">
        <f t="shared" si="11"/>
        <v>1100.8640205613542</v>
      </c>
      <c r="Z136" s="4">
        <f>_xlfn.IFNA(INDEX(additional_mortgage_payments[],MATCH(monthly_mortgage_schedule[[#This Row],[Month]],additional_mortgage_payments[Month],0),3),0)</f>
        <v>0</v>
      </c>
      <c r="AA136" s="4">
        <f>AA135+monthly_mortgage_schedule[[#This Row],[Extra Payments Towards Equity]]</f>
        <v>16500</v>
      </c>
      <c r="AB136" s="4">
        <f>AB135+monthly_mortgage_schedule[[#This Row],[Principal With Extra Principal Payments]]+monthly_mortgage_schedule[[#This Row],[Extra Payments Towards Equity]]</f>
        <v>112708.90511297836</v>
      </c>
      <c r="AC136" s="4">
        <f>monthly_mortgage_schedule[[#This Row],[Cumulative Principal With Extra Principal Payments]]+down_payment_dollars</f>
        <v>172708.90511297836</v>
      </c>
      <c r="AD136" s="200">
        <f t="shared" si="8"/>
        <v>0</v>
      </c>
      <c r="AE13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427291.09488702158</v>
      </c>
      <c r="AF136" s="187">
        <f t="shared" si="14"/>
        <v>448995.24565938581</v>
      </c>
      <c r="AG136" s="4">
        <f>IF(monthly_mortgage_schedule[[#This Row],[Loan Balance (BOY) Without Extra Principal Payments]]&gt;0,monthly_mortgage_schedule[[#This Row],[Loan Balance (BOY) Without Extra Principal Payments]]*monthly_interest_rate,0)</f>
        <v>2095.3111464104672</v>
      </c>
      <c r="AH136" s="4">
        <f>IF(monthly_mortgage_schedule[[#This Row],[Loan Balance (BOY) Without Extra Principal Payments]]&gt;1,monthly_principal_and_interest-monthly_mortgage_schedule[[#This Row],[Interest Without Extra Principal Payments]],0)</f>
        <v>1004.7153490529408</v>
      </c>
      <c r="AI136" s="4">
        <f>AI135+monthly_mortgage_schedule[[#This Row],[Principal Without Extra Principal Payments]]</f>
        <v>92009.469689667079</v>
      </c>
      <c r="AJ136" s="4">
        <f>monthly_mortgage_schedule[[#This Row],[Cumulative Principal Without Extra Principal Payments]]+down_payment_dollars</f>
        <v>152009.46968966708</v>
      </c>
      <c r="AK136" s="200">
        <f t="shared" si="9"/>
        <v>0</v>
      </c>
      <c r="AL13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447990.53031033289</v>
      </c>
      <c r="AN136" s="196">
        <f>monthly_mortgage_schedule[[#This Row],[Extra Payments Towards Equity]]+AN135+IF(monthly_mortgage_schedule[[#This Row],[Interest With Extra Principal Payments]]&gt;0,monthly_mortgage_schedule[[#This Row],[Interest Without Extra Principal Payments]]-monthly_mortgage_schedule[[#This Row],[Interest With Extra Principal Payments]],0)</f>
        <v>20699.43542331129</v>
      </c>
      <c r="AO136" s="4">
        <f>AO135+IF(monthly_mortgage_schedule[[#This Row],[Interest With Extra Principal Payments]]&gt;0,monthly_mortgage_schedule[[#This Row],[Interest Without Extra Principal Payments]]-monthly_mortgage_schedule[[#This Row],[Interest With Extra Principal Payments]],0)</f>
        <v>4199.4354233112845</v>
      </c>
      <c r="AP136" s="4">
        <f>AP135+monthly_mortgage_schedule[[#This Row],[PMI Without Extra Principal Payments]]-monthly_mortgage_schedule[[#This Row],[PMI with Additional Payments]]</f>
        <v>990</v>
      </c>
      <c r="AQ136" s="4">
        <f t="shared" si="12"/>
        <v>23058.712881006883</v>
      </c>
      <c r="AR136" s="4">
        <f>Table60[[#This Row],[Cumulative Investments]]-monthly_mortgage_schedule[[#This Row],[Cumulative Extra Payments Towards Equity]]</f>
        <v>6558.7128810068825</v>
      </c>
    </row>
    <row r="137" spans="9:44" x14ac:dyDescent="0.25">
      <c r="I137">
        <v>120</v>
      </c>
      <c r="J137">
        <f>IF(MOD(ROWS($J$18:J136),12)=0,J136+1,J136)</f>
        <v>2031</v>
      </c>
      <c r="K137" s="198">
        <f>IF(M137="#N/A",NA(),monthly_mortgage_schedule[[#This Row],[Month]])</f>
        <v>120</v>
      </c>
      <c r="L137" s="198">
        <f>IF(monthly_mortgage_schedule[[#This Row],[Calendar Year]]&gt;=$C$7,monthly_mortgage_schedule[[#This Row],[Calendar Year]],NA())</f>
        <v>2031</v>
      </c>
      <c r="M137" s="199">
        <f>IF((monthly_mortgage_schedule[[#This Row],[Calendar Year]]&gt;=$C$7)*(monthly_mortgage_schedule[[#This Row],[Calendar Year]]&lt;=$C$9),monthly_mortgage_schedule[[#This Row],[Begin Year (Range)]],NA())</f>
        <v>2031</v>
      </c>
      <c r="N137" s="214">
        <f>IF((monthly_mortgage_schedule[[#This Row],[Year (Range)]]&gt;=$C$7)*(monthly_mortgage_schedule[[#This Row],[Year (Range)]]&lt;=$C$9),X137,NA())</f>
        <v>1994.0251094727676</v>
      </c>
      <c r="O137" s="214">
        <f>IF((monthly_mortgage_schedule[[#This Row],[Year (Range)]]&gt;=$C$7)*(monthly_mortgage_schedule[[#This Row],[Year (Range)]]&lt;=$C$9),Y137,NA())</f>
        <v>1106.0013859906405</v>
      </c>
      <c r="P137" s="214">
        <f>IF((monthly_mortgage_schedule[[#This Row],[Year (Range)]]&gt;=$C$7)*(monthly_mortgage_schedule[[#This Row],[Year (Range)]]&lt;=$C$9),AG137,NA())</f>
        <v>2090.6224747815536</v>
      </c>
      <c r="Q137" s="214">
        <f>IF((monthly_mortgage_schedule[[#This Row],[Year (Range)]]&gt;=$C$7)*(monthly_mortgage_schedule[[#This Row],[Year (Range)]]&lt;=$C$9),AH137,NA())</f>
        <v>1009.4040206818545</v>
      </c>
      <c r="R137" s="214">
        <f>IF((monthly_mortgage_schedule[[#This Row],[Year (Range)]]&gt;=$C$7)*(monthly_mortgage_schedule[[#This Row],[Year (Range)]]&lt;=$C$9),AO137,NA())</f>
        <v>4296.0327886200703</v>
      </c>
      <c r="S137" s="214">
        <f>IF((monthly_mortgage_schedule[[#This Row],[Year (Range)]]&gt;=$C$7)*(monthly_mortgage_schedule[[#This Row],[Year (Range)]]&lt;=$C$9),AP137,NA())</f>
        <v>990</v>
      </c>
      <c r="T137" s="214">
        <f>IF((monthly_mortgage_schedule[[#This Row],[Year (Range)]]&gt;=$C$7)*(monthly_mortgage_schedule[[#This Row],[Year (Range)]]&lt;=$C$9),AR137,NA())</f>
        <v>6739.1043002135921</v>
      </c>
      <c r="U137" s="214">
        <f>IF((monthly_mortgage_schedule[[#This Row],[Year (Range)]]&gt;=$C$7)*(monthly_mortgage_schedule[[#This Row],[Year (Range)]]&lt;=$C$9),AB137,NA())</f>
        <v>117814.90649896901</v>
      </c>
      <c r="V137" s="214">
        <f>IF((monthly_mortgage_schedule[[#This Row],[Year (Range)]]&gt;=$C$7)*(monthly_mortgage_schedule[[#This Row],[Year (Range)]]&lt;=$C$9),AI137,NA())</f>
        <v>93018.87371034894</v>
      </c>
      <c r="W137" s="187">
        <f t="shared" si="10"/>
        <v>427291.09488702158</v>
      </c>
      <c r="X137" s="4">
        <f t="shared" si="13"/>
        <v>1994.0251094727676</v>
      </c>
      <c r="Y137" s="4">
        <f t="shared" si="11"/>
        <v>1106.0013859906405</v>
      </c>
      <c r="Z137" s="4">
        <f>_xlfn.IFNA(INDEX(additional_mortgage_payments[],MATCH(monthly_mortgage_schedule[[#This Row],[Month]],additional_mortgage_payments[Month],0),3),0)</f>
        <v>4000</v>
      </c>
      <c r="AA137" s="4">
        <f>AA136+monthly_mortgage_schedule[[#This Row],[Extra Payments Towards Equity]]</f>
        <v>20500</v>
      </c>
      <c r="AB137" s="4">
        <f>AB136+monthly_mortgage_schedule[[#This Row],[Principal With Extra Principal Payments]]+monthly_mortgage_schedule[[#This Row],[Extra Payments Towards Equity]]</f>
        <v>117814.90649896901</v>
      </c>
      <c r="AC137" s="4">
        <f>monthly_mortgage_schedule[[#This Row],[Cumulative Principal With Extra Principal Payments]]+down_payment_dollars</f>
        <v>177814.90649896901</v>
      </c>
      <c r="AD137" s="200">
        <f t="shared" si="8"/>
        <v>0</v>
      </c>
      <c r="AE13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422185.09350103093</v>
      </c>
      <c r="AF137" s="187">
        <f t="shared" si="14"/>
        <v>447990.53031033289</v>
      </c>
      <c r="AG137" s="4">
        <f>IF(monthly_mortgage_schedule[[#This Row],[Loan Balance (BOY) Without Extra Principal Payments]]&gt;0,monthly_mortgage_schedule[[#This Row],[Loan Balance (BOY) Without Extra Principal Payments]]*monthly_interest_rate,0)</f>
        <v>2090.6224747815536</v>
      </c>
      <c r="AH137" s="4">
        <f>IF(monthly_mortgage_schedule[[#This Row],[Loan Balance (BOY) Without Extra Principal Payments]]&gt;1,monthly_principal_and_interest-monthly_mortgage_schedule[[#This Row],[Interest Without Extra Principal Payments]],0)</f>
        <v>1009.4040206818545</v>
      </c>
      <c r="AI137" s="4">
        <f>AI136+monthly_mortgage_schedule[[#This Row],[Principal Without Extra Principal Payments]]</f>
        <v>93018.87371034894</v>
      </c>
      <c r="AJ137" s="4">
        <f>monthly_mortgage_schedule[[#This Row],[Cumulative Principal Without Extra Principal Payments]]+down_payment_dollars</f>
        <v>153018.87371034894</v>
      </c>
      <c r="AK137" s="200">
        <f t="shared" si="9"/>
        <v>0</v>
      </c>
      <c r="AL13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446981.12628965103</v>
      </c>
      <c r="AN137" s="196">
        <f>monthly_mortgage_schedule[[#This Row],[Extra Payments Towards Equity]]+AN136+IF(monthly_mortgage_schedule[[#This Row],[Interest With Extra Principal Payments]]&gt;0,monthly_mortgage_schedule[[#This Row],[Interest Without Extra Principal Payments]]-monthly_mortgage_schedule[[#This Row],[Interest With Extra Principal Payments]],0)</f>
        <v>24796.032788620076</v>
      </c>
      <c r="AO137" s="4">
        <f>AO136+IF(monthly_mortgage_schedule[[#This Row],[Interest With Extra Principal Payments]]&gt;0,monthly_mortgage_schedule[[#This Row],[Interest Without Extra Principal Payments]]-monthly_mortgage_schedule[[#This Row],[Interest With Extra Principal Payments]],0)</f>
        <v>4296.0327886200703</v>
      </c>
      <c r="AP137" s="4">
        <f>AP136+monthly_mortgage_schedule[[#This Row],[PMI Without Extra Principal Payments]]-monthly_mortgage_schedule[[#This Row],[PMI with Additional Payments]]</f>
        <v>990</v>
      </c>
      <c r="AQ137" s="4">
        <f t="shared" si="12"/>
        <v>27239.104300213592</v>
      </c>
      <c r="AR137" s="4">
        <f>Table60[[#This Row],[Cumulative Investments]]-monthly_mortgage_schedule[[#This Row],[Cumulative Extra Payments Towards Equity]]</f>
        <v>6739.1043002135921</v>
      </c>
    </row>
    <row r="138" spans="9:44" x14ac:dyDescent="0.25">
      <c r="I138">
        <v>121</v>
      </c>
      <c r="J138">
        <f>IF(MOD(ROWS($J$18:J137),12)=0,J137+1,J137)</f>
        <v>2032</v>
      </c>
      <c r="K138" s="198">
        <f>IF(M138="#N/A",NA(),monthly_mortgage_schedule[[#This Row],[Month]])</f>
        <v>121</v>
      </c>
      <c r="L138" s="198">
        <f>IF(monthly_mortgage_schedule[[#This Row],[Calendar Year]]&gt;=$C$7,monthly_mortgage_schedule[[#This Row],[Calendar Year]],NA())</f>
        <v>2032</v>
      </c>
      <c r="M138" s="199">
        <f>IF((monthly_mortgage_schedule[[#This Row],[Calendar Year]]&gt;=$C$7)*(monthly_mortgage_schedule[[#This Row],[Calendar Year]]&lt;=$C$9),monthly_mortgage_schedule[[#This Row],[Begin Year (Range)]],NA())</f>
        <v>2032</v>
      </c>
      <c r="N138" s="214">
        <f>IF((monthly_mortgage_schedule[[#This Row],[Year (Range)]]&gt;=$C$7)*(monthly_mortgage_schedule[[#This Row],[Year (Range)]]&lt;=$C$9),X138,NA())</f>
        <v>1970.1971030048112</v>
      </c>
      <c r="O138" s="214">
        <f>IF((monthly_mortgage_schedule[[#This Row],[Year (Range)]]&gt;=$C$7)*(monthly_mortgage_schedule[[#This Row],[Year (Range)]]&lt;=$C$9),Y138,NA())</f>
        <v>1129.8293924585969</v>
      </c>
      <c r="P138" s="214">
        <f>IF((monthly_mortgage_schedule[[#This Row],[Year (Range)]]&gt;=$C$7)*(monthly_mortgage_schedule[[#This Row],[Year (Range)]]&lt;=$C$9),AG138,NA())</f>
        <v>2085.9119226850385</v>
      </c>
      <c r="Q138" s="214">
        <f>IF((monthly_mortgage_schedule[[#This Row],[Year (Range)]]&gt;=$C$7)*(monthly_mortgage_schedule[[#This Row],[Year (Range)]]&lt;=$C$9),AH138,NA())</f>
        <v>1014.1145727783696</v>
      </c>
      <c r="R138" s="214">
        <f>IF((monthly_mortgage_schedule[[#This Row],[Year (Range)]]&gt;=$C$7)*(monthly_mortgage_schedule[[#This Row],[Year (Range)]]&lt;=$C$9),AO138,NA())</f>
        <v>4411.7476083002975</v>
      </c>
      <c r="S138" s="214">
        <f>IF((monthly_mortgage_schedule[[#This Row],[Year (Range)]]&gt;=$C$7)*(monthly_mortgage_schedule[[#This Row],[Year (Range)]]&lt;=$C$9),AP138,NA())</f>
        <v>990</v>
      </c>
      <c r="T138" s="214">
        <f>IF((monthly_mortgage_schedule[[#This Row],[Year (Range)]]&gt;=$C$7)*(monthly_mortgage_schedule[[#This Row],[Year (Range)]]&lt;=$C$9),AR138,NA())</f>
        <v>6920.6983288816809</v>
      </c>
      <c r="U138" s="214">
        <f>IF((monthly_mortgage_schedule[[#This Row],[Year (Range)]]&gt;=$C$7)*(monthly_mortgage_schedule[[#This Row],[Year (Range)]]&lt;=$C$9),AB138,NA())</f>
        <v>118944.73589142761</v>
      </c>
      <c r="V138" s="214">
        <f>IF((monthly_mortgage_schedule[[#This Row],[Year (Range)]]&gt;=$C$7)*(monthly_mortgage_schedule[[#This Row],[Year (Range)]]&lt;=$C$9),AI138,NA())</f>
        <v>94032.988283127313</v>
      </c>
      <c r="W138" s="187">
        <f t="shared" si="10"/>
        <v>422185.09350103093</v>
      </c>
      <c r="X138" s="4">
        <f t="shared" si="13"/>
        <v>1970.1971030048112</v>
      </c>
      <c r="Y138" s="4">
        <f t="shared" si="11"/>
        <v>1129.8293924585969</v>
      </c>
      <c r="Z138" s="4">
        <f>_xlfn.IFNA(INDEX(additional_mortgage_payments[],MATCH(monthly_mortgage_schedule[[#This Row],[Month]],additional_mortgage_payments[Month],0),3),0)</f>
        <v>0</v>
      </c>
      <c r="AA138" s="4">
        <f>AA137+monthly_mortgage_schedule[[#This Row],[Extra Payments Towards Equity]]</f>
        <v>20500</v>
      </c>
      <c r="AB138" s="4">
        <f>AB137+monthly_mortgage_schedule[[#This Row],[Principal With Extra Principal Payments]]+monthly_mortgage_schedule[[#This Row],[Extra Payments Towards Equity]]</f>
        <v>118944.73589142761</v>
      </c>
      <c r="AC138" s="4">
        <f>monthly_mortgage_schedule[[#This Row],[Cumulative Principal With Extra Principal Payments]]+down_payment_dollars</f>
        <v>178944.73589142761</v>
      </c>
      <c r="AD138" s="200">
        <f t="shared" si="8"/>
        <v>0</v>
      </c>
      <c r="AE13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421055.26410857233</v>
      </c>
      <c r="AF138" s="187">
        <f t="shared" si="14"/>
        <v>446981.12628965103</v>
      </c>
      <c r="AG138" s="4">
        <f>IF(monthly_mortgage_schedule[[#This Row],[Loan Balance (BOY) Without Extra Principal Payments]]&gt;0,monthly_mortgage_schedule[[#This Row],[Loan Balance (BOY) Without Extra Principal Payments]]*monthly_interest_rate,0)</f>
        <v>2085.9119226850385</v>
      </c>
      <c r="AH138" s="4">
        <f>IF(monthly_mortgage_schedule[[#This Row],[Loan Balance (BOY) Without Extra Principal Payments]]&gt;1,monthly_principal_and_interest-monthly_mortgage_schedule[[#This Row],[Interest Without Extra Principal Payments]],0)</f>
        <v>1014.1145727783696</v>
      </c>
      <c r="AI138" s="4">
        <f>AI137+monthly_mortgage_schedule[[#This Row],[Principal Without Extra Principal Payments]]</f>
        <v>94032.988283127313</v>
      </c>
      <c r="AJ138" s="4">
        <f>monthly_mortgage_schedule[[#This Row],[Cumulative Principal Without Extra Principal Payments]]+down_payment_dollars</f>
        <v>154032.98828312731</v>
      </c>
      <c r="AK138" s="200">
        <f t="shared" si="9"/>
        <v>0</v>
      </c>
      <c r="AL13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445967.01171687269</v>
      </c>
      <c r="AN138" s="196">
        <f>monthly_mortgage_schedule[[#This Row],[Extra Payments Towards Equity]]+AN137+IF(monthly_mortgage_schedule[[#This Row],[Interest With Extra Principal Payments]]&gt;0,monthly_mortgage_schedule[[#This Row],[Interest Without Extra Principal Payments]]-monthly_mortgage_schedule[[#This Row],[Interest With Extra Principal Payments]],0)</f>
        <v>24911.747608300302</v>
      </c>
      <c r="AO138" s="4">
        <f>AO137+IF(monthly_mortgage_schedule[[#This Row],[Interest With Extra Principal Payments]]&gt;0,monthly_mortgage_schedule[[#This Row],[Interest Without Extra Principal Payments]]-monthly_mortgage_schedule[[#This Row],[Interest With Extra Principal Payments]],0)</f>
        <v>4411.7476083002975</v>
      </c>
      <c r="AP138" s="4">
        <f>AP137+monthly_mortgage_schedule[[#This Row],[PMI Without Extra Principal Payments]]-monthly_mortgage_schedule[[#This Row],[PMI with Additional Payments]]</f>
        <v>990</v>
      </c>
      <c r="AQ138" s="4">
        <f t="shared" si="12"/>
        <v>27420.698328881681</v>
      </c>
      <c r="AR138" s="4">
        <f>Table60[[#This Row],[Cumulative Investments]]-monthly_mortgage_schedule[[#This Row],[Cumulative Extra Payments Towards Equity]]</f>
        <v>6920.6983288816809</v>
      </c>
    </row>
    <row r="139" spans="9:44" x14ac:dyDescent="0.25">
      <c r="I139">
        <v>122</v>
      </c>
      <c r="J139">
        <f>IF(MOD(ROWS($J$18:J138),12)=0,J138+1,J138)</f>
        <v>2032</v>
      </c>
      <c r="K139" s="198">
        <f>IF(M139="#N/A",NA(),monthly_mortgage_schedule[[#This Row],[Month]])</f>
        <v>122</v>
      </c>
      <c r="L139" s="198">
        <f>IF(monthly_mortgage_schedule[[#This Row],[Calendar Year]]&gt;=$C$7,monthly_mortgage_schedule[[#This Row],[Calendar Year]],NA())</f>
        <v>2032</v>
      </c>
      <c r="M139" s="199">
        <f>IF((monthly_mortgage_schedule[[#This Row],[Calendar Year]]&gt;=$C$7)*(monthly_mortgage_schedule[[#This Row],[Calendar Year]]&lt;=$C$9),monthly_mortgage_schedule[[#This Row],[Begin Year (Range)]],NA())</f>
        <v>2032</v>
      </c>
      <c r="N139" s="214">
        <f>IF((monthly_mortgage_schedule[[#This Row],[Year (Range)]]&gt;=$C$7)*(monthly_mortgage_schedule[[#This Row],[Year (Range)]]&lt;=$C$9),X139,NA())</f>
        <v>1964.9245658400043</v>
      </c>
      <c r="O139" s="214">
        <f>IF((monthly_mortgage_schedule[[#This Row],[Year (Range)]]&gt;=$C$7)*(monthly_mortgage_schedule[[#This Row],[Year (Range)]]&lt;=$C$9),Y139,NA())</f>
        <v>1135.1019296234037</v>
      </c>
      <c r="P139" s="214">
        <f>IF((monthly_mortgage_schedule[[#This Row],[Year (Range)]]&gt;=$C$7)*(monthly_mortgage_schedule[[#This Row],[Year (Range)]]&lt;=$C$9),AG139,NA())</f>
        <v>2081.1793880120726</v>
      </c>
      <c r="Q139" s="214">
        <f>IF((monthly_mortgage_schedule[[#This Row],[Year (Range)]]&gt;=$C$7)*(monthly_mortgage_schedule[[#This Row],[Year (Range)]]&lt;=$C$9),AH139,NA())</f>
        <v>1018.8471074513354</v>
      </c>
      <c r="R139" s="214">
        <f>IF((monthly_mortgage_schedule[[#This Row],[Year (Range)]]&gt;=$C$7)*(monthly_mortgage_schedule[[#This Row],[Year (Range)]]&lt;=$C$9),AO139,NA())</f>
        <v>4528.0024304723656</v>
      </c>
      <c r="S139" s="214">
        <f>IF((monthly_mortgage_schedule[[#This Row],[Year (Range)]]&gt;=$C$7)*(monthly_mortgage_schedule[[#This Row],[Year (Range)]]&lt;=$C$9),AP139,NA())</f>
        <v>990</v>
      </c>
      <c r="T139" s="214">
        <f>IF((monthly_mortgage_schedule[[#This Row],[Year (Range)]]&gt;=$C$7)*(monthly_mortgage_schedule[[#This Row],[Year (Range)]]&lt;=$C$9),AR139,NA())</f>
        <v>7103.502984407558</v>
      </c>
      <c r="U139" s="214">
        <f>IF((monthly_mortgage_schedule[[#This Row],[Year (Range)]]&gt;=$C$7)*(monthly_mortgage_schedule[[#This Row],[Year (Range)]]&lt;=$C$9),AB139,NA())</f>
        <v>120079.83782105101</v>
      </c>
      <c r="V139" s="214">
        <f>IF((monthly_mortgage_schedule[[#This Row],[Year (Range)]]&gt;=$C$7)*(monthly_mortgage_schedule[[#This Row],[Year (Range)]]&lt;=$C$9),AI139,NA())</f>
        <v>95051.83539057865</v>
      </c>
      <c r="W139" s="187">
        <f t="shared" si="10"/>
        <v>421055.26410857233</v>
      </c>
      <c r="X139" s="4">
        <f t="shared" si="13"/>
        <v>1964.9245658400043</v>
      </c>
      <c r="Y139" s="4">
        <f t="shared" si="11"/>
        <v>1135.1019296234037</v>
      </c>
      <c r="Z139" s="4">
        <f>_xlfn.IFNA(INDEX(additional_mortgage_payments[],MATCH(monthly_mortgage_schedule[[#This Row],[Month]],additional_mortgage_payments[Month],0),3),0)</f>
        <v>0</v>
      </c>
      <c r="AA139" s="4">
        <f>AA138+monthly_mortgage_schedule[[#This Row],[Extra Payments Towards Equity]]</f>
        <v>20500</v>
      </c>
      <c r="AB139" s="4">
        <f>AB138+monthly_mortgage_schedule[[#This Row],[Principal With Extra Principal Payments]]+monthly_mortgage_schedule[[#This Row],[Extra Payments Towards Equity]]</f>
        <v>120079.83782105101</v>
      </c>
      <c r="AC139" s="4">
        <f>monthly_mortgage_schedule[[#This Row],[Cumulative Principal With Extra Principal Payments]]+down_payment_dollars</f>
        <v>180079.83782105101</v>
      </c>
      <c r="AD139" s="200">
        <f t="shared" si="8"/>
        <v>0</v>
      </c>
      <c r="AE13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419920.16217894893</v>
      </c>
      <c r="AF139" s="187">
        <f t="shared" si="14"/>
        <v>445967.01171687269</v>
      </c>
      <c r="AG139" s="4">
        <f>IF(monthly_mortgage_schedule[[#This Row],[Loan Balance (BOY) Without Extra Principal Payments]]&gt;0,monthly_mortgage_schedule[[#This Row],[Loan Balance (BOY) Without Extra Principal Payments]]*monthly_interest_rate,0)</f>
        <v>2081.1793880120726</v>
      </c>
      <c r="AH139" s="4">
        <f>IF(monthly_mortgage_schedule[[#This Row],[Loan Balance (BOY) Without Extra Principal Payments]]&gt;1,monthly_principal_and_interest-monthly_mortgage_schedule[[#This Row],[Interest Without Extra Principal Payments]],0)</f>
        <v>1018.8471074513354</v>
      </c>
      <c r="AI139" s="4">
        <f>AI138+monthly_mortgage_schedule[[#This Row],[Principal Without Extra Principal Payments]]</f>
        <v>95051.83539057865</v>
      </c>
      <c r="AJ139" s="4">
        <f>monthly_mortgage_schedule[[#This Row],[Cumulative Principal Without Extra Principal Payments]]+down_payment_dollars</f>
        <v>155051.83539057866</v>
      </c>
      <c r="AK139" s="200">
        <f t="shared" si="9"/>
        <v>0</v>
      </c>
      <c r="AL13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444948.16460942134</v>
      </c>
      <c r="AN139" s="196">
        <f>monthly_mortgage_schedule[[#This Row],[Extra Payments Towards Equity]]+AN138+IF(monthly_mortgage_schedule[[#This Row],[Interest With Extra Principal Payments]]&gt;0,monthly_mortgage_schedule[[#This Row],[Interest Without Extra Principal Payments]]-monthly_mortgage_schedule[[#This Row],[Interest With Extra Principal Payments]],0)</f>
        <v>25028.00243047237</v>
      </c>
      <c r="AO139" s="4">
        <f>AO138+IF(monthly_mortgage_schedule[[#This Row],[Interest With Extra Principal Payments]]&gt;0,monthly_mortgage_schedule[[#This Row],[Interest Without Extra Principal Payments]]-monthly_mortgage_schedule[[#This Row],[Interest With Extra Principal Payments]],0)</f>
        <v>4528.0024304723656</v>
      </c>
      <c r="AP139" s="4">
        <f>AP138+monthly_mortgage_schedule[[#This Row],[PMI Without Extra Principal Payments]]-monthly_mortgage_schedule[[#This Row],[PMI with Additional Payments]]</f>
        <v>990</v>
      </c>
      <c r="AQ139" s="4">
        <f t="shared" si="12"/>
        <v>27603.502984407558</v>
      </c>
      <c r="AR139" s="4">
        <f>Table60[[#This Row],[Cumulative Investments]]-monthly_mortgage_schedule[[#This Row],[Cumulative Extra Payments Towards Equity]]</f>
        <v>7103.502984407558</v>
      </c>
    </row>
    <row r="140" spans="9:44" x14ac:dyDescent="0.25">
      <c r="I140">
        <v>123</v>
      </c>
      <c r="J140">
        <f>IF(MOD(ROWS($J$18:J139),12)=0,J139+1,J139)</f>
        <v>2032</v>
      </c>
      <c r="K140" s="198">
        <f>IF(M140="#N/A",NA(),monthly_mortgage_schedule[[#This Row],[Month]])</f>
        <v>123</v>
      </c>
      <c r="L140" s="198">
        <f>IF(monthly_mortgage_schedule[[#This Row],[Calendar Year]]&gt;=$C$7,monthly_mortgage_schedule[[#This Row],[Calendar Year]],NA())</f>
        <v>2032</v>
      </c>
      <c r="M140" s="199">
        <f>IF((monthly_mortgage_schedule[[#This Row],[Calendar Year]]&gt;=$C$7)*(monthly_mortgage_schedule[[#This Row],[Calendar Year]]&lt;=$C$9),monthly_mortgage_schedule[[#This Row],[Begin Year (Range)]],NA())</f>
        <v>2032</v>
      </c>
      <c r="N140" s="214">
        <f>IF((monthly_mortgage_schedule[[#This Row],[Year (Range)]]&gt;=$C$7)*(monthly_mortgage_schedule[[#This Row],[Year (Range)]]&lt;=$C$9),X140,NA())</f>
        <v>1959.6274235017618</v>
      </c>
      <c r="O140" s="214">
        <f>IF((monthly_mortgage_schedule[[#This Row],[Year (Range)]]&gt;=$C$7)*(monthly_mortgage_schedule[[#This Row],[Year (Range)]]&lt;=$C$9),Y140,NA())</f>
        <v>1140.3990719616463</v>
      </c>
      <c r="P140" s="214">
        <f>IF((monthly_mortgage_schedule[[#This Row],[Year (Range)]]&gt;=$C$7)*(monthly_mortgage_schedule[[#This Row],[Year (Range)]]&lt;=$C$9),AG140,NA())</f>
        <v>2076.4247681772999</v>
      </c>
      <c r="Q140" s="214">
        <f>IF((monthly_mortgage_schedule[[#This Row],[Year (Range)]]&gt;=$C$7)*(monthly_mortgage_schedule[[#This Row],[Year (Range)]]&lt;=$C$9),AH140,NA())</f>
        <v>1023.6017272861081</v>
      </c>
      <c r="R140" s="214">
        <f>IF((monthly_mortgage_schedule[[#This Row],[Year (Range)]]&gt;=$C$7)*(monthly_mortgage_schedule[[#This Row],[Year (Range)]]&lt;=$C$9),AO140,NA())</f>
        <v>4644.7997751479033</v>
      </c>
      <c r="S140" s="214">
        <f>IF((monthly_mortgage_schedule[[#This Row],[Year (Range)]]&gt;=$C$7)*(monthly_mortgage_schedule[[#This Row],[Year (Range)]]&lt;=$C$9),AP140,NA())</f>
        <v>990</v>
      </c>
      <c r="T140" s="214">
        <f>IF((monthly_mortgage_schedule[[#This Row],[Year (Range)]]&gt;=$C$7)*(monthly_mortgage_schedule[[#This Row],[Year (Range)]]&lt;=$C$9),AR140,NA())</f>
        <v>7287.5263376369403</v>
      </c>
      <c r="U140" s="214">
        <f>IF((monthly_mortgage_schedule[[#This Row],[Year (Range)]]&gt;=$C$7)*(monthly_mortgage_schedule[[#This Row],[Year (Range)]]&lt;=$C$9),AB140,NA())</f>
        <v>121220.23689301265</v>
      </c>
      <c r="V140" s="214">
        <f>IF((monthly_mortgage_schedule[[#This Row],[Year (Range)]]&gt;=$C$7)*(monthly_mortgage_schedule[[#This Row],[Year (Range)]]&lt;=$C$9),AI140,NA())</f>
        <v>96075.437117864756</v>
      </c>
      <c r="W140" s="187">
        <f t="shared" si="10"/>
        <v>419920.16217894893</v>
      </c>
      <c r="X140" s="4">
        <f t="shared" si="13"/>
        <v>1959.6274235017618</v>
      </c>
      <c r="Y140" s="4">
        <f t="shared" si="11"/>
        <v>1140.3990719616463</v>
      </c>
      <c r="Z140" s="4">
        <f>_xlfn.IFNA(INDEX(additional_mortgage_payments[],MATCH(monthly_mortgage_schedule[[#This Row],[Month]],additional_mortgage_payments[Month],0),3),0)</f>
        <v>0</v>
      </c>
      <c r="AA140" s="4">
        <f>AA139+monthly_mortgage_schedule[[#This Row],[Extra Payments Towards Equity]]</f>
        <v>20500</v>
      </c>
      <c r="AB140" s="4">
        <f>AB139+monthly_mortgage_schedule[[#This Row],[Principal With Extra Principal Payments]]+monthly_mortgage_schedule[[#This Row],[Extra Payments Towards Equity]]</f>
        <v>121220.23689301265</v>
      </c>
      <c r="AC140" s="4">
        <f>monthly_mortgage_schedule[[#This Row],[Cumulative Principal With Extra Principal Payments]]+down_payment_dollars</f>
        <v>181220.23689301265</v>
      </c>
      <c r="AD140" s="200">
        <f t="shared" si="8"/>
        <v>0</v>
      </c>
      <c r="AE14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418779.76310698729</v>
      </c>
      <c r="AF140" s="187">
        <f t="shared" si="14"/>
        <v>444948.16460942134</v>
      </c>
      <c r="AG140" s="4">
        <f>IF(monthly_mortgage_schedule[[#This Row],[Loan Balance (BOY) Without Extra Principal Payments]]&gt;0,monthly_mortgage_schedule[[#This Row],[Loan Balance (BOY) Without Extra Principal Payments]]*monthly_interest_rate,0)</f>
        <v>2076.4247681772999</v>
      </c>
      <c r="AH140" s="4">
        <f>IF(monthly_mortgage_schedule[[#This Row],[Loan Balance (BOY) Without Extra Principal Payments]]&gt;1,monthly_principal_and_interest-monthly_mortgage_schedule[[#This Row],[Interest Without Extra Principal Payments]],0)</f>
        <v>1023.6017272861081</v>
      </c>
      <c r="AI140" s="4">
        <f>AI139+monthly_mortgage_schedule[[#This Row],[Principal Without Extra Principal Payments]]</f>
        <v>96075.437117864756</v>
      </c>
      <c r="AJ140" s="4">
        <f>monthly_mortgage_schedule[[#This Row],[Cumulative Principal Without Extra Principal Payments]]+down_payment_dollars</f>
        <v>156075.43711786476</v>
      </c>
      <c r="AK140" s="200">
        <f t="shared" si="9"/>
        <v>0</v>
      </c>
      <c r="AL14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443924.56288213521</v>
      </c>
      <c r="AN140" s="196">
        <f>monthly_mortgage_schedule[[#This Row],[Extra Payments Towards Equity]]+AN139+IF(monthly_mortgage_schedule[[#This Row],[Interest With Extra Principal Payments]]&gt;0,monthly_mortgage_schedule[[#This Row],[Interest Without Extra Principal Payments]]-monthly_mortgage_schedule[[#This Row],[Interest With Extra Principal Payments]],0)</f>
        <v>25144.799775147909</v>
      </c>
      <c r="AO140" s="4">
        <f>AO139+IF(monthly_mortgage_schedule[[#This Row],[Interest With Extra Principal Payments]]&gt;0,monthly_mortgage_schedule[[#This Row],[Interest Without Extra Principal Payments]]-monthly_mortgage_schedule[[#This Row],[Interest With Extra Principal Payments]],0)</f>
        <v>4644.7997751479033</v>
      </c>
      <c r="AP140" s="4">
        <f>AP139+monthly_mortgage_schedule[[#This Row],[PMI Without Extra Principal Payments]]-monthly_mortgage_schedule[[#This Row],[PMI with Additional Payments]]</f>
        <v>990</v>
      </c>
      <c r="AQ140" s="4">
        <f t="shared" si="12"/>
        <v>27787.52633763694</v>
      </c>
      <c r="AR140" s="4">
        <f>Table60[[#This Row],[Cumulative Investments]]-monthly_mortgage_schedule[[#This Row],[Cumulative Extra Payments Towards Equity]]</f>
        <v>7287.5263376369403</v>
      </c>
    </row>
    <row r="141" spans="9:44" x14ac:dyDescent="0.25">
      <c r="I141">
        <v>124</v>
      </c>
      <c r="J141">
        <f>IF(MOD(ROWS($J$18:J140),12)=0,J140+1,J140)</f>
        <v>2032</v>
      </c>
      <c r="K141" s="198">
        <f>IF(M141="#N/A",NA(),monthly_mortgage_schedule[[#This Row],[Month]])</f>
        <v>124</v>
      </c>
      <c r="L141" s="198">
        <f>IF(monthly_mortgage_schedule[[#This Row],[Calendar Year]]&gt;=$C$7,monthly_mortgage_schedule[[#This Row],[Calendar Year]],NA())</f>
        <v>2032</v>
      </c>
      <c r="M141" s="199">
        <f>IF((monthly_mortgage_schedule[[#This Row],[Calendar Year]]&gt;=$C$7)*(monthly_mortgage_schedule[[#This Row],[Calendar Year]]&lt;=$C$9),monthly_mortgage_schedule[[#This Row],[Begin Year (Range)]],NA())</f>
        <v>2032</v>
      </c>
      <c r="N141" s="214">
        <f>IF((monthly_mortgage_schedule[[#This Row],[Year (Range)]]&gt;=$C$7)*(monthly_mortgage_schedule[[#This Row],[Year (Range)]]&lt;=$C$9),X141,NA())</f>
        <v>1954.3055611659408</v>
      </c>
      <c r="O141" s="214">
        <f>IF((monthly_mortgage_schedule[[#This Row],[Year (Range)]]&gt;=$C$7)*(monthly_mortgage_schedule[[#This Row],[Year (Range)]]&lt;=$C$9),Y141,NA())</f>
        <v>1145.7209342974672</v>
      </c>
      <c r="P141" s="214">
        <f>IF((monthly_mortgage_schedule[[#This Row],[Year (Range)]]&gt;=$C$7)*(monthly_mortgage_schedule[[#This Row],[Year (Range)]]&lt;=$C$9),AG141,NA())</f>
        <v>2071.6479601166311</v>
      </c>
      <c r="Q141" s="214">
        <f>IF((monthly_mortgage_schedule[[#This Row],[Year (Range)]]&gt;=$C$7)*(monthly_mortgage_schedule[[#This Row],[Year (Range)]]&lt;=$C$9),AH141,NA())</f>
        <v>1028.378535346777</v>
      </c>
      <c r="R141" s="214">
        <f>IF((monthly_mortgage_schedule[[#This Row],[Year (Range)]]&gt;=$C$7)*(monthly_mortgage_schedule[[#This Row],[Year (Range)]]&lt;=$C$9),AO141,NA())</f>
        <v>4762.1421740985934</v>
      </c>
      <c r="S141" s="214">
        <f>IF((monthly_mortgage_schedule[[#This Row],[Year (Range)]]&gt;=$C$7)*(monthly_mortgage_schedule[[#This Row],[Year (Range)]]&lt;=$C$9),AP141,NA())</f>
        <v>990</v>
      </c>
      <c r="T141" s="214">
        <f>IF((monthly_mortgage_schedule[[#This Row],[Year (Range)]]&gt;=$C$7)*(monthly_mortgage_schedule[[#This Row],[Year (Range)]]&lt;=$C$9),AR141,NA())</f>
        <v>7472.7765132211862</v>
      </c>
      <c r="U141" s="214">
        <f>IF((monthly_mortgage_schedule[[#This Row],[Year (Range)]]&gt;=$C$7)*(monthly_mortgage_schedule[[#This Row],[Year (Range)]]&lt;=$C$9),AB141,NA())</f>
        <v>122365.95782731012</v>
      </c>
      <c r="V141" s="214">
        <f>IF((monthly_mortgage_schedule[[#This Row],[Year (Range)]]&gt;=$C$7)*(monthly_mortgage_schedule[[#This Row],[Year (Range)]]&lt;=$C$9),AI141,NA())</f>
        <v>97103.815653211539</v>
      </c>
      <c r="W141" s="187">
        <f t="shared" si="10"/>
        <v>418779.76310698729</v>
      </c>
      <c r="X141" s="4">
        <f t="shared" si="13"/>
        <v>1954.3055611659408</v>
      </c>
      <c r="Y141" s="4">
        <f t="shared" si="11"/>
        <v>1145.7209342974672</v>
      </c>
      <c r="Z141" s="4">
        <f>_xlfn.IFNA(INDEX(additional_mortgage_payments[],MATCH(monthly_mortgage_schedule[[#This Row],[Month]],additional_mortgage_payments[Month],0),3),0)</f>
        <v>0</v>
      </c>
      <c r="AA141" s="4">
        <f>AA140+monthly_mortgage_schedule[[#This Row],[Extra Payments Towards Equity]]</f>
        <v>20500</v>
      </c>
      <c r="AB141" s="4">
        <f>AB140+monthly_mortgage_schedule[[#This Row],[Principal With Extra Principal Payments]]+monthly_mortgage_schedule[[#This Row],[Extra Payments Towards Equity]]</f>
        <v>122365.95782731012</v>
      </c>
      <c r="AC141" s="4">
        <f>monthly_mortgage_schedule[[#This Row],[Cumulative Principal With Extra Principal Payments]]+down_payment_dollars</f>
        <v>182365.95782731014</v>
      </c>
      <c r="AD141" s="200">
        <f t="shared" si="8"/>
        <v>0</v>
      </c>
      <c r="AE14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417634.04217268981</v>
      </c>
      <c r="AF141" s="187">
        <f t="shared" si="14"/>
        <v>443924.56288213521</v>
      </c>
      <c r="AG141" s="4">
        <f>IF(monthly_mortgage_schedule[[#This Row],[Loan Balance (BOY) Without Extra Principal Payments]]&gt;0,monthly_mortgage_schedule[[#This Row],[Loan Balance (BOY) Without Extra Principal Payments]]*monthly_interest_rate,0)</f>
        <v>2071.6479601166311</v>
      </c>
      <c r="AH141" s="4">
        <f>IF(monthly_mortgage_schedule[[#This Row],[Loan Balance (BOY) Without Extra Principal Payments]]&gt;1,monthly_principal_and_interest-monthly_mortgage_schedule[[#This Row],[Interest Without Extra Principal Payments]],0)</f>
        <v>1028.378535346777</v>
      </c>
      <c r="AI141" s="4">
        <f>AI140+monthly_mortgage_schedule[[#This Row],[Principal Without Extra Principal Payments]]</f>
        <v>97103.815653211539</v>
      </c>
      <c r="AJ141" s="4">
        <f>monthly_mortgage_schedule[[#This Row],[Cumulative Principal Without Extra Principal Payments]]+down_payment_dollars</f>
        <v>157103.81565321155</v>
      </c>
      <c r="AK141" s="200">
        <f t="shared" si="9"/>
        <v>0</v>
      </c>
      <c r="AL14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442896.18434678845</v>
      </c>
      <c r="AN141" s="196">
        <f>monthly_mortgage_schedule[[#This Row],[Extra Payments Towards Equity]]+AN140+IF(monthly_mortgage_schedule[[#This Row],[Interest With Extra Principal Payments]]&gt;0,monthly_mortgage_schedule[[#This Row],[Interest Without Extra Principal Payments]]-monthly_mortgage_schedule[[#This Row],[Interest With Extra Principal Payments]],0)</f>
        <v>25262.142174098601</v>
      </c>
      <c r="AO141" s="4">
        <f>AO140+IF(monthly_mortgage_schedule[[#This Row],[Interest With Extra Principal Payments]]&gt;0,monthly_mortgage_schedule[[#This Row],[Interest Without Extra Principal Payments]]-monthly_mortgage_schedule[[#This Row],[Interest With Extra Principal Payments]],0)</f>
        <v>4762.1421740985934</v>
      </c>
      <c r="AP141" s="4">
        <f>AP140+monthly_mortgage_schedule[[#This Row],[PMI Without Extra Principal Payments]]-monthly_mortgage_schedule[[#This Row],[PMI with Additional Payments]]</f>
        <v>990</v>
      </c>
      <c r="AQ141" s="4">
        <f t="shared" si="12"/>
        <v>27972.776513221186</v>
      </c>
      <c r="AR141" s="4">
        <f>Table60[[#This Row],[Cumulative Investments]]-monthly_mortgage_schedule[[#This Row],[Cumulative Extra Payments Towards Equity]]</f>
        <v>7472.7765132211862</v>
      </c>
    </row>
    <row r="142" spans="9:44" x14ac:dyDescent="0.25">
      <c r="I142">
        <v>125</v>
      </c>
      <c r="J142">
        <f>IF(MOD(ROWS($J$18:J141),12)=0,J141+1,J141)</f>
        <v>2032</v>
      </c>
      <c r="K142" s="198">
        <f>IF(M142="#N/A",NA(),monthly_mortgage_schedule[[#This Row],[Month]])</f>
        <v>125</v>
      </c>
      <c r="L142" s="198">
        <f>IF(monthly_mortgage_schedule[[#This Row],[Calendar Year]]&gt;=$C$7,monthly_mortgage_schedule[[#This Row],[Calendar Year]],NA())</f>
        <v>2032</v>
      </c>
      <c r="M142" s="199">
        <f>IF((monthly_mortgage_schedule[[#This Row],[Calendar Year]]&gt;=$C$7)*(monthly_mortgage_schedule[[#This Row],[Calendar Year]]&lt;=$C$9),monthly_mortgage_schedule[[#This Row],[Begin Year (Range)]],NA())</f>
        <v>2032</v>
      </c>
      <c r="N142" s="214">
        <f>IF((monthly_mortgage_schedule[[#This Row],[Year (Range)]]&gt;=$C$7)*(monthly_mortgage_schedule[[#This Row],[Year (Range)]]&lt;=$C$9),X142,NA())</f>
        <v>1948.9588634725526</v>
      </c>
      <c r="O142" s="214">
        <f>IF((monthly_mortgage_schedule[[#This Row],[Year (Range)]]&gt;=$C$7)*(monthly_mortgage_schedule[[#This Row],[Year (Range)]]&lt;=$C$9),Y142,NA())</f>
        <v>1151.0676319908555</v>
      </c>
      <c r="P142" s="214">
        <f>IF((monthly_mortgage_schedule[[#This Row],[Year (Range)]]&gt;=$C$7)*(monthly_mortgage_schedule[[#This Row],[Year (Range)]]&lt;=$C$9),AG142,NA())</f>
        <v>2066.848860285013</v>
      </c>
      <c r="Q142" s="214">
        <f>IF((monthly_mortgage_schedule[[#This Row],[Year (Range)]]&gt;=$C$7)*(monthly_mortgage_schedule[[#This Row],[Year (Range)]]&lt;=$C$9),AH142,NA())</f>
        <v>1033.1776351783951</v>
      </c>
      <c r="R142" s="214">
        <f>IF((monthly_mortgage_schedule[[#This Row],[Year (Range)]]&gt;=$C$7)*(monthly_mortgage_schedule[[#This Row],[Year (Range)]]&lt;=$C$9),AO142,NA())</f>
        <v>4880.032170911054</v>
      </c>
      <c r="S142" s="214">
        <f>IF((monthly_mortgage_schedule[[#This Row],[Year (Range)]]&gt;=$C$7)*(monthly_mortgage_schedule[[#This Row],[Year (Range)]]&lt;=$C$9),AP142,NA())</f>
        <v>990</v>
      </c>
      <c r="T142" s="214">
        <f>IF((monthly_mortgage_schedule[[#This Row],[Year (Range)]]&gt;=$C$7)*(monthly_mortgage_schedule[[#This Row],[Year (Range)]]&lt;=$C$9),AR142,NA())</f>
        <v>7659.2616899759923</v>
      </c>
      <c r="U142" s="214">
        <f>IF((monthly_mortgage_schedule[[#This Row],[Year (Range)]]&gt;=$C$7)*(monthly_mortgage_schedule[[#This Row],[Year (Range)]]&lt;=$C$9),AB142,NA())</f>
        <v>123517.02545930097</v>
      </c>
      <c r="V142" s="214">
        <f>IF((monthly_mortgage_schedule[[#This Row],[Year (Range)]]&gt;=$C$7)*(monthly_mortgage_schedule[[#This Row],[Year (Range)]]&lt;=$C$9),AI142,NA())</f>
        <v>98136.993288389931</v>
      </c>
      <c r="W142" s="187">
        <f t="shared" si="10"/>
        <v>417634.04217268981</v>
      </c>
      <c r="X142" s="4">
        <f t="shared" si="13"/>
        <v>1948.9588634725526</v>
      </c>
      <c r="Y142" s="4">
        <f t="shared" si="11"/>
        <v>1151.0676319908555</v>
      </c>
      <c r="Z142" s="4">
        <f>_xlfn.IFNA(INDEX(additional_mortgage_payments[],MATCH(monthly_mortgage_schedule[[#This Row],[Month]],additional_mortgage_payments[Month],0),3),0)</f>
        <v>0</v>
      </c>
      <c r="AA142" s="4">
        <f>AA141+monthly_mortgage_schedule[[#This Row],[Extra Payments Towards Equity]]</f>
        <v>20500</v>
      </c>
      <c r="AB142" s="4">
        <f>AB141+monthly_mortgage_schedule[[#This Row],[Principal With Extra Principal Payments]]+monthly_mortgage_schedule[[#This Row],[Extra Payments Towards Equity]]</f>
        <v>123517.02545930097</v>
      </c>
      <c r="AC142" s="4">
        <f>monthly_mortgage_schedule[[#This Row],[Cumulative Principal With Extra Principal Payments]]+down_payment_dollars</f>
        <v>183517.02545930096</v>
      </c>
      <c r="AD142" s="200">
        <f t="shared" si="8"/>
        <v>0</v>
      </c>
      <c r="AE14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416482.97454069892</v>
      </c>
      <c r="AF142" s="187">
        <f t="shared" si="14"/>
        <v>442896.18434678845</v>
      </c>
      <c r="AG142" s="4">
        <f>IF(monthly_mortgage_schedule[[#This Row],[Loan Balance (BOY) Without Extra Principal Payments]]&gt;0,monthly_mortgage_schedule[[#This Row],[Loan Balance (BOY) Without Extra Principal Payments]]*monthly_interest_rate,0)</f>
        <v>2066.848860285013</v>
      </c>
      <c r="AH142" s="4">
        <f>IF(monthly_mortgage_schedule[[#This Row],[Loan Balance (BOY) Without Extra Principal Payments]]&gt;1,monthly_principal_and_interest-monthly_mortgage_schedule[[#This Row],[Interest Without Extra Principal Payments]],0)</f>
        <v>1033.1776351783951</v>
      </c>
      <c r="AI142" s="4">
        <f>AI141+monthly_mortgage_schedule[[#This Row],[Principal Without Extra Principal Payments]]</f>
        <v>98136.993288389931</v>
      </c>
      <c r="AJ142" s="4">
        <f>monthly_mortgage_schedule[[#This Row],[Cumulative Principal Without Extra Principal Payments]]+down_payment_dollars</f>
        <v>158136.99328838993</v>
      </c>
      <c r="AK142" s="200">
        <f t="shared" si="9"/>
        <v>0</v>
      </c>
      <c r="AL14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441863.00671161007</v>
      </c>
      <c r="AN142" s="196">
        <f>monthly_mortgage_schedule[[#This Row],[Extra Payments Towards Equity]]+AN141+IF(monthly_mortgage_schedule[[#This Row],[Interest With Extra Principal Payments]]&gt;0,monthly_mortgage_schedule[[#This Row],[Interest Without Extra Principal Payments]]-monthly_mortgage_schedule[[#This Row],[Interest With Extra Principal Payments]],0)</f>
        <v>25380.032170911061</v>
      </c>
      <c r="AO142" s="4">
        <f>AO141+IF(monthly_mortgage_schedule[[#This Row],[Interest With Extra Principal Payments]]&gt;0,monthly_mortgage_schedule[[#This Row],[Interest Without Extra Principal Payments]]-monthly_mortgage_schedule[[#This Row],[Interest With Extra Principal Payments]],0)</f>
        <v>4880.032170911054</v>
      </c>
      <c r="AP142" s="4">
        <f>AP141+monthly_mortgage_schedule[[#This Row],[PMI Without Extra Principal Payments]]-monthly_mortgage_schedule[[#This Row],[PMI with Additional Payments]]</f>
        <v>990</v>
      </c>
      <c r="AQ142" s="4">
        <f t="shared" si="12"/>
        <v>28159.261689975992</v>
      </c>
      <c r="AR142" s="4">
        <f>Table60[[#This Row],[Cumulative Investments]]-monthly_mortgage_schedule[[#This Row],[Cumulative Extra Payments Towards Equity]]</f>
        <v>7659.2616899759923</v>
      </c>
    </row>
    <row r="143" spans="9:44" x14ac:dyDescent="0.25">
      <c r="I143">
        <v>126</v>
      </c>
      <c r="J143">
        <f>IF(MOD(ROWS($J$18:J142),12)=0,J142+1,J142)</f>
        <v>2032</v>
      </c>
      <c r="K143" s="198">
        <f>IF(M143="#N/A",NA(),monthly_mortgage_schedule[[#This Row],[Month]])</f>
        <v>126</v>
      </c>
      <c r="L143" s="198">
        <f>IF(monthly_mortgage_schedule[[#This Row],[Calendar Year]]&gt;=$C$7,monthly_mortgage_schedule[[#This Row],[Calendar Year]],NA())</f>
        <v>2032</v>
      </c>
      <c r="M143" s="199">
        <f>IF((monthly_mortgage_schedule[[#This Row],[Calendar Year]]&gt;=$C$7)*(monthly_mortgage_schedule[[#This Row],[Calendar Year]]&lt;=$C$9),monthly_mortgage_schedule[[#This Row],[Begin Year (Range)]],NA())</f>
        <v>2032</v>
      </c>
      <c r="N143" s="214">
        <f>IF((monthly_mortgage_schedule[[#This Row],[Year (Range)]]&gt;=$C$7)*(monthly_mortgage_schedule[[#This Row],[Year (Range)]]&lt;=$C$9),X143,NA())</f>
        <v>1943.5872145232618</v>
      </c>
      <c r="O143" s="214">
        <f>IF((monthly_mortgage_schedule[[#This Row],[Year (Range)]]&gt;=$C$7)*(monthly_mortgage_schedule[[#This Row],[Year (Range)]]&lt;=$C$9),Y143,NA())</f>
        <v>1156.4392809401463</v>
      </c>
      <c r="P143" s="214">
        <f>IF((monthly_mortgage_schedule[[#This Row],[Year (Range)]]&gt;=$C$7)*(monthly_mortgage_schedule[[#This Row],[Year (Range)]]&lt;=$C$9),AG143,NA())</f>
        <v>2062.0273646541805</v>
      </c>
      <c r="Q143" s="214">
        <f>IF((monthly_mortgage_schedule[[#This Row],[Year (Range)]]&gt;=$C$7)*(monthly_mortgage_schedule[[#This Row],[Year (Range)]]&lt;=$C$9),AH143,NA())</f>
        <v>1037.9991308092276</v>
      </c>
      <c r="R143" s="214">
        <f>IF((monthly_mortgage_schedule[[#This Row],[Year (Range)]]&gt;=$C$7)*(monthly_mortgage_schedule[[#This Row],[Year (Range)]]&lt;=$C$9),AO143,NA())</f>
        <v>4998.4723210419725</v>
      </c>
      <c r="S143" s="214">
        <f>IF((monthly_mortgage_schedule[[#This Row],[Year (Range)]]&gt;=$C$7)*(monthly_mortgage_schedule[[#This Row],[Year (Range)]]&lt;=$C$9),AP143,NA())</f>
        <v>990</v>
      </c>
      <c r="T143" s="214">
        <f>IF((monthly_mortgage_schedule[[#This Row],[Year (Range)]]&gt;=$C$7)*(monthly_mortgage_schedule[[#This Row],[Year (Range)]]&lt;=$C$9),AR143,NA())</f>
        <v>7846.9901012424962</v>
      </c>
      <c r="U143" s="214">
        <f>IF((monthly_mortgage_schedule[[#This Row],[Year (Range)]]&gt;=$C$7)*(monthly_mortgage_schedule[[#This Row],[Year (Range)]]&lt;=$C$9),AB143,NA())</f>
        <v>124673.46474024112</v>
      </c>
      <c r="V143" s="214">
        <f>IF((monthly_mortgage_schedule[[#This Row],[Year (Range)]]&gt;=$C$7)*(monthly_mortgage_schedule[[#This Row],[Year (Range)]]&lt;=$C$9),AI143,NA())</f>
        <v>99174.992419199159</v>
      </c>
      <c r="W143" s="187">
        <f t="shared" si="10"/>
        <v>416482.97454069892</v>
      </c>
      <c r="X143" s="4">
        <f t="shared" si="13"/>
        <v>1943.5872145232618</v>
      </c>
      <c r="Y143" s="4">
        <f t="shared" si="11"/>
        <v>1156.4392809401463</v>
      </c>
      <c r="Z143" s="4">
        <f>_xlfn.IFNA(INDEX(additional_mortgage_payments[],MATCH(monthly_mortgage_schedule[[#This Row],[Month]],additional_mortgage_payments[Month],0),3),0)</f>
        <v>0</v>
      </c>
      <c r="AA143" s="4">
        <f>AA142+monthly_mortgage_schedule[[#This Row],[Extra Payments Towards Equity]]</f>
        <v>20500</v>
      </c>
      <c r="AB143" s="4">
        <f>AB142+monthly_mortgage_schedule[[#This Row],[Principal With Extra Principal Payments]]+monthly_mortgage_schedule[[#This Row],[Extra Payments Towards Equity]]</f>
        <v>124673.46474024112</v>
      </c>
      <c r="AC143" s="4">
        <f>monthly_mortgage_schedule[[#This Row],[Cumulative Principal With Extra Principal Payments]]+down_payment_dollars</f>
        <v>184673.46474024112</v>
      </c>
      <c r="AD143" s="200">
        <f t="shared" si="8"/>
        <v>0</v>
      </c>
      <c r="AE14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415326.53525975876</v>
      </c>
      <c r="AF143" s="187">
        <f t="shared" si="14"/>
        <v>441863.00671161007</v>
      </c>
      <c r="AG143" s="4">
        <f>IF(monthly_mortgage_schedule[[#This Row],[Loan Balance (BOY) Without Extra Principal Payments]]&gt;0,monthly_mortgage_schedule[[#This Row],[Loan Balance (BOY) Without Extra Principal Payments]]*monthly_interest_rate,0)</f>
        <v>2062.0273646541805</v>
      </c>
      <c r="AH143" s="4">
        <f>IF(monthly_mortgage_schedule[[#This Row],[Loan Balance (BOY) Without Extra Principal Payments]]&gt;1,monthly_principal_and_interest-monthly_mortgage_schedule[[#This Row],[Interest Without Extra Principal Payments]],0)</f>
        <v>1037.9991308092276</v>
      </c>
      <c r="AI143" s="4">
        <f>AI142+monthly_mortgage_schedule[[#This Row],[Principal Without Extra Principal Payments]]</f>
        <v>99174.992419199159</v>
      </c>
      <c r="AJ143" s="4">
        <f>monthly_mortgage_schedule[[#This Row],[Cumulative Principal Without Extra Principal Payments]]+down_payment_dollars</f>
        <v>159174.99241919914</v>
      </c>
      <c r="AK143" s="200">
        <f t="shared" si="9"/>
        <v>0</v>
      </c>
      <c r="AL14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440825.00758080086</v>
      </c>
      <c r="AN143" s="196">
        <f>monthly_mortgage_schedule[[#This Row],[Extra Payments Towards Equity]]+AN142+IF(monthly_mortgage_schedule[[#This Row],[Interest With Extra Principal Payments]]&gt;0,monthly_mortgage_schedule[[#This Row],[Interest Without Extra Principal Payments]]-monthly_mortgage_schedule[[#This Row],[Interest With Extra Principal Payments]],0)</f>
        <v>25498.47232104198</v>
      </c>
      <c r="AO143" s="4">
        <f>AO142+IF(monthly_mortgage_schedule[[#This Row],[Interest With Extra Principal Payments]]&gt;0,monthly_mortgage_schedule[[#This Row],[Interest Without Extra Principal Payments]]-monthly_mortgage_schedule[[#This Row],[Interest With Extra Principal Payments]],0)</f>
        <v>4998.4723210419725</v>
      </c>
      <c r="AP143" s="4">
        <f>AP142+monthly_mortgage_schedule[[#This Row],[PMI Without Extra Principal Payments]]-monthly_mortgage_schedule[[#This Row],[PMI with Additional Payments]]</f>
        <v>990</v>
      </c>
      <c r="AQ143" s="4">
        <f t="shared" si="12"/>
        <v>28346.990101242496</v>
      </c>
      <c r="AR143" s="4">
        <f>Table60[[#This Row],[Cumulative Investments]]-monthly_mortgage_schedule[[#This Row],[Cumulative Extra Payments Towards Equity]]</f>
        <v>7846.9901012424962</v>
      </c>
    </row>
    <row r="144" spans="9:44" x14ac:dyDescent="0.25">
      <c r="I144">
        <v>127</v>
      </c>
      <c r="J144">
        <f>IF(MOD(ROWS($J$18:J143),12)=0,J143+1,J143)</f>
        <v>2032</v>
      </c>
      <c r="K144" s="198">
        <f>IF(M144="#N/A",NA(),monthly_mortgage_schedule[[#This Row],[Month]])</f>
        <v>127</v>
      </c>
      <c r="L144" s="198">
        <f>IF(monthly_mortgage_schedule[[#This Row],[Calendar Year]]&gt;=$C$7,monthly_mortgage_schedule[[#This Row],[Calendar Year]],NA())</f>
        <v>2032</v>
      </c>
      <c r="M144" s="199">
        <f>IF((monthly_mortgage_schedule[[#This Row],[Calendar Year]]&gt;=$C$7)*(monthly_mortgage_schedule[[#This Row],[Calendar Year]]&lt;=$C$9),monthly_mortgage_schedule[[#This Row],[Begin Year (Range)]],NA())</f>
        <v>2032</v>
      </c>
      <c r="N144" s="214">
        <f>IF((monthly_mortgage_schedule[[#This Row],[Year (Range)]]&gt;=$C$7)*(monthly_mortgage_schedule[[#This Row],[Year (Range)]]&lt;=$C$9),X144,NA())</f>
        <v>1938.1904978788743</v>
      </c>
      <c r="O144" s="214">
        <f>IF((monthly_mortgage_schedule[[#This Row],[Year (Range)]]&gt;=$C$7)*(monthly_mortgage_schedule[[#This Row],[Year (Range)]]&lt;=$C$9),Y144,NA())</f>
        <v>1161.8359975845337</v>
      </c>
      <c r="P144" s="214">
        <f>IF((monthly_mortgage_schedule[[#This Row],[Year (Range)]]&gt;=$C$7)*(monthly_mortgage_schedule[[#This Row],[Year (Range)]]&lt;=$C$9),AG144,NA())</f>
        <v>2057.183368710404</v>
      </c>
      <c r="Q144" s="214">
        <f>IF((monthly_mortgage_schedule[[#This Row],[Year (Range)]]&gt;=$C$7)*(monthly_mortgage_schedule[[#This Row],[Year (Range)]]&lt;=$C$9),AH144,NA())</f>
        <v>1042.8431267530041</v>
      </c>
      <c r="R144" s="214">
        <f>IF((monthly_mortgage_schedule[[#This Row],[Year (Range)]]&gt;=$C$7)*(monthly_mortgage_schedule[[#This Row],[Year (Range)]]&lt;=$C$9),AO144,NA())</f>
        <v>5117.4651918735017</v>
      </c>
      <c r="S144" s="214">
        <f>IF((monthly_mortgage_schedule[[#This Row],[Year (Range)]]&gt;=$C$7)*(monthly_mortgage_schedule[[#This Row],[Year (Range)]]&lt;=$C$9),AP144,NA())</f>
        <v>990</v>
      </c>
      <c r="T144" s="214">
        <f>IF((monthly_mortgage_schedule[[#This Row],[Year (Range)]]&gt;=$C$7)*(monthly_mortgage_schedule[[#This Row],[Year (Range)]]&lt;=$C$9),AR144,NA())</f>
        <v>8035.9700352507789</v>
      </c>
      <c r="U144" s="214">
        <f>IF((monthly_mortgage_schedule[[#This Row],[Year (Range)]]&gt;=$C$7)*(monthly_mortgage_schedule[[#This Row],[Year (Range)]]&lt;=$C$9),AB144,NA())</f>
        <v>125835.30073782566</v>
      </c>
      <c r="V144" s="214">
        <f>IF((monthly_mortgage_schedule[[#This Row],[Year (Range)]]&gt;=$C$7)*(monthly_mortgage_schedule[[#This Row],[Year (Range)]]&lt;=$C$9),AI144,NA())</f>
        <v>100217.83554595217</v>
      </c>
      <c r="W144" s="187">
        <f t="shared" si="10"/>
        <v>415326.53525975876</v>
      </c>
      <c r="X144" s="4">
        <f t="shared" si="13"/>
        <v>1938.1904978788743</v>
      </c>
      <c r="Y144" s="4">
        <f t="shared" si="11"/>
        <v>1161.8359975845337</v>
      </c>
      <c r="Z144" s="4">
        <f>_xlfn.IFNA(INDEX(additional_mortgage_payments[],MATCH(monthly_mortgage_schedule[[#This Row],[Month]],additional_mortgage_payments[Month],0),3),0)</f>
        <v>0</v>
      </c>
      <c r="AA144" s="4">
        <f>AA143+monthly_mortgage_schedule[[#This Row],[Extra Payments Towards Equity]]</f>
        <v>20500</v>
      </c>
      <c r="AB144" s="4">
        <f>AB143+monthly_mortgage_schedule[[#This Row],[Principal With Extra Principal Payments]]+monthly_mortgage_schedule[[#This Row],[Extra Payments Towards Equity]]</f>
        <v>125835.30073782566</v>
      </c>
      <c r="AC144" s="4">
        <f>monthly_mortgage_schedule[[#This Row],[Cumulative Principal With Extra Principal Payments]]+down_payment_dollars</f>
        <v>185835.30073782566</v>
      </c>
      <c r="AD144" s="200">
        <f t="shared" si="8"/>
        <v>0</v>
      </c>
      <c r="AE14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414164.69926217425</v>
      </c>
      <c r="AF144" s="187">
        <f t="shared" si="14"/>
        <v>440825.00758080086</v>
      </c>
      <c r="AG144" s="4">
        <f>IF(monthly_mortgage_schedule[[#This Row],[Loan Balance (BOY) Without Extra Principal Payments]]&gt;0,monthly_mortgage_schedule[[#This Row],[Loan Balance (BOY) Without Extra Principal Payments]]*monthly_interest_rate,0)</f>
        <v>2057.183368710404</v>
      </c>
      <c r="AH144" s="4">
        <f>IF(monthly_mortgage_schedule[[#This Row],[Loan Balance (BOY) Without Extra Principal Payments]]&gt;1,monthly_principal_and_interest-monthly_mortgage_schedule[[#This Row],[Interest Without Extra Principal Payments]],0)</f>
        <v>1042.8431267530041</v>
      </c>
      <c r="AI144" s="4">
        <f>AI143+monthly_mortgage_schedule[[#This Row],[Principal Without Extra Principal Payments]]</f>
        <v>100217.83554595217</v>
      </c>
      <c r="AJ144" s="4">
        <f>monthly_mortgage_schedule[[#This Row],[Cumulative Principal Without Extra Principal Payments]]+down_payment_dollars</f>
        <v>160217.83554595217</v>
      </c>
      <c r="AK144" s="200">
        <f t="shared" si="9"/>
        <v>0</v>
      </c>
      <c r="AL14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439782.16445404786</v>
      </c>
      <c r="AN144" s="196">
        <f>monthly_mortgage_schedule[[#This Row],[Extra Payments Towards Equity]]+AN143+IF(monthly_mortgage_schedule[[#This Row],[Interest With Extra Principal Payments]]&gt;0,monthly_mortgage_schedule[[#This Row],[Interest Without Extra Principal Payments]]-monthly_mortgage_schedule[[#This Row],[Interest With Extra Principal Payments]],0)</f>
        <v>25617.465191873511</v>
      </c>
      <c r="AO144" s="4">
        <f>AO143+IF(monthly_mortgage_schedule[[#This Row],[Interest With Extra Principal Payments]]&gt;0,monthly_mortgage_schedule[[#This Row],[Interest Without Extra Principal Payments]]-monthly_mortgage_schedule[[#This Row],[Interest With Extra Principal Payments]],0)</f>
        <v>5117.4651918735017</v>
      </c>
      <c r="AP144" s="4">
        <f>AP143+monthly_mortgage_schedule[[#This Row],[PMI Without Extra Principal Payments]]-monthly_mortgage_schedule[[#This Row],[PMI with Additional Payments]]</f>
        <v>990</v>
      </c>
      <c r="AQ144" s="4">
        <f t="shared" si="12"/>
        <v>28535.970035250779</v>
      </c>
      <c r="AR144" s="4">
        <f>Table60[[#This Row],[Cumulative Investments]]-monthly_mortgage_schedule[[#This Row],[Cumulative Extra Payments Towards Equity]]</f>
        <v>8035.9700352507789</v>
      </c>
    </row>
    <row r="145" spans="9:44" x14ac:dyDescent="0.25">
      <c r="I145">
        <v>128</v>
      </c>
      <c r="J145">
        <f>IF(MOD(ROWS($J$18:J144),12)=0,J144+1,J144)</f>
        <v>2032</v>
      </c>
      <c r="K145" s="198">
        <f>IF(M145="#N/A",NA(),monthly_mortgage_schedule[[#This Row],[Month]])</f>
        <v>128</v>
      </c>
      <c r="L145" s="198">
        <f>IF(monthly_mortgage_schedule[[#This Row],[Calendar Year]]&gt;=$C$7,monthly_mortgage_schedule[[#This Row],[Calendar Year]],NA())</f>
        <v>2032</v>
      </c>
      <c r="M145" s="199">
        <f>IF((monthly_mortgage_schedule[[#This Row],[Calendar Year]]&gt;=$C$7)*(monthly_mortgage_schedule[[#This Row],[Calendar Year]]&lt;=$C$9),monthly_mortgage_schedule[[#This Row],[Begin Year (Range)]],NA())</f>
        <v>2032</v>
      </c>
      <c r="N145" s="214">
        <f>IF((monthly_mortgage_schedule[[#This Row],[Year (Range)]]&gt;=$C$7)*(monthly_mortgage_schedule[[#This Row],[Year (Range)]]&lt;=$C$9),X145,NA())</f>
        <v>1932.7685965568132</v>
      </c>
      <c r="O145" s="214">
        <f>IF((monthly_mortgage_schedule[[#This Row],[Year (Range)]]&gt;=$C$7)*(monthly_mortgage_schedule[[#This Row],[Year (Range)]]&lt;=$C$9),Y145,NA())</f>
        <v>1167.2578989065948</v>
      </c>
      <c r="P145" s="214">
        <f>IF((monthly_mortgage_schedule[[#This Row],[Year (Range)]]&gt;=$C$7)*(monthly_mortgage_schedule[[#This Row],[Year (Range)]]&lt;=$C$9),AG145,NA())</f>
        <v>2052.3167674522233</v>
      </c>
      <c r="Q145" s="214">
        <f>IF((monthly_mortgage_schedule[[#This Row],[Year (Range)]]&gt;=$C$7)*(monthly_mortgage_schedule[[#This Row],[Year (Range)]]&lt;=$C$9),AH145,NA())</f>
        <v>1047.7097280111848</v>
      </c>
      <c r="R145" s="214">
        <f>IF((monthly_mortgage_schedule[[#This Row],[Year (Range)]]&gt;=$C$7)*(monthly_mortgage_schedule[[#This Row],[Year (Range)]]&lt;=$C$9),AO145,NA())</f>
        <v>5237.013362768912</v>
      </c>
      <c r="S145" s="214">
        <f>IF((monthly_mortgage_schedule[[#This Row],[Year (Range)]]&gt;=$C$7)*(monthly_mortgage_schedule[[#This Row],[Year (Range)]]&lt;=$C$9),AP145,NA())</f>
        <v>990</v>
      </c>
      <c r="T145" s="214">
        <f>IF((monthly_mortgage_schedule[[#This Row],[Year (Range)]]&gt;=$C$7)*(monthly_mortgage_schedule[[#This Row],[Year (Range)]]&lt;=$C$9),AR145,NA())</f>
        <v>8226.2098354857808</v>
      </c>
      <c r="U145" s="214">
        <f>IF((monthly_mortgage_schedule[[#This Row],[Year (Range)]]&gt;=$C$7)*(monthly_mortgage_schedule[[#This Row],[Year (Range)]]&lt;=$C$9),AB145,NA())</f>
        <v>127002.55863673225</v>
      </c>
      <c r="V145" s="214">
        <f>IF((monthly_mortgage_schedule[[#This Row],[Year (Range)]]&gt;=$C$7)*(monthly_mortgage_schedule[[#This Row],[Year (Range)]]&lt;=$C$9),AI145,NA())</f>
        <v>101265.54527396336</v>
      </c>
      <c r="W145" s="187">
        <f t="shared" si="10"/>
        <v>414164.69926217425</v>
      </c>
      <c r="X145" s="4">
        <f t="shared" si="13"/>
        <v>1932.7685965568132</v>
      </c>
      <c r="Y145" s="4">
        <f t="shared" si="11"/>
        <v>1167.2578989065948</v>
      </c>
      <c r="Z145" s="4">
        <f>_xlfn.IFNA(INDEX(additional_mortgage_payments[],MATCH(monthly_mortgage_schedule[[#This Row],[Month]],additional_mortgage_payments[Month],0),3),0)</f>
        <v>0</v>
      </c>
      <c r="AA145" s="4">
        <f>AA144+monthly_mortgage_schedule[[#This Row],[Extra Payments Towards Equity]]</f>
        <v>20500</v>
      </c>
      <c r="AB145" s="4">
        <f>AB144+monthly_mortgage_schedule[[#This Row],[Principal With Extra Principal Payments]]+monthly_mortgage_schedule[[#This Row],[Extra Payments Towards Equity]]</f>
        <v>127002.55863673225</v>
      </c>
      <c r="AC145" s="4">
        <f>monthly_mortgage_schedule[[#This Row],[Cumulative Principal With Extra Principal Payments]]+down_payment_dollars</f>
        <v>187002.55863673225</v>
      </c>
      <c r="AD145" s="200">
        <f t="shared" si="8"/>
        <v>0</v>
      </c>
      <c r="AE14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412997.44136326766</v>
      </c>
      <c r="AF145" s="187">
        <f t="shared" si="14"/>
        <v>439782.16445404786</v>
      </c>
      <c r="AG145" s="4">
        <f>IF(monthly_mortgage_schedule[[#This Row],[Loan Balance (BOY) Without Extra Principal Payments]]&gt;0,monthly_mortgage_schedule[[#This Row],[Loan Balance (BOY) Without Extra Principal Payments]]*monthly_interest_rate,0)</f>
        <v>2052.3167674522233</v>
      </c>
      <c r="AH145" s="4">
        <f>IF(monthly_mortgage_schedule[[#This Row],[Loan Balance (BOY) Without Extra Principal Payments]]&gt;1,monthly_principal_and_interest-monthly_mortgage_schedule[[#This Row],[Interest Without Extra Principal Payments]],0)</f>
        <v>1047.7097280111848</v>
      </c>
      <c r="AI145" s="4">
        <f>AI144+monthly_mortgage_schedule[[#This Row],[Principal Without Extra Principal Payments]]</f>
        <v>101265.54527396336</v>
      </c>
      <c r="AJ145" s="4">
        <f>monthly_mortgage_schedule[[#This Row],[Cumulative Principal Without Extra Principal Payments]]+down_payment_dollars</f>
        <v>161265.54527396336</v>
      </c>
      <c r="AK145" s="200">
        <f t="shared" si="9"/>
        <v>0</v>
      </c>
      <c r="AL14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438734.4547260367</v>
      </c>
      <c r="AN145" s="196">
        <f>monthly_mortgage_schedule[[#This Row],[Extra Payments Towards Equity]]+AN144+IF(monthly_mortgage_schedule[[#This Row],[Interest With Extra Principal Payments]]&gt;0,monthly_mortgage_schedule[[#This Row],[Interest Without Extra Principal Payments]]-monthly_mortgage_schedule[[#This Row],[Interest With Extra Principal Payments]],0)</f>
        <v>25737.013362768921</v>
      </c>
      <c r="AO145" s="4">
        <f>AO144+IF(monthly_mortgage_schedule[[#This Row],[Interest With Extra Principal Payments]]&gt;0,monthly_mortgage_schedule[[#This Row],[Interest Without Extra Principal Payments]]-monthly_mortgage_schedule[[#This Row],[Interest With Extra Principal Payments]],0)</f>
        <v>5237.013362768912</v>
      </c>
      <c r="AP145" s="4">
        <f>AP144+monthly_mortgage_schedule[[#This Row],[PMI Without Extra Principal Payments]]-monthly_mortgage_schedule[[#This Row],[PMI with Additional Payments]]</f>
        <v>990</v>
      </c>
      <c r="AQ145" s="4">
        <f t="shared" si="12"/>
        <v>28726.209835485781</v>
      </c>
      <c r="AR145" s="4">
        <f>Table60[[#This Row],[Cumulative Investments]]-monthly_mortgage_schedule[[#This Row],[Cumulative Extra Payments Towards Equity]]</f>
        <v>8226.2098354857808</v>
      </c>
    </row>
    <row r="146" spans="9:44" x14ac:dyDescent="0.25">
      <c r="I146">
        <v>129</v>
      </c>
      <c r="J146">
        <f>IF(MOD(ROWS($J$18:J145),12)=0,J145+1,J145)</f>
        <v>2032</v>
      </c>
      <c r="K146" s="198">
        <f>IF(M146="#N/A",NA(),monthly_mortgage_schedule[[#This Row],[Month]])</f>
        <v>129</v>
      </c>
      <c r="L146" s="198">
        <f>IF(monthly_mortgage_schedule[[#This Row],[Calendar Year]]&gt;=$C$7,monthly_mortgage_schedule[[#This Row],[Calendar Year]],NA())</f>
        <v>2032</v>
      </c>
      <c r="M146" s="199">
        <f>IF((monthly_mortgage_schedule[[#This Row],[Calendar Year]]&gt;=$C$7)*(monthly_mortgage_schedule[[#This Row],[Calendar Year]]&lt;=$C$9),monthly_mortgage_schedule[[#This Row],[Begin Year (Range)]],NA())</f>
        <v>2032</v>
      </c>
      <c r="N146" s="214">
        <f>IF((monthly_mortgage_schedule[[#This Row],[Year (Range)]]&gt;=$C$7)*(monthly_mortgage_schedule[[#This Row],[Year (Range)]]&lt;=$C$9),X146,NA())</f>
        <v>1927.3213930285826</v>
      </c>
      <c r="O146" s="214">
        <f>IF((monthly_mortgage_schedule[[#This Row],[Year (Range)]]&gt;=$C$7)*(monthly_mortgage_schedule[[#This Row],[Year (Range)]]&lt;=$C$9),Y146,NA())</f>
        <v>1172.7051024348254</v>
      </c>
      <c r="P146" s="214">
        <f>IF((monthly_mortgage_schedule[[#This Row],[Year (Range)]]&gt;=$C$7)*(monthly_mortgage_schedule[[#This Row],[Year (Range)]]&lt;=$C$9),AG146,NA())</f>
        <v>2047.4274553881714</v>
      </c>
      <c r="Q146" s="214">
        <f>IF((monthly_mortgage_schedule[[#This Row],[Year (Range)]]&gt;=$C$7)*(monthly_mortgage_schedule[[#This Row],[Year (Range)]]&lt;=$C$9),AH146,NA())</f>
        <v>1052.5990400752366</v>
      </c>
      <c r="R146" s="214">
        <f>IF((monthly_mortgage_schedule[[#This Row],[Year (Range)]]&gt;=$C$7)*(monthly_mortgage_schedule[[#This Row],[Year (Range)]]&lt;=$C$9),AO146,NA())</f>
        <v>5357.1194251285006</v>
      </c>
      <c r="S146" s="214">
        <f>IF((monthly_mortgage_schedule[[#This Row],[Year (Range)]]&gt;=$C$7)*(monthly_mortgage_schedule[[#This Row],[Year (Range)]]&lt;=$C$9),AP146,NA())</f>
        <v>990</v>
      </c>
      <c r="T146" s="214">
        <f>IF((monthly_mortgage_schedule[[#This Row],[Year (Range)]]&gt;=$C$7)*(monthly_mortgage_schedule[[#This Row],[Year (Range)]]&lt;=$C$9),AR146,NA())</f>
        <v>8417.7179010556829</v>
      </c>
      <c r="U146" s="214">
        <f>IF((monthly_mortgage_schedule[[#This Row],[Year (Range)]]&gt;=$C$7)*(monthly_mortgage_schedule[[#This Row],[Year (Range)]]&lt;=$C$9),AB146,NA())</f>
        <v>128175.26373916707</v>
      </c>
      <c r="V146" s="214">
        <f>IF((monthly_mortgage_schedule[[#This Row],[Year (Range)]]&gt;=$C$7)*(monthly_mortgage_schedule[[#This Row],[Year (Range)]]&lt;=$C$9),AI146,NA())</f>
        <v>102318.1443140386</v>
      </c>
      <c r="W146" s="187">
        <f t="shared" si="10"/>
        <v>412997.44136326766</v>
      </c>
      <c r="X146" s="4">
        <f t="shared" si="13"/>
        <v>1927.3213930285826</v>
      </c>
      <c r="Y146" s="4">
        <f t="shared" si="11"/>
        <v>1172.7051024348254</v>
      </c>
      <c r="Z146" s="4">
        <f>_xlfn.IFNA(INDEX(additional_mortgage_payments[],MATCH(monthly_mortgage_schedule[[#This Row],[Month]],additional_mortgage_payments[Month],0),3),0)</f>
        <v>0</v>
      </c>
      <c r="AA146" s="4">
        <f>AA145+monthly_mortgage_schedule[[#This Row],[Extra Payments Towards Equity]]</f>
        <v>20500</v>
      </c>
      <c r="AB146" s="4">
        <f>AB145+monthly_mortgage_schedule[[#This Row],[Principal With Extra Principal Payments]]+monthly_mortgage_schedule[[#This Row],[Extra Payments Towards Equity]]</f>
        <v>128175.26373916707</v>
      </c>
      <c r="AC146" s="4">
        <f>monthly_mortgage_schedule[[#This Row],[Cumulative Principal With Extra Principal Payments]]+down_payment_dollars</f>
        <v>188175.26373916707</v>
      </c>
      <c r="AD146" s="200">
        <f t="shared" ref="AD146:AD209" si="15">IF((AC146)/purchase_price&lt;pmi_until_percentage_equity,(annual_pmi/12),0)</f>
        <v>0</v>
      </c>
      <c r="AE14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411824.73626083281</v>
      </c>
      <c r="AF146" s="187">
        <f t="shared" si="14"/>
        <v>438734.4547260367</v>
      </c>
      <c r="AG146" s="4">
        <f>IF(monthly_mortgage_schedule[[#This Row],[Loan Balance (BOY) Without Extra Principal Payments]]&gt;0,monthly_mortgage_schedule[[#This Row],[Loan Balance (BOY) Without Extra Principal Payments]]*monthly_interest_rate,0)</f>
        <v>2047.4274553881714</v>
      </c>
      <c r="AH146" s="4">
        <f>IF(monthly_mortgage_schedule[[#This Row],[Loan Balance (BOY) Without Extra Principal Payments]]&gt;1,monthly_principal_and_interest-monthly_mortgage_schedule[[#This Row],[Interest Without Extra Principal Payments]],0)</f>
        <v>1052.5990400752366</v>
      </c>
      <c r="AI146" s="4">
        <f>AI145+monthly_mortgage_schedule[[#This Row],[Principal Without Extra Principal Payments]]</f>
        <v>102318.1443140386</v>
      </c>
      <c r="AJ146" s="4">
        <f>monthly_mortgage_schedule[[#This Row],[Cumulative Principal Without Extra Principal Payments]]+down_payment_dollars</f>
        <v>162318.1443140386</v>
      </c>
      <c r="AK146" s="200">
        <f t="shared" ref="AK146:AK209" si="16">IF((AJ146)/purchase_price&lt;pmi_until_percentage_equity,(annual_pmi/12),0)</f>
        <v>0</v>
      </c>
      <c r="AL14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437681.85568596143</v>
      </c>
      <c r="AN146" s="196">
        <f>monthly_mortgage_schedule[[#This Row],[Extra Payments Towards Equity]]+AN145+IF(monthly_mortgage_schedule[[#This Row],[Interest With Extra Principal Payments]]&gt;0,monthly_mortgage_schedule[[#This Row],[Interest Without Extra Principal Payments]]-monthly_mortgage_schedule[[#This Row],[Interest With Extra Principal Payments]],0)</f>
        <v>25857.119425128509</v>
      </c>
      <c r="AO146" s="4">
        <f>AO145+IF(monthly_mortgage_schedule[[#This Row],[Interest With Extra Principal Payments]]&gt;0,monthly_mortgage_schedule[[#This Row],[Interest Without Extra Principal Payments]]-monthly_mortgage_schedule[[#This Row],[Interest With Extra Principal Payments]],0)</f>
        <v>5357.1194251285006</v>
      </c>
      <c r="AP146" s="4">
        <f>AP145+monthly_mortgage_schedule[[#This Row],[PMI Without Extra Principal Payments]]-monthly_mortgage_schedule[[#This Row],[PMI with Additional Payments]]</f>
        <v>990</v>
      </c>
      <c r="AQ146" s="4">
        <f t="shared" si="12"/>
        <v>28917.717901055683</v>
      </c>
      <c r="AR146" s="4">
        <f>Table60[[#This Row],[Cumulative Investments]]-monthly_mortgage_schedule[[#This Row],[Cumulative Extra Payments Towards Equity]]</f>
        <v>8417.7179010556829</v>
      </c>
    </row>
    <row r="147" spans="9:44" x14ac:dyDescent="0.25">
      <c r="I147">
        <v>130</v>
      </c>
      <c r="J147">
        <f>IF(MOD(ROWS($J$18:J146),12)=0,J146+1,J146)</f>
        <v>2032</v>
      </c>
      <c r="K147" s="198">
        <f>IF(M147="#N/A",NA(),monthly_mortgage_schedule[[#This Row],[Month]])</f>
        <v>130</v>
      </c>
      <c r="L147" s="198">
        <f>IF(monthly_mortgage_schedule[[#This Row],[Calendar Year]]&gt;=$C$7,monthly_mortgage_schedule[[#This Row],[Calendar Year]],NA())</f>
        <v>2032</v>
      </c>
      <c r="M147" s="199">
        <f>IF((monthly_mortgage_schedule[[#This Row],[Calendar Year]]&gt;=$C$7)*(monthly_mortgage_schedule[[#This Row],[Calendar Year]]&lt;=$C$9),monthly_mortgage_schedule[[#This Row],[Begin Year (Range)]],NA())</f>
        <v>2032</v>
      </c>
      <c r="N147" s="214">
        <f>IF((monthly_mortgage_schedule[[#This Row],[Year (Range)]]&gt;=$C$7)*(monthly_mortgage_schedule[[#This Row],[Year (Range)]]&lt;=$C$9),X147,NA())</f>
        <v>1921.84876921722</v>
      </c>
      <c r="O147" s="214">
        <f>IF((monthly_mortgage_schedule[[#This Row],[Year (Range)]]&gt;=$C$7)*(monthly_mortgage_schedule[[#This Row],[Year (Range)]]&lt;=$C$9),Y147,NA())</f>
        <v>1178.1777262461881</v>
      </c>
      <c r="P147" s="214">
        <f>IF((monthly_mortgage_schedule[[#This Row],[Year (Range)]]&gt;=$C$7)*(monthly_mortgage_schedule[[#This Row],[Year (Range)]]&lt;=$C$9),AG147,NA())</f>
        <v>2042.5153265344868</v>
      </c>
      <c r="Q147" s="214">
        <f>IF((monthly_mortgage_schedule[[#This Row],[Year (Range)]]&gt;=$C$7)*(monthly_mortgage_schedule[[#This Row],[Year (Range)]]&lt;=$C$9),AH147,NA())</f>
        <v>1057.5111689289213</v>
      </c>
      <c r="R147" s="214">
        <f>IF((monthly_mortgage_schedule[[#This Row],[Year (Range)]]&gt;=$C$7)*(monthly_mortgage_schedule[[#This Row],[Year (Range)]]&lt;=$C$9),AO147,NA())</f>
        <v>5477.7859824457673</v>
      </c>
      <c r="S147" s="214">
        <f>IF((monthly_mortgage_schedule[[#This Row],[Year (Range)]]&gt;=$C$7)*(monthly_mortgage_schedule[[#This Row],[Year (Range)]]&lt;=$C$9),AP147,NA())</f>
        <v>990</v>
      </c>
      <c r="T147" s="214">
        <f>IF((monthly_mortgage_schedule[[#This Row],[Year (Range)]]&gt;=$C$7)*(monthly_mortgage_schedule[[#This Row],[Year (Range)]]&lt;=$C$9),AR147,NA())</f>
        <v>8613.836020396051</v>
      </c>
      <c r="U147" s="214">
        <f>IF((monthly_mortgage_schedule[[#This Row],[Year (Range)]]&gt;=$C$7)*(monthly_mortgage_schedule[[#This Row],[Year (Range)]]&lt;=$C$9),AB147,NA())</f>
        <v>129853.44146541326</v>
      </c>
      <c r="V147" s="214">
        <f>IF((monthly_mortgage_schedule[[#This Row],[Year (Range)]]&gt;=$C$7)*(monthly_mortgage_schedule[[#This Row],[Year (Range)]]&lt;=$C$9),AI147,NA())</f>
        <v>103375.65548296752</v>
      </c>
      <c r="W147" s="187">
        <f t="shared" ref="W147:W210" si="17">AE146</f>
        <v>411824.73626083281</v>
      </c>
      <c r="X147" s="4">
        <f t="shared" si="13"/>
        <v>1921.84876921722</v>
      </c>
      <c r="Y147" s="4">
        <f t="shared" ref="Y147:Y210" si="18">IF(W147&gt;1,monthly_principal_and_interest-X147,0)</f>
        <v>1178.1777262461881</v>
      </c>
      <c r="Z147" s="4">
        <f>_xlfn.IFNA(INDEX(additional_mortgage_payments[],MATCH(monthly_mortgage_schedule[[#This Row],[Month]],additional_mortgage_payments[Month],0),3),0)</f>
        <v>500</v>
      </c>
      <c r="AA147" s="4">
        <f>AA146+monthly_mortgage_schedule[[#This Row],[Extra Payments Towards Equity]]</f>
        <v>21000</v>
      </c>
      <c r="AB147" s="4">
        <f>AB146+monthly_mortgage_schedule[[#This Row],[Principal With Extra Principal Payments]]+monthly_mortgage_schedule[[#This Row],[Extra Payments Towards Equity]]</f>
        <v>129853.44146541326</v>
      </c>
      <c r="AC147" s="4">
        <f>monthly_mortgage_schedule[[#This Row],[Cumulative Principal With Extra Principal Payments]]+down_payment_dollars</f>
        <v>189853.44146541326</v>
      </c>
      <c r="AD147" s="200">
        <f t="shared" si="15"/>
        <v>0</v>
      </c>
      <c r="AE14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410146.55853458663</v>
      </c>
      <c r="AF147" s="187">
        <f t="shared" si="14"/>
        <v>437681.85568596143</v>
      </c>
      <c r="AG147" s="4">
        <f>IF(monthly_mortgage_schedule[[#This Row],[Loan Balance (BOY) Without Extra Principal Payments]]&gt;0,monthly_mortgage_schedule[[#This Row],[Loan Balance (BOY) Without Extra Principal Payments]]*monthly_interest_rate,0)</f>
        <v>2042.5153265344868</v>
      </c>
      <c r="AH147" s="4">
        <f>IF(monthly_mortgage_schedule[[#This Row],[Loan Balance (BOY) Without Extra Principal Payments]]&gt;1,monthly_principal_and_interest-monthly_mortgage_schedule[[#This Row],[Interest Without Extra Principal Payments]],0)</f>
        <v>1057.5111689289213</v>
      </c>
      <c r="AI147" s="4">
        <f>AI146+monthly_mortgage_schedule[[#This Row],[Principal Without Extra Principal Payments]]</f>
        <v>103375.65548296752</v>
      </c>
      <c r="AJ147" s="4">
        <f>monthly_mortgage_schedule[[#This Row],[Cumulative Principal Without Extra Principal Payments]]+down_payment_dollars</f>
        <v>163375.6554829675</v>
      </c>
      <c r="AK147" s="200">
        <f t="shared" si="16"/>
        <v>0</v>
      </c>
      <c r="AL14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436624.3445170325</v>
      </c>
      <c r="AN147" s="196">
        <f>monthly_mortgage_schedule[[#This Row],[Extra Payments Towards Equity]]+AN146+IF(monthly_mortgage_schedule[[#This Row],[Interest With Extra Principal Payments]]&gt;0,monthly_mortgage_schedule[[#This Row],[Interest Without Extra Principal Payments]]-monthly_mortgage_schedule[[#This Row],[Interest With Extra Principal Payments]],0)</f>
        <v>26477.785982445777</v>
      </c>
      <c r="AO147" s="4">
        <f>AO146+IF(monthly_mortgage_schedule[[#This Row],[Interest With Extra Principal Payments]]&gt;0,monthly_mortgage_schedule[[#This Row],[Interest Without Extra Principal Payments]]-monthly_mortgage_schedule[[#This Row],[Interest With Extra Principal Payments]],0)</f>
        <v>5477.7859824457673</v>
      </c>
      <c r="AP147" s="4">
        <f>AP146+monthly_mortgage_schedule[[#This Row],[PMI Without Extra Principal Payments]]-monthly_mortgage_schedule[[#This Row],[PMI with Additional Payments]]</f>
        <v>990</v>
      </c>
      <c r="AQ147" s="4">
        <f t="shared" ref="AQ147:AQ210" si="19">(AQ146+Z147)*(1+monthly_stock_market_return)</f>
        <v>29613.836020396051</v>
      </c>
      <c r="AR147" s="4">
        <f>Table60[[#This Row],[Cumulative Investments]]-monthly_mortgage_schedule[[#This Row],[Cumulative Extra Payments Towards Equity]]</f>
        <v>8613.836020396051</v>
      </c>
    </row>
    <row r="148" spans="9:44" x14ac:dyDescent="0.25">
      <c r="I148">
        <v>131</v>
      </c>
      <c r="J148">
        <f>IF(MOD(ROWS($J$18:J147),12)=0,J147+1,J147)</f>
        <v>2032</v>
      </c>
      <c r="K148" s="198">
        <f>IF(M148="#N/A",NA(),monthly_mortgage_schedule[[#This Row],[Month]])</f>
        <v>131</v>
      </c>
      <c r="L148" s="198">
        <f>IF(monthly_mortgage_schedule[[#This Row],[Calendar Year]]&gt;=$C$7,monthly_mortgage_schedule[[#This Row],[Calendar Year]],NA())</f>
        <v>2032</v>
      </c>
      <c r="M148" s="199">
        <f>IF((monthly_mortgage_schedule[[#This Row],[Calendar Year]]&gt;=$C$7)*(monthly_mortgage_schedule[[#This Row],[Calendar Year]]&lt;=$C$9),monthly_mortgage_schedule[[#This Row],[Begin Year (Range)]],NA())</f>
        <v>2032</v>
      </c>
      <c r="N148" s="214">
        <f>IF((monthly_mortgage_schedule[[#This Row],[Year (Range)]]&gt;=$C$7)*(monthly_mortgage_schedule[[#This Row],[Year (Range)]]&lt;=$C$9),X148,NA())</f>
        <v>1914.0172731614043</v>
      </c>
      <c r="O148" s="214">
        <f>IF((monthly_mortgage_schedule[[#This Row],[Year (Range)]]&gt;=$C$7)*(monthly_mortgage_schedule[[#This Row],[Year (Range)]]&lt;=$C$9),Y148,NA())</f>
        <v>1186.0092223020038</v>
      </c>
      <c r="P148" s="214">
        <f>IF((monthly_mortgage_schedule[[#This Row],[Year (Range)]]&gt;=$C$7)*(monthly_mortgage_schedule[[#This Row],[Year (Range)]]&lt;=$C$9),AG148,NA())</f>
        <v>2037.5802744128184</v>
      </c>
      <c r="Q148" s="214">
        <f>IF((monthly_mortgage_schedule[[#This Row],[Year (Range)]]&gt;=$C$7)*(monthly_mortgage_schedule[[#This Row],[Year (Range)]]&lt;=$C$9),AH148,NA())</f>
        <v>1062.4462210505897</v>
      </c>
      <c r="R148" s="214">
        <f>IF((monthly_mortgage_schedule[[#This Row],[Year (Range)]]&gt;=$C$7)*(monthly_mortgage_schedule[[#This Row],[Year (Range)]]&lt;=$C$9),AO148,NA())</f>
        <v>5601.3489836971812</v>
      </c>
      <c r="S148" s="214">
        <f>IF((monthly_mortgage_schedule[[#This Row],[Year (Range)]]&gt;=$C$7)*(monthly_mortgage_schedule[[#This Row],[Year (Range)]]&lt;=$C$9),AP148,NA())</f>
        <v>990</v>
      </c>
      <c r="T148" s="214">
        <f>IF((monthly_mortgage_schedule[[#This Row],[Year (Range)]]&gt;=$C$7)*(monthly_mortgage_schedule[[#This Row],[Year (Range)]]&lt;=$C$9),AR148,NA())</f>
        <v>8811.2615938653544</v>
      </c>
      <c r="U148" s="214">
        <f>IF((monthly_mortgage_schedule[[#This Row],[Year (Range)]]&gt;=$C$7)*(monthly_mortgage_schedule[[#This Row],[Year (Range)]]&lt;=$C$9),AB148,NA())</f>
        <v>131039.45068771526</v>
      </c>
      <c r="V148" s="214">
        <f>IF((monthly_mortgage_schedule[[#This Row],[Year (Range)]]&gt;=$C$7)*(monthly_mortgage_schedule[[#This Row],[Year (Range)]]&lt;=$C$9),AI148,NA())</f>
        <v>104438.1017040181</v>
      </c>
      <c r="W148" s="187">
        <f t="shared" si="17"/>
        <v>410146.55853458663</v>
      </c>
      <c r="X148" s="4">
        <f t="shared" ref="X148:X211" si="20">IF(W148&gt;0,W148*monthly_interest_rate,0)</f>
        <v>1914.0172731614043</v>
      </c>
      <c r="Y148" s="4">
        <f t="shared" si="18"/>
        <v>1186.0092223020038</v>
      </c>
      <c r="Z148" s="4">
        <f>_xlfn.IFNA(INDEX(additional_mortgage_payments[],MATCH(monthly_mortgage_schedule[[#This Row],[Month]],additional_mortgage_payments[Month],0),3),0)</f>
        <v>0</v>
      </c>
      <c r="AA148" s="4">
        <f>AA147+monthly_mortgage_schedule[[#This Row],[Extra Payments Towards Equity]]</f>
        <v>21000</v>
      </c>
      <c r="AB148" s="4">
        <f>AB147+monthly_mortgage_schedule[[#This Row],[Principal With Extra Principal Payments]]+monthly_mortgage_schedule[[#This Row],[Extra Payments Towards Equity]]</f>
        <v>131039.45068771526</v>
      </c>
      <c r="AC148" s="4">
        <f>monthly_mortgage_schedule[[#This Row],[Cumulative Principal With Extra Principal Payments]]+down_payment_dollars</f>
        <v>191039.45068771526</v>
      </c>
      <c r="AD148" s="200">
        <f t="shared" si="15"/>
        <v>0</v>
      </c>
      <c r="AE14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408960.54931228462</v>
      </c>
      <c r="AF148" s="187">
        <f t="shared" ref="AF148:AF211" si="21">AL147</f>
        <v>436624.3445170325</v>
      </c>
      <c r="AG148" s="4">
        <f>IF(monthly_mortgage_schedule[[#This Row],[Loan Balance (BOY) Without Extra Principal Payments]]&gt;0,monthly_mortgage_schedule[[#This Row],[Loan Balance (BOY) Without Extra Principal Payments]]*monthly_interest_rate,0)</f>
        <v>2037.5802744128184</v>
      </c>
      <c r="AH148" s="4">
        <f>IF(monthly_mortgage_schedule[[#This Row],[Loan Balance (BOY) Without Extra Principal Payments]]&gt;1,monthly_principal_and_interest-monthly_mortgage_schedule[[#This Row],[Interest Without Extra Principal Payments]],0)</f>
        <v>1062.4462210505897</v>
      </c>
      <c r="AI148" s="4">
        <f>AI147+monthly_mortgage_schedule[[#This Row],[Principal Without Extra Principal Payments]]</f>
        <v>104438.1017040181</v>
      </c>
      <c r="AJ148" s="4">
        <f>monthly_mortgage_schedule[[#This Row],[Cumulative Principal Without Extra Principal Payments]]+down_payment_dollars</f>
        <v>164438.1017040181</v>
      </c>
      <c r="AK148" s="200">
        <f t="shared" si="16"/>
        <v>0</v>
      </c>
      <c r="AL14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435561.89829598193</v>
      </c>
      <c r="AN148" s="196">
        <f>monthly_mortgage_schedule[[#This Row],[Extra Payments Towards Equity]]+AN147+IF(monthly_mortgage_schedule[[#This Row],[Interest With Extra Principal Payments]]&gt;0,monthly_mortgage_schedule[[#This Row],[Interest Without Extra Principal Payments]]-monthly_mortgage_schedule[[#This Row],[Interest With Extra Principal Payments]],0)</f>
        <v>26601.348983697193</v>
      </c>
      <c r="AO148" s="4">
        <f>AO147+IF(monthly_mortgage_schedule[[#This Row],[Interest With Extra Principal Payments]]&gt;0,monthly_mortgage_schedule[[#This Row],[Interest Without Extra Principal Payments]]-monthly_mortgage_schedule[[#This Row],[Interest With Extra Principal Payments]],0)</f>
        <v>5601.3489836971812</v>
      </c>
      <c r="AP148" s="4">
        <f>AP147+monthly_mortgage_schedule[[#This Row],[PMI Without Extra Principal Payments]]-monthly_mortgage_schedule[[#This Row],[PMI with Additional Payments]]</f>
        <v>990</v>
      </c>
      <c r="AQ148" s="4">
        <f t="shared" si="19"/>
        <v>29811.261593865354</v>
      </c>
      <c r="AR148" s="4">
        <f>Table60[[#This Row],[Cumulative Investments]]-monthly_mortgage_schedule[[#This Row],[Cumulative Extra Payments Towards Equity]]</f>
        <v>8811.2615938653544</v>
      </c>
    </row>
    <row r="149" spans="9:44" x14ac:dyDescent="0.25">
      <c r="I149">
        <v>132</v>
      </c>
      <c r="J149">
        <f>IF(MOD(ROWS($J$18:J148),12)=0,J148+1,J148)</f>
        <v>2032</v>
      </c>
      <c r="K149" s="198">
        <f>IF(M149="#N/A",NA(),monthly_mortgage_schedule[[#This Row],[Month]])</f>
        <v>132</v>
      </c>
      <c r="L149" s="198">
        <f>IF(monthly_mortgage_schedule[[#This Row],[Calendar Year]]&gt;=$C$7,monthly_mortgage_schedule[[#This Row],[Calendar Year]],NA())</f>
        <v>2032</v>
      </c>
      <c r="M149" s="199">
        <f>IF((monthly_mortgage_schedule[[#This Row],[Calendar Year]]&gt;=$C$7)*(monthly_mortgage_schedule[[#This Row],[Calendar Year]]&lt;=$C$9),monthly_mortgage_schedule[[#This Row],[Begin Year (Range)]],NA())</f>
        <v>2032</v>
      </c>
      <c r="N149" s="214">
        <f>IF((monthly_mortgage_schedule[[#This Row],[Year (Range)]]&gt;=$C$7)*(monthly_mortgage_schedule[[#This Row],[Year (Range)]]&lt;=$C$9),X149,NA())</f>
        <v>1908.4825634573283</v>
      </c>
      <c r="O149" s="214">
        <f>IF((monthly_mortgage_schedule[[#This Row],[Year (Range)]]&gt;=$C$7)*(monthly_mortgage_schedule[[#This Row],[Year (Range)]]&lt;=$C$9),Y149,NA())</f>
        <v>1191.5439320060798</v>
      </c>
      <c r="P149" s="214">
        <f>IF((monthly_mortgage_schedule[[#This Row],[Year (Range)]]&gt;=$C$7)*(monthly_mortgage_schedule[[#This Row],[Year (Range)]]&lt;=$C$9),AG149,NA())</f>
        <v>2032.6221920479159</v>
      </c>
      <c r="Q149" s="214">
        <f>IF((monthly_mortgage_schedule[[#This Row],[Year (Range)]]&gt;=$C$7)*(monthly_mortgage_schedule[[#This Row],[Year (Range)]]&lt;=$C$9),AH149,NA())</f>
        <v>1067.4043034154922</v>
      </c>
      <c r="R149" s="214">
        <f>IF((monthly_mortgage_schedule[[#This Row],[Year (Range)]]&gt;=$C$7)*(monthly_mortgage_schedule[[#This Row],[Year (Range)]]&lt;=$C$9),AO149,NA())</f>
        <v>5725.4886122877688</v>
      </c>
      <c r="S149" s="214">
        <f>IF((monthly_mortgage_schedule[[#This Row],[Year (Range)]]&gt;=$C$7)*(monthly_mortgage_schedule[[#This Row],[Year (Range)]]&lt;=$C$9),AP149,NA())</f>
        <v>990</v>
      </c>
      <c r="T149" s="214">
        <f>IF((monthly_mortgage_schedule[[#This Row],[Year (Range)]]&gt;=$C$7)*(monthly_mortgage_schedule[[#This Row],[Year (Range)]]&lt;=$C$9),AR149,NA())</f>
        <v>9010.0033378244552</v>
      </c>
      <c r="U149" s="214">
        <f>IF((monthly_mortgage_schedule[[#This Row],[Year (Range)]]&gt;=$C$7)*(monthly_mortgage_schedule[[#This Row],[Year (Range)]]&lt;=$C$9),AB149,NA())</f>
        <v>132230.99461972134</v>
      </c>
      <c r="V149" s="214">
        <f>IF((monthly_mortgage_schedule[[#This Row],[Year (Range)]]&gt;=$C$7)*(monthly_mortgage_schedule[[#This Row],[Year (Range)]]&lt;=$C$9),AI149,NA())</f>
        <v>105505.50600743359</v>
      </c>
      <c r="W149" s="187">
        <f t="shared" si="17"/>
        <v>408960.54931228462</v>
      </c>
      <c r="X149" s="4">
        <f t="shared" si="20"/>
        <v>1908.4825634573283</v>
      </c>
      <c r="Y149" s="4">
        <f t="shared" si="18"/>
        <v>1191.5439320060798</v>
      </c>
      <c r="Z149" s="4">
        <f>_xlfn.IFNA(INDEX(additional_mortgage_payments[],MATCH(monthly_mortgage_schedule[[#This Row],[Month]],additional_mortgage_payments[Month],0),3),0)</f>
        <v>0</v>
      </c>
      <c r="AA149" s="4">
        <f>AA148+monthly_mortgage_schedule[[#This Row],[Extra Payments Towards Equity]]</f>
        <v>21000</v>
      </c>
      <c r="AB149" s="4">
        <f>AB148+monthly_mortgage_schedule[[#This Row],[Principal With Extra Principal Payments]]+monthly_mortgage_schedule[[#This Row],[Extra Payments Towards Equity]]</f>
        <v>132230.99461972134</v>
      </c>
      <c r="AC149" s="4">
        <f>monthly_mortgage_schedule[[#This Row],[Cumulative Principal With Extra Principal Payments]]+down_payment_dollars</f>
        <v>192230.99461972134</v>
      </c>
      <c r="AD149" s="200">
        <f t="shared" si="15"/>
        <v>0</v>
      </c>
      <c r="AE14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407769.00538027857</v>
      </c>
      <c r="AF149" s="187">
        <f t="shared" si="21"/>
        <v>435561.89829598193</v>
      </c>
      <c r="AG149" s="4">
        <f>IF(monthly_mortgage_schedule[[#This Row],[Loan Balance (BOY) Without Extra Principal Payments]]&gt;0,monthly_mortgage_schedule[[#This Row],[Loan Balance (BOY) Without Extra Principal Payments]]*monthly_interest_rate,0)</f>
        <v>2032.6221920479159</v>
      </c>
      <c r="AH149" s="4">
        <f>IF(monthly_mortgage_schedule[[#This Row],[Loan Balance (BOY) Without Extra Principal Payments]]&gt;1,monthly_principal_and_interest-monthly_mortgage_schedule[[#This Row],[Interest Without Extra Principal Payments]],0)</f>
        <v>1067.4043034154922</v>
      </c>
      <c r="AI149" s="4">
        <f>AI148+monthly_mortgage_schedule[[#This Row],[Principal Without Extra Principal Payments]]</f>
        <v>105505.50600743359</v>
      </c>
      <c r="AJ149" s="4">
        <f>monthly_mortgage_schedule[[#This Row],[Cumulative Principal Without Extra Principal Payments]]+down_payment_dollars</f>
        <v>165505.50600743358</v>
      </c>
      <c r="AK149" s="200">
        <f t="shared" si="16"/>
        <v>0</v>
      </c>
      <c r="AL14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434494.49399256642</v>
      </c>
      <c r="AN149" s="196">
        <f>monthly_mortgage_schedule[[#This Row],[Extra Payments Towards Equity]]+AN148+IF(monthly_mortgage_schedule[[#This Row],[Interest With Extra Principal Payments]]&gt;0,monthly_mortgage_schedule[[#This Row],[Interest Without Extra Principal Payments]]-monthly_mortgage_schedule[[#This Row],[Interest With Extra Principal Payments]],0)</f>
        <v>26725.48861228778</v>
      </c>
      <c r="AO149" s="4">
        <f>AO148+IF(monthly_mortgage_schedule[[#This Row],[Interest With Extra Principal Payments]]&gt;0,monthly_mortgage_schedule[[#This Row],[Interest Without Extra Principal Payments]]-monthly_mortgage_schedule[[#This Row],[Interest With Extra Principal Payments]],0)</f>
        <v>5725.4886122877688</v>
      </c>
      <c r="AP149" s="4">
        <f>AP148+monthly_mortgage_schedule[[#This Row],[PMI Without Extra Principal Payments]]-monthly_mortgage_schedule[[#This Row],[PMI with Additional Payments]]</f>
        <v>990</v>
      </c>
      <c r="AQ149" s="4">
        <f t="shared" si="19"/>
        <v>30010.003337824455</v>
      </c>
      <c r="AR149" s="4">
        <f>Table60[[#This Row],[Cumulative Investments]]-monthly_mortgage_schedule[[#This Row],[Cumulative Extra Payments Towards Equity]]</f>
        <v>9010.0033378244552</v>
      </c>
    </row>
    <row r="150" spans="9:44" x14ac:dyDescent="0.25">
      <c r="I150">
        <v>133</v>
      </c>
      <c r="J150">
        <f>IF(MOD(ROWS($J$18:J149),12)=0,J149+1,J149)</f>
        <v>2033</v>
      </c>
      <c r="K150" s="198">
        <f>IF(M150="#N/A",NA(),monthly_mortgage_schedule[[#This Row],[Month]])</f>
        <v>133</v>
      </c>
      <c r="L150" s="198">
        <f>IF(monthly_mortgage_schedule[[#This Row],[Calendar Year]]&gt;=$C$7,monthly_mortgage_schedule[[#This Row],[Calendar Year]],NA())</f>
        <v>2033</v>
      </c>
      <c r="M150" s="199">
        <f>IF((monthly_mortgage_schedule[[#This Row],[Calendar Year]]&gt;=$C$7)*(monthly_mortgage_schedule[[#This Row],[Calendar Year]]&lt;=$C$9),monthly_mortgage_schedule[[#This Row],[Begin Year (Range)]],NA())</f>
        <v>2033</v>
      </c>
      <c r="N150" s="214">
        <f>IF((monthly_mortgage_schedule[[#This Row],[Year (Range)]]&gt;=$C$7)*(monthly_mortgage_schedule[[#This Row],[Year (Range)]]&lt;=$C$9),X150,NA())</f>
        <v>1902.9220251079669</v>
      </c>
      <c r="O150" s="214">
        <f>IF((monthly_mortgage_schedule[[#This Row],[Year (Range)]]&gt;=$C$7)*(monthly_mortgage_schedule[[#This Row],[Year (Range)]]&lt;=$C$9),Y150,NA())</f>
        <v>1197.1044703554412</v>
      </c>
      <c r="P150" s="214">
        <f>IF((monthly_mortgage_schedule[[#This Row],[Year (Range)]]&gt;=$C$7)*(monthly_mortgage_schedule[[#This Row],[Year (Range)]]&lt;=$C$9),AG150,NA())</f>
        <v>2027.6409719653102</v>
      </c>
      <c r="Q150" s="214">
        <f>IF((monthly_mortgage_schedule[[#This Row],[Year (Range)]]&gt;=$C$7)*(monthly_mortgage_schedule[[#This Row],[Year (Range)]]&lt;=$C$9),AH150,NA())</f>
        <v>1072.3855234980979</v>
      </c>
      <c r="R150" s="214">
        <f>IF((monthly_mortgage_schedule[[#This Row],[Year (Range)]]&gt;=$C$7)*(monthly_mortgage_schedule[[#This Row],[Year (Range)]]&lt;=$C$9),AO150,NA())</f>
        <v>5850.2075591451121</v>
      </c>
      <c r="S150" s="214">
        <f>IF((monthly_mortgage_schedule[[#This Row],[Year (Range)]]&gt;=$C$7)*(monthly_mortgage_schedule[[#This Row],[Year (Range)]]&lt;=$C$9),AP150,NA())</f>
        <v>990</v>
      </c>
      <c r="T150" s="214">
        <f>IF((monthly_mortgage_schedule[[#This Row],[Year (Range)]]&gt;=$C$7)*(monthly_mortgage_schedule[[#This Row],[Year (Range)]]&lt;=$C$9),AR150,NA())</f>
        <v>9210.070026743284</v>
      </c>
      <c r="U150" s="214">
        <f>IF((monthly_mortgage_schedule[[#This Row],[Year (Range)]]&gt;=$C$7)*(monthly_mortgage_schedule[[#This Row],[Year (Range)]]&lt;=$C$9),AB150,NA())</f>
        <v>133428.09909007678</v>
      </c>
      <c r="V150" s="214">
        <f>IF((monthly_mortgage_schedule[[#This Row],[Year (Range)]]&gt;=$C$7)*(monthly_mortgage_schedule[[#This Row],[Year (Range)]]&lt;=$C$9),AI150,NA())</f>
        <v>106577.89153093169</v>
      </c>
      <c r="W150" s="187">
        <f t="shared" si="17"/>
        <v>407769.00538027857</v>
      </c>
      <c r="X150" s="4">
        <f t="shared" si="20"/>
        <v>1902.9220251079669</v>
      </c>
      <c r="Y150" s="4">
        <f t="shared" si="18"/>
        <v>1197.1044703554412</v>
      </c>
      <c r="Z150" s="4">
        <f>_xlfn.IFNA(INDEX(additional_mortgage_payments[],MATCH(monthly_mortgage_schedule[[#This Row],[Month]],additional_mortgage_payments[Month],0),3),0)</f>
        <v>0</v>
      </c>
      <c r="AA150" s="4">
        <f>AA149+monthly_mortgage_schedule[[#This Row],[Extra Payments Towards Equity]]</f>
        <v>21000</v>
      </c>
      <c r="AB150" s="4">
        <f>AB149+monthly_mortgage_schedule[[#This Row],[Principal With Extra Principal Payments]]+monthly_mortgage_schedule[[#This Row],[Extra Payments Towards Equity]]</f>
        <v>133428.09909007678</v>
      </c>
      <c r="AC150" s="4">
        <f>monthly_mortgage_schedule[[#This Row],[Cumulative Principal With Extra Principal Payments]]+down_payment_dollars</f>
        <v>193428.09909007678</v>
      </c>
      <c r="AD150" s="200">
        <f t="shared" si="15"/>
        <v>0</v>
      </c>
      <c r="AE15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406571.90090992313</v>
      </c>
      <c r="AF150" s="187">
        <f t="shared" si="21"/>
        <v>434494.49399256642</v>
      </c>
      <c r="AG150" s="4">
        <f>IF(monthly_mortgage_schedule[[#This Row],[Loan Balance (BOY) Without Extra Principal Payments]]&gt;0,monthly_mortgage_schedule[[#This Row],[Loan Balance (BOY) Without Extra Principal Payments]]*monthly_interest_rate,0)</f>
        <v>2027.6409719653102</v>
      </c>
      <c r="AH150" s="4">
        <f>IF(monthly_mortgage_schedule[[#This Row],[Loan Balance (BOY) Without Extra Principal Payments]]&gt;1,monthly_principal_and_interest-monthly_mortgage_schedule[[#This Row],[Interest Without Extra Principal Payments]],0)</f>
        <v>1072.3855234980979</v>
      </c>
      <c r="AI150" s="4">
        <f>AI149+monthly_mortgage_schedule[[#This Row],[Principal Without Extra Principal Payments]]</f>
        <v>106577.89153093169</v>
      </c>
      <c r="AJ150" s="4">
        <f>monthly_mortgage_schedule[[#This Row],[Cumulative Principal Without Extra Principal Payments]]+down_payment_dollars</f>
        <v>166577.89153093169</v>
      </c>
      <c r="AK150" s="200">
        <f t="shared" si="16"/>
        <v>0</v>
      </c>
      <c r="AL15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433422.10846906831</v>
      </c>
      <c r="AN150" s="196">
        <f>monthly_mortgage_schedule[[#This Row],[Extra Payments Towards Equity]]+AN149+IF(monthly_mortgage_schedule[[#This Row],[Interest With Extra Principal Payments]]&gt;0,monthly_mortgage_schedule[[#This Row],[Interest Without Extra Principal Payments]]-monthly_mortgage_schedule[[#This Row],[Interest With Extra Principal Payments]],0)</f>
        <v>26850.207559145121</v>
      </c>
      <c r="AO150" s="4">
        <f>AO149+IF(monthly_mortgage_schedule[[#This Row],[Interest With Extra Principal Payments]]&gt;0,monthly_mortgage_schedule[[#This Row],[Interest Without Extra Principal Payments]]-monthly_mortgage_schedule[[#This Row],[Interest With Extra Principal Payments]],0)</f>
        <v>5850.2075591451121</v>
      </c>
      <c r="AP150" s="4">
        <f>AP149+monthly_mortgage_schedule[[#This Row],[PMI Without Extra Principal Payments]]-monthly_mortgage_schedule[[#This Row],[PMI with Additional Payments]]</f>
        <v>990</v>
      </c>
      <c r="AQ150" s="4">
        <f t="shared" si="19"/>
        <v>30210.070026743284</v>
      </c>
      <c r="AR150" s="4">
        <f>Table60[[#This Row],[Cumulative Investments]]-monthly_mortgage_schedule[[#This Row],[Cumulative Extra Payments Towards Equity]]</f>
        <v>9210.070026743284</v>
      </c>
    </row>
    <row r="151" spans="9:44" x14ac:dyDescent="0.25">
      <c r="I151">
        <v>134</v>
      </c>
      <c r="J151">
        <f>IF(MOD(ROWS($J$18:J150),12)=0,J150+1,J150)</f>
        <v>2033</v>
      </c>
      <c r="K151" s="198">
        <f>IF(M151="#N/A",NA(),monthly_mortgage_schedule[[#This Row],[Month]])</f>
        <v>134</v>
      </c>
      <c r="L151" s="198">
        <f>IF(monthly_mortgage_schedule[[#This Row],[Calendar Year]]&gt;=$C$7,monthly_mortgage_schedule[[#This Row],[Calendar Year]],NA())</f>
        <v>2033</v>
      </c>
      <c r="M151" s="199">
        <f>IF((monthly_mortgage_schedule[[#This Row],[Calendar Year]]&gt;=$C$7)*(monthly_mortgage_schedule[[#This Row],[Calendar Year]]&lt;=$C$9),monthly_mortgage_schedule[[#This Row],[Begin Year (Range)]],NA())</f>
        <v>2033</v>
      </c>
      <c r="N151" s="214">
        <f>IF((monthly_mortgage_schedule[[#This Row],[Year (Range)]]&gt;=$C$7)*(monthly_mortgage_schedule[[#This Row],[Year (Range)]]&lt;=$C$9),X151,NA())</f>
        <v>1897.3355375796414</v>
      </c>
      <c r="O151" s="214">
        <f>IF((monthly_mortgage_schedule[[#This Row],[Year (Range)]]&gt;=$C$7)*(monthly_mortgage_schedule[[#This Row],[Year (Range)]]&lt;=$C$9),Y151,NA())</f>
        <v>1202.6909578837667</v>
      </c>
      <c r="P151" s="214">
        <f>IF((monthly_mortgage_schedule[[#This Row],[Year (Range)]]&gt;=$C$7)*(monthly_mortgage_schedule[[#This Row],[Year (Range)]]&lt;=$C$9),AG151,NA())</f>
        <v>2022.6365061889855</v>
      </c>
      <c r="Q151" s="214">
        <f>IF((monthly_mortgage_schedule[[#This Row],[Year (Range)]]&gt;=$C$7)*(monthly_mortgage_schedule[[#This Row],[Year (Range)]]&lt;=$C$9),AH151,NA())</f>
        <v>1077.3899892744225</v>
      </c>
      <c r="R151" s="214">
        <f>IF((monthly_mortgage_schedule[[#This Row],[Year (Range)]]&gt;=$C$7)*(monthly_mortgage_schedule[[#This Row],[Year (Range)]]&lt;=$C$9),AO151,NA())</f>
        <v>5975.5085277544567</v>
      </c>
      <c r="S151" s="214">
        <f>IF((monthly_mortgage_schedule[[#This Row],[Year (Range)]]&gt;=$C$7)*(monthly_mortgage_schedule[[#This Row],[Year (Range)]]&lt;=$C$9),AP151,NA())</f>
        <v>990</v>
      </c>
      <c r="T151" s="214">
        <f>IF((monthly_mortgage_schedule[[#This Row],[Year (Range)]]&gt;=$C$7)*(monthly_mortgage_schedule[[#This Row],[Year (Range)]]&lt;=$C$9),AR151,NA())</f>
        <v>9411.4704935882364</v>
      </c>
      <c r="U151" s="214">
        <f>IF((monthly_mortgage_schedule[[#This Row],[Year (Range)]]&gt;=$C$7)*(monthly_mortgage_schedule[[#This Row],[Year (Range)]]&lt;=$C$9),AB151,NA())</f>
        <v>134630.79004796056</v>
      </c>
      <c r="V151" s="214">
        <f>IF((monthly_mortgage_schedule[[#This Row],[Year (Range)]]&gt;=$C$7)*(monthly_mortgage_schedule[[#This Row],[Year (Range)]]&lt;=$C$9),AI151,NA())</f>
        <v>107655.28152020612</v>
      </c>
      <c r="W151" s="187">
        <f t="shared" si="17"/>
        <v>406571.90090992313</v>
      </c>
      <c r="X151" s="4">
        <f t="shared" si="20"/>
        <v>1897.3355375796414</v>
      </c>
      <c r="Y151" s="4">
        <f t="shared" si="18"/>
        <v>1202.6909578837667</v>
      </c>
      <c r="Z151" s="4">
        <f>_xlfn.IFNA(INDEX(additional_mortgage_payments[],MATCH(monthly_mortgage_schedule[[#This Row],[Month]],additional_mortgage_payments[Month],0),3),0)</f>
        <v>0</v>
      </c>
      <c r="AA151" s="4">
        <f>AA150+monthly_mortgage_schedule[[#This Row],[Extra Payments Towards Equity]]</f>
        <v>21000</v>
      </c>
      <c r="AB151" s="4">
        <f>AB150+monthly_mortgage_schedule[[#This Row],[Principal With Extra Principal Payments]]+monthly_mortgage_schedule[[#This Row],[Extra Payments Towards Equity]]</f>
        <v>134630.79004796056</v>
      </c>
      <c r="AC151" s="4">
        <f>monthly_mortgage_schedule[[#This Row],[Cumulative Principal With Extra Principal Payments]]+down_payment_dollars</f>
        <v>194630.79004796056</v>
      </c>
      <c r="AD151" s="200">
        <f t="shared" si="15"/>
        <v>0</v>
      </c>
      <c r="AE15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405369.20995203935</v>
      </c>
      <c r="AF151" s="187">
        <f t="shared" si="21"/>
        <v>433422.10846906831</v>
      </c>
      <c r="AG151" s="4">
        <f>IF(monthly_mortgage_schedule[[#This Row],[Loan Balance (BOY) Without Extra Principal Payments]]&gt;0,monthly_mortgage_schedule[[#This Row],[Loan Balance (BOY) Without Extra Principal Payments]]*monthly_interest_rate,0)</f>
        <v>2022.6365061889855</v>
      </c>
      <c r="AH151" s="4">
        <f>IF(monthly_mortgage_schedule[[#This Row],[Loan Balance (BOY) Without Extra Principal Payments]]&gt;1,monthly_principal_and_interest-monthly_mortgage_schedule[[#This Row],[Interest Without Extra Principal Payments]],0)</f>
        <v>1077.3899892744225</v>
      </c>
      <c r="AI151" s="4">
        <f>AI150+monthly_mortgage_schedule[[#This Row],[Principal Without Extra Principal Payments]]</f>
        <v>107655.28152020612</v>
      </c>
      <c r="AJ151" s="4">
        <f>monthly_mortgage_schedule[[#This Row],[Cumulative Principal Without Extra Principal Payments]]+down_payment_dollars</f>
        <v>167655.28152020613</v>
      </c>
      <c r="AK151" s="200">
        <f t="shared" si="16"/>
        <v>0</v>
      </c>
      <c r="AL15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432344.71847979387</v>
      </c>
      <c r="AN151" s="196">
        <f>monthly_mortgage_schedule[[#This Row],[Extra Payments Towards Equity]]+AN150+IF(monthly_mortgage_schedule[[#This Row],[Interest With Extra Principal Payments]]&gt;0,monthly_mortgage_schedule[[#This Row],[Interest Without Extra Principal Payments]]-monthly_mortgage_schedule[[#This Row],[Interest With Extra Principal Payments]],0)</f>
        <v>26975.508527754464</v>
      </c>
      <c r="AO151" s="4">
        <f>AO150+IF(monthly_mortgage_schedule[[#This Row],[Interest With Extra Principal Payments]]&gt;0,monthly_mortgage_schedule[[#This Row],[Interest Without Extra Principal Payments]]-monthly_mortgage_schedule[[#This Row],[Interest With Extra Principal Payments]],0)</f>
        <v>5975.5085277544567</v>
      </c>
      <c r="AP151" s="4">
        <f>AP150+monthly_mortgage_schedule[[#This Row],[PMI Without Extra Principal Payments]]-monthly_mortgage_schedule[[#This Row],[PMI with Additional Payments]]</f>
        <v>990</v>
      </c>
      <c r="AQ151" s="4">
        <f t="shared" si="19"/>
        <v>30411.470493588236</v>
      </c>
      <c r="AR151" s="4">
        <f>Table60[[#This Row],[Cumulative Investments]]-monthly_mortgage_schedule[[#This Row],[Cumulative Extra Payments Towards Equity]]</f>
        <v>9411.4704935882364</v>
      </c>
    </row>
    <row r="152" spans="9:44" x14ac:dyDescent="0.25">
      <c r="I152">
        <v>135</v>
      </c>
      <c r="J152">
        <f>IF(MOD(ROWS($J$18:J151),12)=0,J151+1,J151)</f>
        <v>2033</v>
      </c>
      <c r="K152" s="198">
        <f>IF(M152="#N/A",NA(),monthly_mortgage_schedule[[#This Row],[Month]])</f>
        <v>135</v>
      </c>
      <c r="L152" s="198">
        <f>IF(monthly_mortgage_schedule[[#This Row],[Calendar Year]]&gt;=$C$7,monthly_mortgage_schedule[[#This Row],[Calendar Year]],NA())</f>
        <v>2033</v>
      </c>
      <c r="M152" s="199">
        <f>IF((monthly_mortgage_schedule[[#This Row],[Calendar Year]]&gt;=$C$7)*(monthly_mortgage_schedule[[#This Row],[Calendar Year]]&lt;=$C$9),monthly_mortgage_schedule[[#This Row],[Begin Year (Range)]],NA())</f>
        <v>2033</v>
      </c>
      <c r="N152" s="214">
        <f>IF((monthly_mortgage_schedule[[#This Row],[Year (Range)]]&gt;=$C$7)*(monthly_mortgage_schedule[[#This Row],[Year (Range)]]&lt;=$C$9),X152,NA())</f>
        <v>1891.7229797761838</v>
      </c>
      <c r="O152" s="214">
        <f>IF((monthly_mortgage_schedule[[#This Row],[Year (Range)]]&gt;=$C$7)*(monthly_mortgage_schedule[[#This Row],[Year (Range)]]&lt;=$C$9),Y152,NA())</f>
        <v>1208.3035156872243</v>
      </c>
      <c r="P152" s="214">
        <f>IF((monthly_mortgage_schedule[[#This Row],[Year (Range)]]&gt;=$C$7)*(monthly_mortgage_schedule[[#This Row],[Year (Range)]]&lt;=$C$9),AG152,NA())</f>
        <v>2017.6086862390382</v>
      </c>
      <c r="Q152" s="214">
        <f>IF((monthly_mortgage_schedule[[#This Row],[Year (Range)]]&gt;=$C$7)*(monthly_mortgage_schedule[[#This Row],[Year (Range)]]&lt;=$C$9),AH152,NA())</f>
        <v>1082.4178092243699</v>
      </c>
      <c r="R152" s="214">
        <f>IF((monthly_mortgage_schedule[[#This Row],[Year (Range)]]&gt;=$C$7)*(monthly_mortgage_schedule[[#This Row],[Year (Range)]]&lt;=$C$9),AO152,NA())</f>
        <v>6101.3942342173114</v>
      </c>
      <c r="S152" s="214">
        <f>IF((monthly_mortgage_schedule[[#This Row],[Year (Range)]]&gt;=$C$7)*(monthly_mortgage_schedule[[#This Row],[Year (Range)]]&lt;=$C$9),AP152,NA())</f>
        <v>990</v>
      </c>
      <c r="T152" s="214">
        <f>IF((monthly_mortgage_schedule[[#This Row],[Year (Range)]]&gt;=$C$7)*(monthly_mortgage_schedule[[#This Row],[Year (Range)]]&lt;=$C$9),AR152,NA())</f>
        <v>9614.2136302121544</v>
      </c>
      <c r="U152" s="214">
        <f>IF((monthly_mortgage_schedule[[#This Row],[Year (Range)]]&gt;=$C$7)*(monthly_mortgage_schedule[[#This Row],[Year (Range)]]&lt;=$C$9),AB152,NA())</f>
        <v>135839.0935636478</v>
      </c>
      <c r="V152" s="214">
        <f>IF((monthly_mortgage_schedule[[#This Row],[Year (Range)]]&gt;=$C$7)*(monthly_mortgage_schedule[[#This Row],[Year (Range)]]&lt;=$C$9),AI152,NA())</f>
        <v>108737.69932943048</v>
      </c>
      <c r="W152" s="187">
        <f t="shared" si="17"/>
        <v>405369.20995203935</v>
      </c>
      <c r="X152" s="4">
        <f t="shared" si="20"/>
        <v>1891.7229797761838</v>
      </c>
      <c r="Y152" s="4">
        <f t="shared" si="18"/>
        <v>1208.3035156872243</v>
      </c>
      <c r="Z152" s="4">
        <f>_xlfn.IFNA(INDEX(additional_mortgage_payments[],MATCH(monthly_mortgage_schedule[[#This Row],[Month]],additional_mortgage_payments[Month],0),3),0)</f>
        <v>0</v>
      </c>
      <c r="AA152" s="4">
        <f>AA151+monthly_mortgage_schedule[[#This Row],[Extra Payments Towards Equity]]</f>
        <v>21000</v>
      </c>
      <c r="AB152" s="4">
        <f>AB151+monthly_mortgage_schedule[[#This Row],[Principal With Extra Principal Payments]]+monthly_mortgage_schedule[[#This Row],[Extra Payments Towards Equity]]</f>
        <v>135839.0935636478</v>
      </c>
      <c r="AC152" s="4">
        <f>monthly_mortgage_schedule[[#This Row],[Cumulative Principal With Extra Principal Payments]]+down_payment_dollars</f>
        <v>195839.0935636478</v>
      </c>
      <c r="AD152" s="200">
        <f t="shared" si="15"/>
        <v>0</v>
      </c>
      <c r="AE15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404160.90643635212</v>
      </c>
      <c r="AF152" s="187">
        <f t="shared" si="21"/>
        <v>432344.71847979387</v>
      </c>
      <c r="AG152" s="4">
        <f>IF(monthly_mortgage_schedule[[#This Row],[Loan Balance (BOY) Without Extra Principal Payments]]&gt;0,monthly_mortgage_schedule[[#This Row],[Loan Balance (BOY) Without Extra Principal Payments]]*monthly_interest_rate,0)</f>
        <v>2017.6086862390382</v>
      </c>
      <c r="AH152" s="4">
        <f>IF(monthly_mortgage_schedule[[#This Row],[Loan Balance (BOY) Without Extra Principal Payments]]&gt;1,monthly_principal_and_interest-monthly_mortgage_schedule[[#This Row],[Interest Without Extra Principal Payments]],0)</f>
        <v>1082.4178092243699</v>
      </c>
      <c r="AI152" s="4">
        <f>AI151+monthly_mortgage_schedule[[#This Row],[Principal Without Extra Principal Payments]]</f>
        <v>108737.69932943048</v>
      </c>
      <c r="AJ152" s="4">
        <f>monthly_mortgage_schedule[[#This Row],[Cumulative Principal Without Extra Principal Payments]]+down_payment_dollars</f>
        <v>168737.69932943047</v>
      </c>
      <c r="AK152" s="200">
        <f t="shared" si="16"/>
        <v>0</v>
      </c>
      <c r="AL15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431262.30067056947</v>
      </c>
      <c r="AN152" s="196">
        <f>monthly_mortgage_schedule[[#This Row],[Extra Payments Towards Equity]]+AN151+IF(monthly_mortgage_schedule[[#This Row],[Interest With Extra Principal Payments]]&gt;0,monthly_mortgage_schedule[[#This Row],[Interest Without Extra Principal Payments]]-monthly_mortgage_schedule[[#This Row],[Interest With Extra Principal Payments]],0)</f>
        <v>27101.394234217318</v>
      </c>
      <c r="AO152" s="4">
        <f>AO151+IF(monthly_mortgage_schedule[[#This Row],[Interest With Extra Principal Payments]]&gt;0,monthly_mortgage_schedule[[#This Row],[Interest Without Extra Principal Payments]]-monthly_mortgage_schedule[[#This Row],[Interest With Extra Principal Payments]],0)</f>
        <v>6101.3942342173114</v>
      </c>
      <c r="AP152" s="4">
        <f>AP151+monthly_mortgage_schedule[[#This Row],[PMI Without Extra Principal Payments]]-monthly_mortgage_schedule[[#This Row],[PMI with Additional Payments]]</f>
        <v>990</v>
      </c>
      <c r="AQ152" s="4">
        <f t="shared" si="19"/>
        <v>30614.213630212154</v>
      </c>
      <c r="AR152" s="4">
        <f>Table60[[#This Row],[Cumulative Investments]]-monthly_mortgage_schedule[[#This Row],[Cumulative Extra Payments Towards Equity]]</f>
        <v>9614.2136302121544</v>
      </c>
    </row>
    <row r="153" spans="9:44" x14ac:dyDescent="0.25">
      <c r="I153">
        <v>136</v>
      </c>
      <c r="J153">
        <f>IF(MOD(ROWS($J$18:J152),12)=0,J152+1,J152)</f>
        <v>2033</v>
      </c>
      <c r="K153" s="198">
        <f>IF(M153="#N/A",NA(),monthly_mortgage_schedule[[#This Row],[Month]])</f>
        <v>136</v>
      </c>
      <c r="L153" s="198">
        <f>IF(monthly_mortgage_schedule[[#This Row],[Calendar Year]]&gt;=$C$7,monthly_mortgage_schedule[[#This Row],[Calendar Year]],NA())</f>
        <v>2033</v>
      </c>
      <c r="M153" s="199">
        <f>IF((monthly_mortgage_schedule[[#This Row],[Calendar Year]]&gt;=$C$7)*(monthly_mortgage_schedule[[#This Row],[Calendar Year]]&lt;=$C$9),monthly_mortgage_schedule[[#This Row],[Begin Year (Range)]],NA())</f>
        <v>2033</v>
      </c>
      <c r="N153" s="214">
        <f>IF((monthly_mortgage_schedule[[#This Row],[Year (Range)]]&gt;=$C$7)*(monthly_mortgage_schedule[[#This Row],[Year (Range)]]&lt;=$C$9),X153,NA())</f>
        <v>1886.0842300363101</v>
      </c>
      <c r="O153" s="214">
        <f>IF((monthly_mortgage_schedule[[#This Row],[Year (Range)]]&gt;=$C$7)*(monthly_mortgage_schedule[[#This Row],[Year (Range)]]&lt;=$C$9),Y153,NA())</f>
        <v>1213.9422654270979</v>
      </c>
      <c r="P153" s="214">
        <f>IF((monthly_mortgage_schedule[[#This Row],[Year (Range)]]&gt;=$C$7)*(monthly_mortgage_schedule[[#This Row],[Year (Range)]]&lt;=$C$9),AG153,NA())</f>
        <v>2012.5574031293243</v>
      </c>
      <c r="Q153" s="214">
        <f>IF((monthly_mortgage_schedule[[#This Row],[Year (Range)]]&gt;=$C$7)*(monthly_mortgage_schedule[[#This Row],[Year (Range)]]&lt;=$C$9),AH153,NA())</f>
        <v>1087.4690923340838</v>
      </c>
      <c r="R153" s="214">
        <f>IF((monthly_mortgage_schedule[[#This Row],[Year (Range)]]&gt;=$C$7)*(monthly_mortgage_schedule[[#This Row],[Year (Range)]]&lt;=$C$9),AO153,NA())</f>
        <v>6227.8674073103257</v>
      </c>
      <c r="S153" s="214">
        <f>IF((monthly_mortgage_schedule[[#This Row],[Year (Range)]]&gt;=$C$7)*(monthly_mortgage_schedule[[#This Row],[Year (Range)]]&lt;=$C$9),AP153,NA())</f>
        <v>990</v>
      </c>
      <c r="T153" s="214">
        <f>IF((monthly_mortgage_schedule[[#This Row],[Year (Range)]]&gt;=$C$7)*(monthly_mortgage_schedule[[#This Row],[Year (Range)]]&lt;=$C$9),AR153,NA())</f>
        <v>9818.3083877468998</v>
      </c>
      <c r="U153" s="214">
        <f>IF((monthly_mortgage_schedule[[#This Row],[Year (Range)]]&gt;=$C$7)*(monthly_mortgage_schedule[[#This Row],[Year (Range)]]&lt;=$C$9),AB153,NA())</f>
        <v>137053.03582907488</v>
      </c>
      <c r="V153" s="214">
        <f>IF((monthly_mortgage_schedule[[#This Row],[Year (Range)]]&gt;=$C$7)*(monthly_mortgage_schedule[[#This Row],[Year (Range)]]&lt;=$C$9),AI153,NA())</f>
        <v>109825.16842176457</v>
      </c>
      <c r="W153" s="187">
        <f t="shared" si="17"/>
        <v>404160.90643635212</v>
      </c>
      <c r="X153" s="4">
        <f t="shared" si="20"/>
        <v>1886.0842300363101</v>
      </c>
      <c r="Y153" s="4">
        <f t="shared" si="18"/>
        <v>1213.9422654270979</v>
      </c>
      <c r="Z153" s="4">
        <f>_xlfn.IFNA(INDEX(additional_mortgage_payments[],MATCH(monthly_mortgage_schedule[[#This Row],[Month]],additional_mortgage_payments[Month],0),3),0)</f>
        <v>0</v>
      </c>
      <c r="AA153" s="4">
        <f>AA152+monthly_mortgage_schedule[[#This Row],[Extra Payments Towards Equity]]</f>
        <v>21000</v>
      </c>
      <c r="AB153" s="4">
        <f>AB152+monthly_mortgage_schedule[[#This Row],[Principal With Extra Principal Payments]]+monthly_mortgage_schedule[[#This Row],[Extra Payments Towards Equity]]</f>
        <v>137053.03582907488</v>
      </c>
      <c r="AC153" s="4">
        <f>monthly_mortgage_schedule[[#This Row],[Cumulative Principal With Extra Principal Payments]]+down_payment_dollars</f>
        <v>197053.03582907488</v>
      </c>
      <c r="AD153" s="200">
        <f t="shared" si="15"/>
        <v>0</v>
      </c>
      <c r="AE15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402946.96417092503</v>
      </c>
      <c r="AF153" s="187">
        <f t="shared" si="21"/>
        <v>431262.30067056947</v>
      </c>
      <c r="AG153" s="4">
        <f>IF(monthly_mortgage_schedule[[#This Row],[Loan Balance (BOY) Without Extra Principal Payments]]&gt;0,monthly_mortgage_schedule[[#This Row],[Loan Balance (BOY) Without Extra Principal Payments]]*monthly_interest_rate,0)</f>
        <v>2012.5574031293243</v>
      </c>
      <c r="AH153" s="4">
        <f>IF(monthly_mortgage_schedule[[#This Row],[Loan Balance (BOY) Without Extra Principal Payments]]&gt;1,monthly_principal_and_interest-monthly_mortgage_schedule[[#This Row],[Interest Without Extra Principal Payments]],0)</f>
        <v>1087.4690923340838</v>
      </c>
      <c r="AI153" s="4">
        <f>AI152+monthly_mortgage_schedule[[#This Row],[Principal Without Extra Principal Payments]]</f>
        <v>109825.16842176457</v>
      </c>
      <c r="AJ153" s="4">
        <f>monthly_mortgage_schedule[[#This Row],[Cumulative Principal Without Extra Principal Payments]]+down_payment_dollars</f>
        <v>169825.16842176457</v>
      </c>
      <c r="AK153" s="200">
        <f t="shared" si="16"/>
        <v>0</v>
      </c>
      <c r="AL15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430174.83157823537</v>
      </c>
      <c r="AN153" s="196">
        <f>monthly_mortgage_schedule[[#This Row],[Extra Payments Towards Equity]]+AN152+IF(monthly_mortgage_schedule[[#This Row],[Interest With Extra Principal Payments]]&gt;0,monthly_mortgage_schedule[[#This Row],[Interest Without Extra Principal Payments]]-monthly_mortgage_schedule[[#This Row],[Interest With Extra Principal Payments]],0)</f>
        <v>27227.867407310332</v>
      </c>
      <c r="AO153" s="4">
        <f>AO152+IF(monthly_mortgage_schedule[[#This Row],[Interest With Extra Principal Payments]]&gt;0,monthly_mortgage_schedule[[#This Row],[Interest Without Extra Principal Payments]]-monthly_mortgage_schedule[[#This Row],[Interest With Extra Principal Payments]],0)</f>
        <v>6227.8674073103257</v>
      </c>
      <c r="AP153" s="4">
        <f>AP152+monthly_mortgage_schedule[[#This Row],[PMI Without Extra Principal Payments]]-monthly_mortgage_schedule[[#This Row],[PMI with Additional Payments]]</f>
        <v>990</v>
      </c>
      <c r="AQ153" s="4">
        <f t="shared" si="19"/>
        <v>30818.3083877469</v>
      </c>
      <c r="AR153" s="4">
        <f>Table60[[#This Row],[Cumulative Investments]]-monthly_mortgage_schedule[[#This Row],[Cumulative Extra Payments Towards Equity]]</f>
        <v>9818.3083877468998</v>
      </c>
    </row>
    <row r="154" spans="9:44" x14ac:dyDescent="0.25">
      <c r="I154">
        <v>137</v>
      </c>
      <c r="J154">
        <f>IF(MOD(ROWS($J$18:J153),12)=0,J153+1,J153)</f>
        <v>2033</v>
      </c>
      <c r="K154" s="198">
        <f>IF(M154="#N/A",NA(),monthly_mortgage_schedule[[#This Row],[Month]])</f>
        <v>137</v>
      </c>
      <c r="L154" s="198">
        <f>IF(monthly_mortgage_schedule[[#This Row],[Calendar Year]]&gt;=$C$7,monthly_mortgage_schedule[[#This Row],[Calendar Year]],NA())</f>
        <v>2033</v>
      </c>
      <c r="M154" s="199">
        <f>IF((monthly_mortgage_schedule[[#This Row],[Calendar Year]]&gt;=$C$7)*(monthly_mortgage_schedule[[#This Row],[Calendar Year]]&lt;=$C$9),monthly_mortgage_schedule[[#This Row],[Begin Year (Range)]],NA())</f>
        <v>2033</v>
      </c>
      <c r="N154" s="214">
        <f>IF((monthly_mortgage_schedule[[#This Row],[Year (Range)]]&gt;=$C$7)*(monthly_mortgage_schedule[[#This Row],[Year (Range)]]&lt;=$C$9),X154,NA())</f>
        <v>1880.4191661309835</v>
      </c>
      <c r="O154" s="214">
        <f>IF((monthly_mortgage_schedule[[#This Row],[Year (Range)]]&gt;=$C$7)*(monthly_mortgage_schedule[[#This Row],[Year (Range)]]&lt;=$C$9),Y154,NA())</f>
        <v>1219.6073293324246</v>
      </c>
      <c r="P154" s="214">
        <f>IF((monthly_mortgage_schedule[[#This Row],[Year (Range)]]&gt;=$C$7)*(monthly_mortgage_schedule[[#This Row],[Year (Range)]]&lt;=$C$9),AG154,NA())</f>
        <v>2007.4825473650985</v>
      </c>
      <c r="Q154" s="214">
        <f>IF((monthly_mortgage_schedule[[#This Row],[Year (Range)]]&gt;=$C$7)*(monthly_mortgage_schedule[[#This Row],[Year (Range)]]&lt;=$C$9),AH154,NA())</f>
        <v>1092.5439480983096</v>
      </c>
      <c r="R154" s="214">
        <f>IF((monthly_mortgage_schedule[[#This Row],[Year (Range)]]&gt;=$C$7)*(monthly_mortgage_schedule[[#This Row],[Year (Range)]]&lt;=$C$9),AO154,NA())</f>
        <v>6354.9307885444405</v>
      </c>
      <c r="S154" s="214">
        <f>IF((monthly_mortgage_schedule[[#This Row],[Year (Range)]]&gt;=$C$7)*(monthly_mortgage_schedule[[#This Row],[Year (Range)]]&lt;=$C$9),AP154,NA())</f>
        <v>990</v>
      </c>
      <c r="T154" s="214">
        <f>IF((monthly_mortgage_schedule[[#This Row],[Year (Range)]]&gt;=$C$7)*(monthly_mortgage_schedule[[#This Row],[Year (Range)]]&lt;=$C$9),AR154,NA())</f>
        <v>10023.763776998545</v>
      </c>
      <c r="U154" s="214">
        <f>IF((monthly_mortgage_schedule[[#This Row],[Year (Range)]]&gt;=$C$7)*(monthly_mortgage_schedule[[#This Row],[Year (Range)]]&lt;=$C$9),AB154,NA())</f>
        <v>138272.6431584073</v>
      </c>
      <c r="V154" s="214">
        <f>IF((monthly_mortgage_schedule[[#This Row],[Year (Range)]]&gt;=$C$7)*(monthly_mortgage_schedule[[#This Row],[Year (Range)]]&lt;=$C$9),AI154,NA())</f>
        <v>110917.71236986287</v>
      </c>
      <c r="W154" s="187">
        <f t="shared" si="17"/>
        <v>402946.96417092503</v>
      </c>
      <c r="X154" s="4">
        <f t="shared" si="20"/>
        <v>1880.4191661309835</v>
      </c>
      <c r="Y154" s="4">
        <f t="shared" si="18"/>
        <v>1219.6073293324246</v>
      </c>
      <c r="Z154" s="4">
        <f>_xlfn.IFNA(INDEX(additional_mortgage_payments[],MATCH(monthly_mortgage_schedule[[#This Row],[Month]],additional_mortgage_payments[Month],0),3),0)</f>
        <v>0</v>
      </c>
      <c r="AA154" s="4">
        <f>AA153+monthly_mortgage_schedule[[#This Row],[Extra Payments Towards Equity]]</f>
        <v>21000</v>
      </c>
      <c r="AB154" s="4">
        <f>AB153+monthly_mortgage_schedule[[#This Row],[Principal With Extra Principal Payments]]+monthly_mortgage_schedule[[#This Row],[Extra Payments Towards Equity]]</f>
        <v>138272.6431584073</v>
      </c>
      <c r="AC154" s="4">
        <f>monthly_mortgage_schedule[[#This Row],[Cumulative Principal With Extra Principal Payments]]+down_payment_dollars</f>
        <v>198272.6431584073</v>
      </c>
      <c r="AD154" s="200">
        <f t="shared" si="15"/>
        <v>0</v>
      </c>
      <c r="AE15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401727.35684159258</v>
      </c>
      <c r="AF154" s="187">
        <f t="shared" si="21"/>
        <v>430174.83157823537</v>
      </c>
      <c r="AG154" s="4">
        <f>IF(monthly_mortgage_schedule[[#This Row],[Loan Balance (BOY) Without Extra Principal Payments]]&gt;0,monthly_mortgage_schedule[[#This Row],[Loan Balance (BOY) Without Extra Principal Payments]]*monthly_interest_rate,0)</f>
        <v>2007.4825473650985</v>
      </c>
      <c r="AH154" s="4">
        <f>IF(monthly_mortgage_schedule[[#This Row],[Loan Balance (BOY) Without Extra Principal Payments]]&gt;1,monthly_principal_and_interest-monthly_mortgage_schedule[[#This Row],[Interest Without Extra Principal Payments]],0)</f>
        <v>1092.5439480983096</v>
      </c>
      <c r="AI154" s="4">
        <f>AI153+monthly_mortgage_schedule[[#This Row],[Principal Without Extra Principal Payments]]</f>
        <v>110917.71236986287</v>
      </c>
      <c r="AJ154" s="4">
        <f>monthly_mortgage_schedule[[#This Row],[Cumulative Principal Without Extra Principal Payments]]+down_payment_dollars</f>
        <v>170917.71236986289</v>
      </c>
      <c r="AK154" s="200">
        <f t="shared" si="16"/>
        <v>0</v>
      </c>
      <c r="AL15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429082.28763013706</v>
      </c>
      <c r="AN154" s="196">
        <f>monthly_mortgage_schedule[[#This Row],[Extra Payments Towards Equity]]+AN153+IF(monthly_mortgage_schedule[[#This Row],[Interest With Extra Principal Payments]]&gt;0,monthly_mortgage_schedule[[#This Row],[Interest Without Extra Principal Payments]]-monthly_mortgage_schedule[[#This Row],[Interest With Extra Principal Payments]],0)</f>
        <v>27354.930788544447</v>
      </c>
      <c r="AO154" s="4">
        <f>AO153+IF(monthly_mortgage_schedule[[#This Row],[Interest With Extra Principal Payments]]&gt;0,monthly_mortgage_schedule[[#This Row],[Interest Without Extra Principal Payments]]-monthly_mortgage_schedule[[#This Row],[Interest With Extra Principal Payments]],0)</f>
        <v>6354.9307885444405</v>
      </c>
      <c r="AP154" s="4">
        <f>AP153+monthly_mortgage_schedule[[#This Row],[PMI Without Extra Principal Payments]]-monthly_mortgage_schedule[[#This Row],[PMI with Additional Payments]]</f>
        <v>990</v>
      </c>
      <c r="AQ154" s="4">
        <f t="shared" si="19"/>
        <v>31023.763776998545</v>
      </c>
      <c r="AR154" s="4">
        <f>Table60[[#This Row],[Cumulative Investments]]-monthly_mortgage_schedule[[#This Row],[Cumulative Extra Payments Towards Equity]]</f>
        <v>10023.763776998545</v>
      </c>
    </row>
    <row r="155" spans="9:44" x14ac:dyDescent="0.25">
      <c r="I155">
        <v>138</v>
      </c>
      <c r="J155">
        <f>IF(MOD(ROWS($J$18:J154),12)=0,J154+1,J154)</f>
        <v>2033</v>
      </c>
      <c r="K155" s="198">
        <f>IF(M155="#N/A",NA(),monthly_mortgage_schedule[[#This Row],[Month]])</f>
        <v>138</v>
      </c>
      <c r="L155" s="198">
        <f>IF(monthly_mortgage_schedule[[#This Row],[Calendar Year]]&gt;=$C$7,monthly_mortgage_schedule[[#This Row],[Calendar Year]],NA())</f>
        <v>2033</v>
      </c>
      <c r="M155" s="199">
        <f>IF((monthly_mortgage_schedule[[#This Row],[Calendar Year]]&gt;=$C$7)*(monthly_mortgage_schedule[[#This Row],[Calendar Year]]&lt;=$C$9),monthly_mortgage_schedule[[#This Row],[Begin Year (Range)]],NA())</f>
        <v>2033</v>
      </c>
      <c r="N155" s="214">
        <f>IF((monthly_mortgage_schedule[[#This Row],[Year (Range)]]&gt;=$C$7)*(monthly_mortgage_schedule[[#This Row],[Year (Range)]]&lt;=$C$9),X155,NA())</f>
        <v>1874.7276652607654</v>
      </c>
      <c r="O155" s="214">
        <f>IF((monthly_mortgage_schedule[[#This Row],[Year (Range)]]&gt;=$C$7)*(monthly_mortgage_schedule[[#This Row],[Year (Range)]]&lt;=$C$9),Y155,NA())</f>
        <v>1225.2988302026426</v>
      </c>
      <c r="P155" s="214">
        <f>IF((monthly_mortgage_schedule[[#This Row],[Year (Range)]]&gt;=$C$7)*(monthly_mortgage_schedule[[#This Row],[Year (Range)]]&lt;=$C$9),AG155,NA())</f>
        <v>2002.3840089406397</v>
      </c>
      <c r="Q155" s="214">
        <f>IF((monthly_mortgage_schedule[[#This Row],[Year (Range)]]&gt;=$C$7)*(monthly_mortgage_schedule[[#This Row],[Year (Range)]]&lt;=$C$9),AH155,NA())</f>
        <v>1097.6424865227684</v>
      </c>
      <c r="R155" s="214">
        <f>IF((monthly_mortgage_schedule[[#This Row],[Year (Range)]]&gt;=$C$7)*(monthly_mortgage_schedule[[#This Row],[Year (Range)]]&lt;=$C$9),AO155,NA())</f>
        <v>6482.5871322243147</v>
      </c>
      <c r="S155" s="214">
        <f>IF((monthly_mortgage_schedule[[#This Row],[Year (Range)]]&gt;=$C$7)*(monthly_mortgage_schedule[[#This Row],[Year (Range)]]&lt;=$C$9),AP155,NA())</f>
        <v>990</v>
      </c>
      <c r="T155" s="214">
        <f>IF((monthly_mortgage_schedule[[#This Row],[Year (Range)]]&gt;=$C$7)*(monthly_mortgage_schedule[[#This Row],[Year (Range)]]&lt;=$C$9),AR155,NA())</f>
        <v>10230.5888688452</v>
      </c>
      <c r="U155" s="214">
        <f>IF((monthly_mortgage_schedule[[#This Row],[Year (Range)]]&gt;=$C$7)*(monthly_mortgage_schedule[[#This Row],[Year (Range)]]&lt;=$C$9),AB155,NA())</f>
        <v>139497.94198860993</v>
      </c>
      <c r="V155" s="214">
        <f>IF((monthly_mortgage_schedule[[#This Row],[Year (Range)]]&gt;=$C$7)*(monthly_mortgage_schedule[[#This Row],[Year (Range)]]&lt;=$C$9),AI155,NA())</f>
        <v>112015.35485638565</v>
      </c>
      <c r="W155" s="187">
        <f t="shared" si="17"/>
        <v>401727.35684159258</v>
      </c>
      <c r="X155" s="4">
        <f t="shared" si="20"/>
        <v>1874.7276652607654</v>
      </c>
      <c r="Y155" s="4">
        <f t="shared" si="18"/>
        <v>1225.2988302026426</v>
      </c>
      <c r="Z155" s="4">
        <f>_xlfn.IFNA(INDEX(additional_mortgage_payments[],MATCH(monthly_mortgage_schedule[[#This Row],[Month]],additional_mortgage_payments[Month],0),3),0)</f>
        <v>0</v>
      </c>
      <c r="AA155" s="4">
        <f>AA154+monthly_mortgage_schedule[[#This Row],[Extra Payments Towards Equity]]</f>
        <v>21000</v>
      </c>
      <c r="AB155" s="4">
        <f>AB154+monthly_mortgage_schedule[[#This Row],[Principal With Extra Principal Payments]]+monthly_mortgage_schedule[[#This Row],[Extra Payments Towards Equity]]</f>
        <v>139497.94198860993</v>
      </c>
      <c r="AC155" s="4">
        <f>monthly_mortgage_schedule[[#This Row],[Cumulative Principal With Extra Principal Payments]]+down_payment_dollars</f>
        <v>199497.94198860993</v>
      </c>
      <c r="AD155" s="200">
        <f t="shared" si="15"/>
        <v>0</v>
      </c>
      <c r="AE15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400502.05801138992</v>
      </c>
      <c r="AF155" s="187">
        <f t="shared" si="21"/>
        <v>429082.28763013706</v>
      </c>
      <c r="AG155" s="4">
        <f>IF(monthly_mortgage_schedule[[#This Row],[Loan Balance (BOY) Without Extra Principal Payments]]&gt;0,monthly_mortgage_schedule[[#This Row],[Loan Balance (BOY) Without Extra Principal Payments]]*monthly_interest_rate,0)</f>
        <v>2002.3840089406397</v>
      </c>
      <c r="AH155" s="4">
        <f>IF(monthly_mortgage_schedule[[#This Row],[Loan Balance (BOY) Without Extra Principal Payments]]&gt;1,monthly_principal_and_interest-monthly_mortgage_schedule[[#This Row],[Interest Without Extra Principal Payments]],0)</f>
        <v>1097.6424865227684</v>
      </c>
      <c r="AI155" s="4">
        <f>AI154+monthly_mortgage_schedule[[#This Row],[Principal Without Extra Principal Payments]]</f>
        <v>112015.35485638565</v>
      </c>
      <c r="AJ155" s="4">
        <f>monthly_mortgage_schedule[[#This Row],[Cumulative Principal Without Extra Principal Payments]]+down_payment_dollars</f>
        <v>172015.35485638565</v>
      </c>
      <c r="AK155" s="200">
        <f t="shared" si="16"/>
        <v>0</v>
      </c>
      <c r="AL15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427984.64514361427</v>
      </c>
      <c r="AN155" s="196">
        <f>monthly_mortgage_schedule[[#This Row],[Extra Payments Towards Equity]]+AN154+IF(monthly_mortgage_schedule[[#This Row],[Interest With Extra Principal Payments]]&gt;0,monthly_mortgage_schedule[[#This Row],[Interest Without Extra Principal Payments]]-monthly_mortgage_schedule[[#This Row],[Interest With Extra Principal Payments]],0)</f>
        <v>27482.587132224322</v>
      </c>
      <c r="AO155" s="4">
        <f>AO154+IF(monthly_mortgage_schedule[[#This Row],[Interest With Extra Principal Payments]]&gt;0,monthly_mortgage_schedule[[#This Row],[Interest Without Extra Principal Payments]]-monthly_mortgage_schedule[[#This Row],[Interest With Extra Principal Payments]],0)</f>
        <v>6482.5871322243147</v>
      </c>
      <c r="AP155" s="4">
        <f>AP154+monthly_mortgage_schedule[[#This Row],[PMI Without Extra Principal Payments]]-monthly_mortgage_schedule[[#This Row],[PMI with Additional Payments]]</f>
        <v>990</v>
      </c>
      <c r="AQ155" s="4">
        <f t="shared" si="19"/>
        <v>31230.5888688452</v>
      </c>
      <c r="AR155" s="4">
        <f>Table60[[#This Row],[Cumulative Investments]]-monthly_mortgage_schedule[[#This Row],[Cumulative Extra Payments Towards Equity]]</f>
        <v>10230.5888688452</v>
      </c>
    </row>
    <row r="156" spans="9:44" x14ac:dyDescent="0.25">
      <c r="I156">
        <v>139</v>
      </c>
      <c r="J156">
        <f>IF(MOD(ROWS($J$18:J155),12)=0,J155+1,J155)</f>
        <v>2033</v>
      </c>
      <c r="K156" s="198">
        <f>IF(M156="#N/A",NA(),monthly_mortgage_schedule[[#This Row],[Month]])</f>
        <v>139</v>
      </c>
      <c r="L156" s="198">
        <f>IF(monthly_mortgage_schedule[[#This Row],[Calendar Year]]&gt;=$C$7,monthly_mortgage_schedule[[#This Row],[Calendar Year]],NA())</f>
        <v>2033</v>
      </c>
      <c r="M156" s="199">
        <f>IF((monthly_mortgage_schedule[[#This Row],[Calendar Year]]&gt;=$C$7)*(monthly_mortgage_schedule[[#This Row],[Calendar Year]]&lt;=$C$9),monthly_mortgage_schedule[[#This Row],[Begin Year (Range)]],NA())</f>
        <v>2033</v>
      </c>
      <c r="N156" s="214">
        <f>IF((monthly_mortgage_schedule[[#This Row],[Year (Range)]]&gt;=$C$7)*(monthly_mortgage_schedule[[#This Row],[Year (Range)]]&lt;=$C$9),X156,NA())</f>
        <v>1869.0096040531532</v>
      </c>
      <c r="O156" s="214">
        <f>IF((monthly_mortgage_schedule[[#This Row],[Year (Range)]]&gt;=$C$7)*(monthly_mortgage_schedule[[#This Row],[Year (Range)]]&lt;=$C$9),Y156,NA())</f>
        <v>1231.0168914102549</v>
      </c>
      <c r="P156" s="214">
        <f>IF((monthly_mortgage_schedule[[#This Row],[Year (Range)]]&gt;=$C$7)*(monthly_mortgage_schedule[[#This Row],[Year (Range)]]&lt;=$C$9),AG156,NA())</f>
        <v>1997.2616773368668</v>
      </c>
      <c r="Q156" s="214">
        <f>IF((monthly_mortgage_schedule[[#This Row],[Year (Range)]]&gt;=$C$7)*(monthly_mortgage_schedule[[#This Row],[Year (Range)]]&lt;=$C$9),AH156,NA())</f>
        <v>1102.7648181265413</v>
      </c>
      <c r="R156" s="214">
        <f>IF((monthly_mortgage_schedule[[#This Row],[Year (Range)]]&gt;=$C$7)*(monthly_mortgage_schedule[[#This Row],[Year (Range)]]&lt;=$C$9),AO156,NA())</f>
        <v>6610.8392055080285</v>
      </c>
      <c r="S156" s="214">
        <f>IF((monthly_mortgage_schedule[[#This Row],[Year (Range)]]&gt;=$C$7)*(monthly_mortgage_schedule[[#This Row],[Year (Range)]]&lt;=$C$9),AP156,NA())</f>
        <v>990</v>
      </c>
      <c r="T156" s="214">
        <f>IF((monthly_mortgage_schedule[[#This Row],[Year (Range)]]&gt;=$C$7)*(monthly_mortgage_schedule[[#This Row],[Year (Range)]]&lt;=$C$9),AR156,NA())</f>
        <v>10438.792794637498</v>
      </c>
      <c r="U156" s="214">
        <f>IF((monthly_mortgage_schedule[[#This Row],[Year (Range)]]&gt;=$C$7)*(monthly_mortgage_schedule[[#This Row],[Year (Range)]]&lt;=$C$9),AB156,NA())</f>
        <v>140728.95888002019</v>
      </c>
      <c r="V156" s="214">
        <f>IF((monthly_mortgage_schedule[[#This Row],[Year (Range)]]&gt;=$C$7)*(monthly_mortgage_schedule[[#This Row],[Year (Range)]]&lt;=$C$9),AI156,NA())</f>
        <v>113118.11967451219</v>
      </c>
      <c r="W156" s="187">
        <f t="shared" si="17"/>
        <v>400502.05801138992</v>
      </c>
      <c r="X156" s="4">
        <f t="shared" si="20"/>
        <v>1869.0096040531532</v>
      </c>
      <c r="Y156" s="4">
        <f t="shared" si="18"/>
        <v>1231.0168914102549</v>
      </c>
      <c r="Z156" s="4">
        <f>_xlfn.IFNA(INDEX(additional_mortgage_payments[],MATCH(monthly_mortgage_schedule[[#This Row],[Month]],additional_mortgage_payments[Month],0),3),0)</f>
        <v>0</v>
      </c>
      <c r="AA156" s="4">
        <f>AA155+monthly_mortgage_schedule[[#This Row],[Extra Payments Towards Equity]]</f>
        <v>21000</v>
      </c>
      <c r="AB156" s="4">
        <f>AB155+monthly_mortgage_schedule[[#This Row],[Principal With Extra Principal Payments]]+monthly_mortgage_schedule[[#This Row],[Extra Payments Towards Equity]]</f>
        <v>140728.95888002019</v>
      </c>
      <c r="AC156" s="4">
        <f>monthly_mortgage_schedule[[#This Row],[Cumulative Principal With Extra Principal Payments]]+down_payment_dollars</f>
        <v>200728.95888002019</v>
      </c>
      <c r="AD156" s="200">
        <f t="shared" si="15"/>
        <v>0</v>
      </c>
      <c r="AE15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399271.04111997964</v>
      </c>
      <c r="AF156" s="187">
        <f t="shared" si="21"/>
        <v>427984.64514361427</v>
      </c>
      <c r="AG156" s="4">
        <f>IF(monthly_mortgage_schedule[[#This Row],[Loan Balance (BOY) Without Extra Principal Payments]]&gt;0,monthly_mortgage_schedule[[#This Row],[Loan Balance (BOY) Without Extra Principal Payments]]*monthly_interest_rate,0)</f>
        <v>1997.2616773368668</v>
      </c>
      <c r="AH156" s="4">
        <f>IF(monthly_mortgage_schedule[[#This Row],[Loan Balance (BOY) Without Extra Principal Payments]]&gt;1,monthly_principal_and_interest-monthly_mortgage_schedule[[#This Row],[Interest Without Extra Principal Payments]],0)</f>
        <v>1102.7648181265413</v>
      </c>
      <c r="AI156" s="4">
        <f>AI155+monthly_mortgage_schedule[[#This Row],[Principal Without Extra Principal Payments]]</f>
        <v>113118.11967451219</v>
      </c>
      <c r="AJ156" s="4">
        <f>monthly_mortgage_schedule[[#This Row],[Cumulative Principal Without Extra Principal Payments]]+down_payment_dollars</f>
        <v>173118.11967451219</v>
      </c>
      <c r="AK156" s="200">
        <f t="shared" si="16"/>
        <v>0</v>
      </c>
      <c r="AL15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426881.8803254877</v>
      </c>
      <c r="AN156" s="196">
        <f>monthly_mortgage_schedule[[#This Row],[Extra Payments Towards Equity]]+AN155+IF(monthly_mortgage_schedule[[#This Row],[Interest With Extra Principal Payments]]&gt;0,monthly_mortgage_schedule[[#This Row],[Interest Without Extra Principal Payments]]-monthly_mortgage_schedule[[#This Row],[Interest With Extra Principal Payments]],0)</f>
        <v>27610.839205508037</v>
      </c>
      <c r="AO156" s="4">
        <f>AO155+IF(monthly_mortgage_schedule[[#This Row],[Interest With Extra Principal Payments]]&gt;0,monthly_mortgage_schedule[[#This Row],[Interest Without Extra Principal Payments]]-monthly_mortgage_schedule[[#This Row],[Interest With Extra Principal Payments]],0)</f>
        <v>6610.8392055080285</v>
      </c>
      <c r="AP156" s="4">
        <f>AP155+monthly_mortgage_schedule[[#This Row],[PMI Without Extra Principal Payments]]-monthly_mortgage_schedule[[#This Row],[PMI with Additional Payments]]</f>
        <v>990</v>
      </c>
      <c r="AQ156" s="4">
        <f t="shared" si="19"/>
        <v>31438.792794637498</v>
      </c>
      <c r="AR156" s="4">
        <f>Table60[[#This Row],[Cumulative Investments]]-monthly_mortgage_schedule[[#This Row],[Cumulative Extra Payments Towards Equity]]</f>
        <v>10438.792794637498</v>
      </c>
    </row>
    <row r="157" spans="9:44" x14ac:dyDescent="0.25">
      <c r="I157">
        <v>140</v>
      </c>
      <c r="J157">
        <f>IF(MOD(ROWS($J$18:J156),12)=0,J156+1,J156)</f>
        <v>2033</v>
      </c>
      <c r="K157" s="198">
        <f>IF(M157="#N/A",NA(),monthly_mortgage_schedule[[#This Row],[Month]])</f>
        <v>140</v>
      </c>
      <c r="L157" s="198">
        <f>IF(monthly_mortgage_schedule[[#This Row],[Calendar Year]]&gt;=$C$7,monthly_mortgage_schedule[[#This Row],[Calendar Year]],NA())</f>
        <v>2033</v>
      </c>
      <c r="M157" s="199">
        <f>IF((monthly_mortgage_schedule[[#This Row],[Calendar Year]]&gt;=$C$7)*(monthly_mortgage_schedule[[#This Row],[Calendar Year]]&lt;=$C$9),monthly_mortgage_schedule[[#This Row],[Begin Year (Range)]],NA())</f>
        <v>2033</v>
      </c>
      <c r="N157" s="214">
        <f>IF((monthly_mortgage_schedule[[#This Row],[Year (Range)]]&gt;=$C$7)*(monthly_mortgage_schedule[[#This Row],[Year (Range)]]&lt;=$C$9),X157,NA())</f>
        <v>1863.2648585599052</v>
      </c>
      <c r="O157" s="214">
        <f>IF((monthly_mortgage_schedule[[#This Row],[Year (Range)]]&gt;=$C$7)*(monthly_mortgage_schedule[[#This Row],[Year (Range)]]&lt;=$C$9),Y157,NA())</f>
        <v>1236.7616369035029</v>
      </c>
      <c r="P157" s="214">
        <f>IF((monthly_mortgage_schedule[[#This Row],[Year (Range)]]&gt;=$C$7)*(monthly_mortgage_schedule[[#This Row],[Year (Range)]]&lt;=$C$9),AG157,NA())</f>
        <v>1992.1154415189428</v>
      </c>
      <c r="Q157" s="214">
        <f>IF((monthly_mortgage_schedule[[#This Row],[Year (Range)]]&gt;=$C$7)*(monthly_mortgage_schedule[[#This Row],[Year (Range)]]&lt;=$C$9),AH157,NA())</f>
        <v>1107.9110539444653</v>
      </c>
      <c r="R157" s="214">
        <f>IF((monthly_mortgage_schedule[[#This Row],[Year (Range)]]&gt;=$C$7)*(monthly_mortgage_schedule[[#This Row],[Year (Range)]]&lt;=$C$9),AO157,NA())</f>
        <v>6739.6897884670661</v>
      </c>
      <c r="S157" s="214">
        <f>IF((monthly_mortgage_schedule[[#This Row],[Year (Range)]]&gt;=$C$7)*(monthly_mortgage_schedule[[#This Row],[Year (Range)]]&lt;=$C$9),AP157,NA())</f>
        <v>990</v>
      </c>
      <c r="T157" s="214">
        <f>IF((monthly_mortgage_schedule[[#This Row],[Year (Range)]]&gt;=$C$7)*(monthly_mortgage_schedule[[#This Row],[Year (Range)]]&lt;=$C$9),AR157,NA())</f>
        <v>10698.384746601747</v>
      </c>
      <c r="U157" s="214">
        <f>IF((monthly_mortgage_schedule[[#This Row],[Year (Range)]]&gt;=$C$7)*(monthly_mortgage_schedule[[#This Row],[Year (Range)]]&lt;=$C$9),AB157,NA())</f>
        <v>149465.7205169237</v>
      </c>
      <c r="V157" s="214">
        <f>IF((monthly_mortgage_schedule[[#This Row],[Year (Range)]]&gt;=$C$7)*(monthly_mortgage_schedule[[#This Row],[Year (Range)]]&lt;=$C$9),AI157,NA())</f>
        <v>114226.03072845665</v>
      </c>
      <c r="W157" s="187">
        <f t="shared" si="17"/>
        <v>399271.04111997964</v>
      </c>
      <c r="X157" s="4">
        <f t="shared" si="20"/>
        <v>1863.2648585599052</v>
      </c>
      <c r="Y157" s="4">
        <f t="shared" si="18"/>
        <v>1236.7616369035029</v>
      </c>
      <c r="Z157" s="4">
        <f>_xlfn.IFNA(INDEX(additional_mortgage_payments[],MATCH(monthly_mortgage_schedule[[#This Row],[Month]],additional_mortgage_payments[Month],0),3),0)</f>
        <v>7500</v>
      </c>
      <c r="AA157" s="4">
        <f>AA156+monthly_mortgage_schedule[[#This Row],[Extra Payments Towards Equity]]</f>
        <v>28500</v>
      </c>
      <c r="AB157" s="4">
        <f>AB156+monthly_mortgage_schedule[[#This Row],[Principal With Extra Principal Payments]]+monthly_mortgage_schedule[[#This Row],[Extra Payments Towards Equity]]</f>
        <v>149465.7205169237</v>
      </c>
      <c r="AC157" s="4">
        <f>monthly_mortgage_schedule[[#This Row],[Cumulative Principal With Extra Principal Payments]]+down_payment_dollars</f>
        <v>209465.7205169237</v>
      </c>
      <c r="AD157" s="200">
        <f t="shared" si="15"/>
        <v>0</v>
      </c>
      <c r="AE15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390534.27948307613</v>
      </c>
      <c r="AF157" s="187">
        <f t="shared" si="21"/>
        <v>426881.8803254877</v>
      </c>
      <c r="AG157" s="4">
        <f>IF(monthly_mortgage_schedule[[#This Row],[Loan Balance (BOY) Without Extra Principal Payments]]&gt;0,monthly_mortgage_schedule[[#This Row],[Loan Balance (BOY) Without Extra Principal Payments]]*monthly_interest_rate,0)</f>
        <v>1992.1154415189428</v>
      </c>
      <c r="AH157" s="4">
        <f>IF(monthly_mortgage_schedule[[#This Row],[Loan Balance (BOY) Without Extra Principal Payments]]&gt;1,monthly_principal_and_interest-monthly_mortgage_schedule[[#This Row],[Interest Without Extra Principal Payments]],0)</f>
        <v>1107.9110539444653</v>
      </c>
      <c r="AI157" s="4">
        <f>AI156+monthly_mortgage_schedule[[#This Row],[Principal Without Extra Principal Payments]]</f>
        <v>114226.03072845665</v>
      </c>
      <c r="AJ157" s="4">
        <f>monthly_mortgage_schedule[[#This Row],[Cumulative Principal Without Extra Principal Payments]]+down_payment_dollars</f>
        <v>174226.03072845665</v>
      </c>
      <c r="AK157" s="200">
        <f t="shared" si="16"/>
        <v>0</v>
      </c>
      <c r="AL15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425773.96927154326</v>
      </c>
      <c r="AN157" s="196">
        <f>monthly_mortgage_schedule[[#This Row],[Extra Payments Towards Equity]]+AN156+IF(monthly_mortgage_schedule[[#This Row],[Interest With Extra Principal Payments]]&gt;0,monthly_mortgage_schedule[[#This Row],[Interest Without Extra Principal Payments]]-monthly_mortgage_schedule[[#This Row],[Interest With Extra Principal Payments]],0)</f>
        <v>35239.689788467069</v>
      </c>
      <c r="AO157" s="4">
        <f>AO156+IF(monthly_mortgage_schedule[[#This Row],[Interest With Extra Principal Payments]]&gt;0,monthly_mortgage_schedule[[#This Row],[Interest Without Extra Principal Payments]]-monthly_mortgage_schedule[[#This Row],[Interest With Extra Principal Payments]],0)</f>
        <v>6739.6897884670661</v>
      </c>
      <c r="AP157" s="4">
        <f>AP156+monthly_mortgage_schedule[[#This Row],[PMI Without Extra Principal Payments]]-monthly_mortgage_schedule[[#This Row],[PMI with Additional Payments]]</f>
        <v>990</v>
      </c>
      <c r="AQ157" s="4">
        <f t="shared" si="19"/>
        <v>39198.384746601747</v>
      </c>
      <c r="AR157" s="4">
        <f>Table60[[#This Row],[Cumulative Investments]]-monthly_mortgage_schedule[[#This Row],[Cumulative Extra Payments Towards Equity]]</f>
        <v>10698.384746601747</v>
      </c>
    </row>
    <row r="158" spans="9:44" x14ac:dyDescent="0.25">
      <c r="I158">
        <v>141</v>
      </c>
      <c r="J158">
        <f>IF(MOD(ROWS($J$18:J157),12)=0,J157+1,J157)</f>
        <v>2033</v>
      </c>
      <c r="K158" s="198">
        <f>IF(M158="#N/A",NA(),monthly_mortgage_schedule[[#This Row],[Month]])</f>
        <v>141</v>
      </c>
      <c r="L158" s="198">
        <f>IF(monthly_mortgage_schedule[[#This Row],[Calendar Year]]&gt;=$C$7,monthly_mortgage_schedule[[#This Row],[Calendar Year]],NA())</f>
        <v>2033</v>
      </c>
      <c r="M158" s="199">
        <f>IF((monthly_mortgage_schedule[[#This Row],[Calendar Year]]&gt;=$C$7)*(monthly_mortgage_schedule[[#This Row],[Calendar Year]]&lt;=$C$9),monthly_mortgage_schedule[[#This Row],[Begin Year (Range)]],NA())</f>
        <v>2033</v>
      </c>
      <c r="N158" s="214">
        <f>IF((monthly_mortgage_schedule[[#This Row],[Year (Range)]]&gt;=$C$7)*(monthly_mortgage_schedule[[#This Row],[Year (Range)]]&lt;=$C$9),X158,NA())</f>
        <v>1822.4933042543555</v>
      </c>
      <c r="O158" s="214">
        <f>IF((monthly_mortgage_schedule[[#This Row],[Year (Range)]]&gt;=$C$7)*(monthly_mortgage_schedule[[#This Row],[Year (Range)]]&lt;=$C$9),Y158,NA())</f>
        <v>1277.5331912090526</v>
      </c>
      <c r="P158" s="214">
        <f>IF((monthly_mortgage_schedule[[#This Row],[Year (Range)]]&gt;=$C$7)*(monthly_mortgage_schedule[[#This Row],[Year (Range)]]&lt;=$C$9),AG158,NA())</f>
        <v>1986.9451899338687</v>
      </c>
      <c r="Q158" s="214">
        <f>IF((monthly_mortgage_schedule[[#This Row],[Year (Range)]]&gt;=$C$7)*(monthly_mortgage_schedule[[#This Row],[Year (Range)]]&lt;=$C$9),AH158,NA())</f>
        <v>1113.0813055295393</v>
      </c>
      <c r="R158" s="214">
        <f>IF((monthly_mortgage_schedule[[#This Row],[Year (Range)]]&gt;=$C$7)*(monthly_mortgage_schedule[[#This Row],[Year (Range)]]&lt;=$C$9),AO158,NA())</f>
        <v>6904.1416741465791</v>
      </c>
      <c r="S158" s="214">
        <f>IF((monthly_mortgage_schedule[[#This Row],[Year (Range)]]&gt;=$C$7)*(monthly_mortgage_schedule[[#This Row],[Year (Range)]]&lt;=$C$9),AP158,NA())</f>
        <v>990</v>
      </c>
      <c r="T158" s="214">
        <f>IF((monthly_mortgage_schedule[[#This Row],[Year (Range)]]&gt;=$C$7)*(monthly_mortgage_schedule[[#This Row],[Year (Range)]]&lt;=$C$9),AR158,NA())</f>
        <v>10959.707311579092</v>
      </c>
      <c r="U158" s="214">
        <f>IF((monthly_mortgage_schedule[[#This Row],[Year (Range)]]&gt;=$C$7)*(monthly_mortgage_schedule[[#This Row],[Year (Range)]]&lt;=$C$9),AB158,NA())</f>
        <v>150743.25370813275</v>
      </c>
      <c r="V158" s="214">
        <f>IF((monthly_mortgage_schedule[[#This Row],[Year (Range)]]&gt;=$C$7)*(monthly_mortgage_schedule[[#This Row],[Year (Range)]]&lt;=$C$9),AI158,NA())</f>
        <v>115339.1120339862</v>
      </c>
      <c r="W158" s="187">
        <f t="shared" si="17"/>
        <v>390534.27948307613</v>
      </c>
      <c r="X158" s="4">
        <f t="shared" si="20"/>
        <v>1822.4933042543555</v>
      </c>
      <c r="Y158" s="4">
        <f t="shared" si="18"/>
        <v>1277.5331912090526</v>
      </c>
      <c r="Z158" s="4">
        <f>_xlfn.IFNA(INDEX(additional_mortgage_payments[],MATCH(monthly_mortgage_schedule[[#This Row],[Month]],additional_mortgage_payments[Month],0),3),0)</f>
        <v>0</v>
      </c>
      <c r="AA158" s="4">
        <f>AA157+monthly_mortgage_schedule[[#This Row],[Extra Payments Towards Equity]]</f>
        <v>28500</v>
      </c>
      <c r="AB158" s="4">
        <f>AB157+monthly_mortgage_schedule[[#This Row],[Principal With Extra Principal Payments]]+monthly_mortgage_schedule[[#This Row],[Extra Payments Towards Equity]]</f>
        <v>150743.25370813275</v>
      </c>
      <c r="AC158" s="4">
        <f>monthly_mortgage_schedule[[#This Row],[Cumulative Principal With Extra Principal Payments]]+down_payment_dollars</f>
        <v>210743.25370813275</v>
      </c>
      <c r="AD158" s="200">
        <f t="shared" si="15"/>
        <v>0</v>
      </c>
      <c r="AE15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389256.74629186705</v>
      </c>
      <c r="AF158" s="187">
        <f t="shared" si="21"/>
        <v>425773.96927154326</v>
      </c>
      <c r="AG158" s="4">
        <f>IF(monthly_mortgage_schedule[[#This Row],[Loan Balance (BOY) Without Extra Principal Payments]]&gt;0,monthly_mortgage_schedule[[#This Row],[Loan Balance (BOY) Without Extra Principal Payments]]*monthly_interest_rate,0)</f>
        <v>1986.9451899338687</v>
      </c>
      <c r="AH158" s="4">
        <f>IF(monthly_mortgage_schedule[[#This Row],[Loan Balance (BOY) Without Extra Principal Payments]]&gt;1,monthly_principal_and_interest-monthly_mortgage_schedule[[#This Row],[Interest Without Extra Principal Payments]],0)</f>
        <v>1113.0813055295393</v>
      </c>
      <c r="AI158" s="4">
        <f>AI157+monthly_mortgage_schedule[[#This Row],[Principal Without Extra Principal Payments]]</f>
        <v>115339.1120339862</v>
      </c>
      <c r="AJ158" s="4">
        <f>monthly_mortgage_schedule[[#This Row],[Cumulative Principal Without Extra Principal Payments]]+down_payment_dollars</f>
        <v>175339.1120339862</v>
      </c>
      <c r="AK158" s="200">
        <f t="shared" si="16"/>
        <v>0</v>
      </c>
      <c r="AL15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424660.88796601375</v>
      </c>
      <c r="AN158" s="196">
        <f>monthly_mortgage_schedule[[#This Row],[Extra Payments Towards Equity]]+AN157+IF(monthly_mortgage_schedule[[#This Row],[Interest With Extra Principal Payments]]&gt;0,monthly_mortgage_schedule[[#This Row],[Interest Without Extra Principal Payments]]-monthly_mortgage_schedule[[#This Row],[Interest With Extra Principal Payments]],0)</f>
        <v>35404.14167414658</v>
      </c>
      <c r="AO158" s="4">
        <f>AO157+IF(monthly_mortgage_schedule[[#This Row],[Interest With Extra Principal Payments]]&gt;0,monthly_mortgage_schedule[[#This Row],[Interest Without Extra Principal Payments]]-monthly_mortgage_schedule[[#This Row],[Interest With Extra Principal Payments]],0)</f>
        <v>6904.1416741465791</v>
      </c>
      <c r="AP158" s="4">
        <f>AP157+monthly_mortgage_schedule[[#This Row],[PMI Without Extra Principal Payments]]-monthly_mortgage_schedule[[#This Row],[PMI with Additional Payments]]</f>
        <v>990</v>
      </c>
      <c r="AQ158" s="4">
        <f t="shared" si="19"/>
        <v>39459.707311579092</v>
      </c>
      <c r="AR158" s="4">
        <f>Table60[[#This Row],[Cumulative Investments]]-monthly_mortgage_schedule[[#This Row],[Cumulative Extra Payments Towards Equity]]</f>
        <v>10959.707311579092</v>
      </c>
    </row>
    <row r="159" spans="9:44" x14ac:dyDescent="0.25">
      <c r="I159">
        <v>142</v>
      </c>
      <c r="J159">
        <f>IF(MOD(ROWS($J$18:J158),12)=0,J158+1,J158)</f>
        <v>2033</v>
      </c>
      <c r="K159" s="198">
        <f>IF(M159="#N/A",NA(),monthly_mortgage_schedule[[#This Row],[Month]])</f>
        <v>142</v>
      </c>
      <c r="L159" s="198">
        <f>IF(monthly_mortgage_schedule[[#This Row],[Calendar Year]]&gt;=$C$7,monthly_mortgage_schedule[[#This Row],[Calendar Year]],NA())</f>
        <v>2033</v>
      </c>
      <c r="M159" s="199">
        <f>IF((monthly_mortgage_schedule[[#This Row],[Calendar Year]]&gt;=$C$7)*(monthly_mortgage_schedule[[#This Row],[Calendar Year]]&lt;=$C$9),monthly_mortgage_schedule[[#This Row],[Begin Year (Range)]],NA())</f>
        <v>2033</v>
      </c>
      <c r="N159" s="214">
        <f>IF((monthly_mortgage_schedule[[#This Row],[Year (Range)]]&gt;=$C$7)*(monthly_mortgage_schedule[[#This Row],[Year (Range)]]&lt;=$C$9),X159,NA())</f>
        <v>1816.5314826953797</v>
      </c>
      <c r="O159" s="214">
        <f>IF((monthly_mortgage_schedule[[#This Row],[Year (Range)]]&gt;=$C$7)*(monthly_mortgage_schedule[[#This Row],[Year (Range)]]&lt;=$C$9),Y159,NA())</f>
        <v>1283.4950127680283</v>
      </c>
      <c r="P159" s="214">
        <f>IF((monthly_mortgage_schedule[[#This Row],[Year (Range)]]&gt;=$C$7)*(monthly_mortgage_schedule[[#This Row],[Year (Range)]]&lt;=$C$9),AG159,NA())</f>
        <v>1981.7508105080642</v>
      </c>
      <c r="Q159" s="214">
        <f>IF((monthly_mortgage_schedule[[#This Row],[Year (Range)]]&gt;=$C$7)*(monthly_mortgage_schedule[[#This Row],[Year (Range)]]&lt;=$C$9),AH159,NA())</f>
        <v>1118.2756849553439</v>
      </c>
      <c r="R159" s="214">
        <f>IF((monthly_mortgage_schedule[[#This Row],[Year (Range)]]&gt;=$C$7)*(monthly_mortgage_schedule[[#This Row],[Year (Range)]]&lt;=$C$9),AO159,NA())</f>
        <v>7069.3610019592634</v>
      </c>
      <c r="S159" s="214">
        <f>IF((monthly_mortgage_schedule[[#This Row],[Year (Range)]]&gt;=$C$7)*(monthly_mortgage_schedule[[#This Row],[Year (Range)]]&lt;=$C$9),AP159,NA())</f>
        <v>990</v>
      </c>
      <c r="T159" s="214">
        <f>IF((monthly_mortgage_schedule[[#This Row],[Year (Range)]]&gt;=$C$7)*(monthly_mortgage_schedule[[#This Row],[Year (Range)]]&lt;=$C$9),AR159,NA())</f>
        <v>11222.772026989616</v>
      </c>
      <c r="U159" s="214">
        <f>IF((monthly_mortgage_schedule[[#This Row],[Year (Range)]]&gt;=$C$7)*(monthly_mortgage_schedule[[#This Row],[Year (Range)]]&lt;=$C$9),AB159,NA())</f>
        <v>152026.74872090077</v>
      </c>
      <c r="V159" s="214">
        <f>IF((monthly_mortgage_schedule[[#This Row],[Year (Range)]]&gt;=$C$7)*(monthly_mortgage_schedule[[#This Row],[Year (Range)]]&lt;=$C$9),AI159,NA())</f>
        <v>116457.38771894154</v>
      </c>
      <c r="W159" s="187">
        <f t="shared" si="17"/>
        <v>389256.74629186705</v>
      </c>
      <c r="X159" s="4">
        <f t="shared" si="20"/>
        <v>1816.5314826953797</v>
      </c>
      <c r="Y159" s="4">
        <f t="shared" si="18"/>
        <v>1283.4950127680283</v>
      </c>
      <c r="Z159" s="4">
        <f>_xlfn.IFNA(INDEX(additional_mortgage_payments[],MATCH(monthly_mortgage_schedule[[#This Row],[Month]],additional_mortgage_payments[Month],0),3),0)</f>
        <v>0</v>
      </c>
      <c r="AA159" s="4">
        <f>AA158+monthly_mortgage_schedule[[#This Row],[Extra Payments Towards Equity]]</f>
        <v>28500</v>
      </c>
      <c r="AB159" s="4">
        <f>AB158+monthly_mortgage_schedule[[#This Row],[Principal With Extra Principal Payments]]+monthly_mortgage_schedule[[#This Row],[Extra Payments Towards Equity]]</f>
        <v>152026.74872090077</v>
      </c>
      <c r="AC159" s="4">
        <f>monthly_mortgage_schedule[[#This Row],[Cumulative Principal With Extra Principal Payments]]+down_payment_dollars</f>
        <v>212026.74872090077</v>
      </c>
      <c r="AD159" s="200">
        <f t="shared" si="15"/>
        <v>0</v>
      </c>
      <c r="AE15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387973.25127909903</v>
      </c>
      <c r="AF159" s="187">
        <f t="shared" si="21"/>
        <v>424660.88796601375</v>
      </c>
      <c r="AG159" s="4">
        <f>IF(monthly_mortgage_schedule[[#This Row],[Loan Balance (BOY) Without Extra Principal Payments]]&gt;0,monthly_mortgage_schedule[[#This Row],[Loan Balance (BOY) Without Extra Principal Payments]]*monthly_interest_rate,0)</f>
        <v>1981.7508105080642</v>
      </c>
      <c r="AH159" s="4">
        <f>IF(monthly_mortgage_schedule[[#This Row],[Loan Balance (BOY) Without Extra Principal Payments]]&gt;1,monthly_principal_and_interest-monthly_mortgage_schedule[[#This Row],[Interest Without Extra Principal Payments]],0)</f>
        <v>1118.2756849553439</v>
      </c>
      <c r="AI159" s="4">
        <f>AI158+monthly_mortgage_schedule[[#This Row],[Principal Without Extra Principal Payments]]</f>
        <v>116457.38771894154</v>
      </c>
      <c r="AJ159" s="4">
        <f>monthly_mortgage_schedule[[#This Row],[Cumulative Principal Without Extra Principal Payments]]+down_payment_dollars</f>
        <v>176457.38771894155</v>
      </c>
      <c r="AK159" s="200">
        <f t="shared" si="16"/>
        <v>0</v>
      </c>
      <c r="AL15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423542.61228105839</v>
      </c>
      <c r="AN159" s="196">
        <f>monthly_mortgage_schedule[[#This Row],[Extra Payments Towards Equity]]+AN158+IF(monthly_mortgage_schedule[[#This Row],[Interest With Extra Principal Payments]]&gt;0,monthly_mortgage_schedule[[#This Row],[Interest Without Extra Principal Payments]]-monthly_mortgage_schedule[[#This Row],[Interest With Extra Principal Payments]],0)</f>
        <v>35569.361001959267</v>
      </c>
      <c r="AO159" s="4">
        <f>AO158+IF(monthly_mortgage_schedule[[#This Row],[Interest With Extra Principal Payments]]&gt;0,monthly_mortgage_schedule[[#This Row],[Interest Without Extra Principal Payments]]-monthly_mortgage_schedule[[#This Row],[Interest With Extra Principal Payments]],0)</f>
        <v>7069.3610019592634</v>
      </c>
      <c r="AP159" s="4">
        <f>AP158+monthly_mortgage_schedule[[#This Row],[PMI Without Extra Principal Payments]]-monthly_mortgage_schedule[[#This Row],[PMI with Additional Payments]]</f>
        <v>990</v>
      </c>
      <c r="AQ159" s="4">
        <f t="shared" si="19"/>
        <v>39722.772026989616</v>
      </c>
      <c r="AR159" s="4">
        <f>Table60[[#This Row],[Cumulative Investments]]-monthly_mortgage_schedule[[#This Row],[Cumulative Extra Payments Towards Equity]]</f>
        <v>11222.772026989616</v>
      </c>
    </row>
    <row r="160" spans="9:44" x14ac:dyDescent="0.25">
      <c r="I160">
        <v>143</v>
      </c>
      <c r="J160">
        <f>IF(MOD(ROWS($J$18:J159),12)=0,J159+1,J159)</f>
        <v>2033</v>
      </c>
      <c r="K160" s="198">
        <f>IF(M160="#N/A",NA(),monthly_mortgage_schedule[[#This Row],[Month]])</f>
        <v>143</v>
      </c>
      <c r="L160" s="198">
        <f>IF(monthly_mortgage_schedule[[#This Row],[Calendar Year]]&gt;=$C$7,monthly_mortgage_schedule[[#This Row],[Calendar Year]],NA())</f>
        <v>2033</v>
      </c>
      <c r="M160" s="199">
        <f>IF((monthly_mortgage_schedule[[#This Row],[Calendar Year]]&gt;=$C$7)*(monthly_mortgage_schedule[[#This Row],[Calendar Year]]&lt;=$C$9),monthly_mortgage_schedule[[#This Row],[Begin Year (Range)]],NA())</f>
        <v>2033</v>
      </c>
      <c r="N160" s="214">
        <f>IF((monthly_mortgage_schedule[[#This Row],[Year (Range)]]&gt;=$C$7)*(monthly_mortgage_schedule[[#This Row],[Year (Range)]]&lt;=$C$9),X160,NA())</f>
        <v>1810.5418393024622</v>
      </c>
      <c r="O160" s="214">
        <f>IF((monthly_mortgage_schedule[[#This Row],[Year (Range)]]&gt;=$C$7)*(monthly_mortgage_schedule[[#This Row],[Year (Range)]]&lt;=$C$9),Y160,NA())</f>
        <v>1289.4846561609459</v>
      </c>
      <c r="P160" s="214">
        <f>IF((monthly_mortgage_schedule[[#This Row],[Year (Range)]]&gt;=$C$7)*(monthly_mortgage_schedule[[#This Row],[Year (Range)]]&lt;=$C$9),AG160,NA())</f>
        <v>1976.5321906449394</v>
      </c>
      <c r="Q160" s="214">
        <f>IF((monthly_mortgage_schedule[[#This Row],[Year (Range)]]&gt;=$C$7)*(monthly_mortgage_schedule[[#This Row],[Year (Range)]]&lt;=$C$9),AH160,NA())</f>
        <v>1123.4943048184687</v>
      </c>
      <c r="R160" s="214">
        <f>IF((monthly_mortgage_schedule[[#This Row],[Year (Range)]]&gt;=$C$7)*(monthly_mortgage_schedule[[#This Row],[Year (Range)]]&lt;=$C$9),AO160,NA())</f>
        <v>7235.3513533017403</v>
      </c>
      <c r="S160" s="214">
        <f>IF((monthly_mortgage_schedule[[#This Row],[Year (Range)]]&gt;=$C$7)*(monthly_mortgage_schedule[[#This Row],[Year (Range)]]&lt;=$C$9),AP160,NA())</f>
        <v>990</v>
      </c>
      <c r="T160" s="214">
        <f>IF((monthly_mortgage_schedule[[#This Row],[Year (Range)]]&gt;=$C$7)*(monthly_mortgage_schedule[[#This Row],[Year (Range)]]&lt;=$C$9),AR160,NA())</f>
        <v>11487.590507169545</v>
      </c>
      <c r="U160" s="214">
        <f>IF((monthly_mortgage_schedule[[#This Row],[Year (Range)]]&gt;=$C$7)*(monthly_mortgage_schedule[[#This Row],[Year (Range)]]&lt;=$C$9),AB160,NA())</f>
        <v>153316.23337706173</v>
      </c>
      <c r="V160" s="214">
        <f>IF((monthly_mortgage_schedule[[#This Row],[Year (Range)]]&gt;=$C$7)*(monthly_mortgage_schedule[[#This Row],[Year (Range)]]&lt;=$C$9),AI160,NA())</f>
        <v>117580.88202376</v>
      </c>
      <c r="W160" s="187">
        <f t="shared" si="17"/>
        <v>387973.25127909903</v>
      </c>
      <c r="X160" s="4">
        <f t="shared" si="20"/>
        <v>1810.5418393024622</v>
      </c>
      <c r="Y160" s="4">
        <f t="shared" si="18"/>
        <v>1289.4846561609459</v>
      </c>
      <c r="Z160" s="4">
        <f>_xlfn.IFNA(INDEX(additional_mortgage_payments[],MATCH(monthly_mortgage_schedule[[#This Row],[Month]],additional_mortgage_payments[Month],0),3),0)</f>
        <v>0</v>
      </c>
      <c r="AA160" s="4">
        <f>AA159+monthly_mortgage_schedule[[#This Row],[Extra Payments Towards Equity]]</f>
        <v>28500</v>
      </c>
      <c r="AB160" s="4">
        <f>AB159+monthly_mortgage_schedule[[#This Row],[Principal With Extra Principal Payments]]+monthly_mortgage_schedule[[#This Row],[Extra Payments Towards Equity]]</f>
        <v>153316.23337706173</v>
      </c>
      <c r="AC160" s="4">
        <f>monthly_mortgage_schedule[[#This Row],[Cumulative Principal With Extra Principal Payments]]+down_payment_dollars</f>
        <v>213316.23337706173</v>
      </c>
      <c r="AD160" s="200">
        <f t="shared" si="15"/>
        <v>0</v>
      </c>
      <c r="AE16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386683.7666229381</v>
      </c>
      <c r="AF160" s="187">
        <f t="shared" si="21"/>
        <v>423542.61228105839</v>
      </c>
      <c r="AG160" s="4">
        <f>IF(monthly_mortgage_schedule[[#This Row],[Loan Balance (BOY) Without Extra Principal Payments]]&gt;0,monthly_mortgage_schedule[[#This Row],[Loan Balance (BOY) Without Extra Principal Payments]]*monthly_interest_rate,0)</f>
        <v>1976.5321906449394</v>
      </c>
      <c r="AH160" s="4">
        <f>IF(monthly_mortgage_schedule[[#This Row],[Loan Balance (BOY) Without Extra Principal Payments]]&gt;1,monthly_principal_and_interest-monthly_mortgage_schedule[[#This Row],[Interest Without Extra Principal Payments]],0)</f>
        <v>1123.4943048184687</v>
      </c>
      <c r="AI160" s="4">
        <f>AI159+monthly_mortgage_schedule[[#This Row],[Principal Without Extra Principal Payments]]</f>
        <v>117580.88202376</v>
      </c>
      <c r="AJ160" s="4">
        <f>monthly_mortgage_schedule[[#This Row],[Cumulative Principal Without Extra Principal Payments]]+down_payment_dollars</f>
        <v>177580.88202376</v>
      </c>
      <c r="AK160" s="200">
        <f t="shared" si="16"/>
        <v>0</v>
      </c>
      <c r="AL16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422419.11797623994</v>
      </c>
      <c r="AN160" s="196">
        <f>monthly_mortgage_schedule[[#This Row],[Extra Payments Towards Equity]]+AN159+IF(monthly_mortgage_schedule[[#This Row],[Interest With Extra Principal Payments]]&gt;0,monthly_mortgage_schedule[[#This Row],[Interest Without Extra Principal Payments]]-monthly_mortgage_schedule[[#This Row],[Interest With Extra Principal Payments]],0)</f>
        <v>35735.351353301747</v>
      </c>
      <c r="AO160" s="4">
        <f>AO159+IF(monthly_mortgage_schedule[[#This Row],[Interest With Extra Principal Payments]]&gt;0,monthly_mortgage_schedule[[#This Row],[Interest Without Extra Principal Payments]]-monthly_mortgage_schedule[[#This Row],[Interest With Extra Principal Payments]],0)</f>
        <v>7235.3513533017403</v>
      </c>
      <c r="AP160" s="4">
        <f>AP159+monthly_mortgage_schedule[[#This Row],[PMI Without Extra Principal Payments]]-monthly_mortgage_schedule[[#This Row],[PMI with Additional Payments]]</f>
        <v>990</v>
      </c>
      <c r="AQ160" s="4">
        <f t="shared" si="19"/>
        <v>39987.590507169545</v>
      </c>
      <c r="AR160" s="4">
        <f>Table60[[#This Row],[Cumulative Investments]]-monthly_mortgage_schedule[[#This Row],[Cumulative Extra Payments Towards Equity]]</f>
        <v>11487.590507169545</v>
      </c>
    </row>
    <row r="161" spans="9:44" x14ac:dyDescent="0.25">
      <c r="I161">
        <v>144</v>
      </c>
      <c r="J161">
        <f>IF(MOD(ROWS($J$18:J160),12)=0,J160+1,J160)</f>
        <v>2033</v>
      </c>
      <c r="K161" s="198">
        <f>IF(M161="#N/A",NA(),monthly_mortgage_schedule[[#This Row],[Month]])</f>
        <v>144</v>
      </c>
      <c r="L161" s="198">
        <f>IF(monthly_mortgage_schedule[[#This Row],[Calendar Year]]&gt;=$C$7,monthly_mortgage_schedule[[#This Row],[Calendar Year]],NA())</f>
        <v>2033</v>
      </c>
      <c r="M161" s="199">
        <f>IF((monthly_mortgage_schedule[[#This Row],[Calendar Year]]&gt;=$C$7)*(monthly_mortgage_schedule[[#This Row],[Calendar Year]]&lt;=$C$9),monthly_mortgage_schedule[[#This Row],[Begin Year (Range)]],NA())</f>
        <v>2033</v>
      </c>
      <c r="N161" s="214">
        <f>IF((monthly_mortgage_schedule[[#This Row],[Year (Range)]]&gt;=$C$7)*(monthly_mortgage_schedule[[#This Row],[Year (Range)]]&lt;=$C$9),X161,NA())</f>
        <v>1804.524244240378</v>
      </c>
      <c r="O161" s="214">
        <f>IF((monthly_mortgage_schedule[[#This Row],[Year (Range)]]&gt;=$C$7)*(monthly_mortgage_schedule[[#This Row],[Year (Range)]]&lt;=$C$9),Y161,NA())</f>
        <v>1295.50225122303</v>
      </c>
      <c r="P161" s="214">
        <f>IF((monthly_mortgage_schedule[[#This Row],[Year (Range)]]&gt;=$C$7)*(monthly_mortgage_schedule[[#This Row],[Year (Range)]]&lt;=$C$9),AG161,NA())</f>
        <v>1971.2892172224533</v>
      </c>
      <c r="Q161" s="214">
        <f>IF((monthly_mortgage_schedule[[#This Row],[Year (Range)]]&gt;=$C$7)*(monthly_mortgage_schedule[[#This Row],[Year (Range)]]&lt;=$C$9),AH161,NA())</f>
        <v>1128.7372782409548</v>
      </c>
      <c r="R161" s="214">
        <f>IF((monthly_mortgage_schedule[[#This Row],[Year (Range)]]&gt;=$C$7)*(monthly_mortgage_schedule[[#This Row],[Year (Range)]]&lt;=$C$9),AO161,NA())</f>
        <v>7402.1163262838154</v>
      </c>
      <c r="S161" s="214">
        <f>IF((monthly_mortgage_schedule[[#This Row],[Year (Range)]]&gt;=$C$7)*(monthly_mortgage_schedule[[#This Row],[Year (Range)]]&lt;=$C$9),AP161,NA())</f>
        <v>990</v>
      </c>
      <c r="T161" s="214">
        <f>IF((monthly_mortgage_schedule[[#This Row],[Year (Range)]]&gt;=$C$7)*(monthly_mortgage_schedule[[#This Row],[Year (Range)]]&lt;=$C$9),AR161,NA())</f>
        <v>11754.174443884003</v>
      </c>
      <c r="U161" s="214">
        <f>IF((monthly_mortgage_schedule[[#This Row],[Year (Range)]]&gt;=$C$7)*(monthly_mortgage_schedule[[#This Row],[Year (Range)]]&lt;=$C$9),AB161,NA())</f>
        <v>154611.73562828475</v>
      </c>
      <c r="V161" s="214">
        <f>IF((monthly_mortgage_schedule[[#This Row],[Year (Range)]]&gt;=$C$7)*(monthly_mortgage_schedule[[#This Row],[Year (Range)]]&lt;=$C$9),AI161,NA())</f>
        <v>118709.61930200095</v>
      </c>
      <c r="W161" s="187">
        <f t="shared" si="17"/>
        <v>386683.7666229381</v>
      </c>
      <c r="X161" s="4">
        <f t="shared" si="20"/>
        <v>1804.524244240378</v>
      </c>
      <c r="Y161" s="4">
        <f t="shared" si="18"/>
        <v>1295.50225122303</v>
      </c>
      <c r="Z161" s="4">
        <f>_xlfn.IFNA(INDEX(additional_mortgage_payments[],MATCH(monthly_mortgage_schedule[[#This Row],[Month]],additional_mortgage_payments[Month],0),3),0)</f>
        <v>0</v>
      </c>
      <c r="AA161" s="4">
        <f>AA160+monthly_mortgage_schedule[[#This Row],[Extra Payments Towards Equity]]</f>
        <v>28500</v>
      </c>
      <c r="AB161" s="4">
        <f>AB160+monthly_mortgage_schedule[[#This Row],[Principal With Extra Principal Payments]]+monthly_mortgage_schedule[[#This Row],[Extra Payments Towards Equity]]</f>
        <v>154611.73562828475</v>
      </c>
      <c r="AC161" s="4">
        <f>monthly_mortgage_schedule[[#This Row],[Cumulative Principal With Extra Principal Payments]]+down_payment_dollars</f>
        <v>214611.73562828475</v>
      </c>
      <c r="AD161" s="200">
        <f t="shared" si="15"/>
        <v>0</v>
      </c>
      <c r="AE16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385388.26437171508</v>
      </c>
      <c r="AF161" s="187">
        <f t="shared" si="21"/>
        <v>422419.11797623994</v>
      </c>
      <c r="AG161" s="4">
        <f>IF(monthly_mortgage_schedule[[#This Row],[Loan Balance (BOY) Without Extra Principal Payments]]&gt;0,monthly_mortgage_schedule[[#This Row],[Loan Balance (BOY) Without Extra Principal Payments]]*monthly_interest_rate,0)</f>
        <v>1971.2892172224533</v>
      </c>
      <c r="AH161" s="4">
        <f>IF(monthly_mortgage_schedule[[#This Row],[Loan Balance (BOY) Without Extra Principal Payments]]&gt;1,monthly_principal_and_interest-monthly_mortgage_schedule[[#This Row],[Interest Without Extra Principal Payments]],0)</f>
        <v>1128.7372782409548</v>
      </c>
      <c r="AI161" s="4">
        <f>AI160+monthly_mortgage_schedule[[#This Row],[Principal Without Extra Principal Payments]]</f>
        <v>118709.61930200095</v>
      </c>
      <c r="AJ161" s="4">
        <f>monthly_mortgage_schedule[[#This Row],[Cumulative Principal Without Extra Principal Payments]]+down_payment_dollars</f>
        <v>178709.61930200097</v>
      </c>
      <c r="AK161" s="200">
        <f t="shared" si="16"/>
        <v>0</v>
      </c>
      <c r="AL16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421290.38069799897</v>
      </c>
      <c r="AN161" s="196">
        <f>monthly_mortgage_schedule[[#This Row],[Extra Payments Towards Equity]]+AN160+IF(monthly_mortgage_schedule[[#This Row],[Interest With Extra Principal Payments]]&gt;0,monthly_mortgage_schedule[[#This Row],[Interest Without Extra Principal Payments]]-monthly_mortgage_schedule[[#This Row],[Interest With Extra Principal Payments]],0)</f>
        <v>35902.116326283824</v>
      </c>
      <c r="AO161" s="4">
        <f>AO160+IF(monthly_mortgage_schedule[[#This Row],[Interest With Extra Principal Payments]]&gt;0,monthly_mortgage_schedule[[#This Row],[Interest Without Extra Principal Payments]]-monthly_mortgage_schedule[[#This Row],[Interest With Extra Principal Payments]],0)</f>
        <v>7402.1163262838154</v>
      </c>
      <c r="AP161" s="4">
        <f>AP160+monthly_mortgage_schedule[[#This Row],[PMI Without Extra Principal Payments]]-monthly_mortgage_schedule[[#This Row],[PMI with Additional Payments]]</f>
        <v>990</v>
      </c>
      <c r="AQ161" s="4">
        <f t="shared" si="19"/>
        <v>40254.174443884003</v>
      </c>
      <c r="AR161" s="4">
        <f>Table60[[#This Row],[Cumulative Investments]]-monthly_mortgage_schedule[[#This Row],[Cumulative Extra Payments Towards Equity]]</f>
        <v>11754.174443884003</v>
      </c>
    </row>
    <row r="162" spans="9:44" x14ac:dyDescent="0.25">
      <c r="I162">
        <v>145</v>
      </c>
      <c r="J162">
        <f>IF(MOD(ROWS($J$18:J161),12)=0,J161+1,J161)</f>
        <v>2034</v>
      </c>
      <c r="K162" s="198">
        <f>IF(M162="#N/A",NA(),monthly_mortgage_schedule[[#This Row],[Month]])</f>
        <v>145</v>
      </c>
      <c r="L162" s="198">
        <f>IF(monthly_mortgage_schedule[[#This Row],[Calendar Year]]&gt;=$C$7,monthly_mortgage_schedule[[#This Row],[Calendar Year]],NA())</f>
        <v>2034</v>
      </c>
      <c r="M162" s="199">
        <f>IF((monthly_mortgage_schedule[[#This Row],[Calendar Year]]&gt;=$C$7)*(monthly_mortgage_schedule[[#This Row],[Calendar Year]]&lt;=$C$9),monthly_mortgage_schedule[[#This Row],[Begin Year (Range)]],NA())</f>
        <v>2034</v>
      </c>
      <c r="N162" s="214">
        <f>IF((monthly_mortgage_schedule[[#This Row],[Year (Range)]]&gt;=$C$7)*(monthly_mortgage_schedule[[#This Row],[Year (Range)]]&lt;=$C$9),X162,NA())</f>
        <v>1798.4785670680039</v>
      </c>
      <c r="O162" s="214">
        <f>IF((monthly_mortgage_schedule[[#This Row],[Year (Range)]]&gt;=$C$7)*(monthly_mortgage_schedule[[#This Row],[Year (Range)]]&lt;=$C$9),Y162,NA())</f>
        <v>1301.5479283954041</v>
      </c>
      <c r="P162" s="214">
        <f>IF((monthly_mortgage_schedule[[#This Row],[Year (Range)]]&gt;=$C$7)*(monthly_mortgage_schedule[[#This Row],[Year (Range)]]&lt;=$C$9),AG162,NA())</f>
        <v>1966.0217765906621</v>
      </c>
      <c r="Q162" s="214">
        <f>IF((monthly_mortgage_schedule[[#This Row],[Year (Range)]]&gt;=$C$7)*(monthly_mortgage_schedule[[#This Row],[Year (Range)]]&lt;=$C$9),AH162,NA())</f>
        <v>1134.004718872746</v>
      </c>
      <c r="R162" s="214">
        <f>IF((monthly_mortgage_schedule[[#This Row],[Year (Range)]]&gt;=$C$7)*(monthly_mortgage_schedule[[#This Row],[Year (Range)]]&lt;=$C$9),AO162,NA())</f>
        <v>7569.6595358064733</v>
      </c>
      <c r="S162" s="214">
        <f>IF((monthly_mortgage_schedule[[#This Row],[Year (Range)]]&gt;=$C$7)*(monthly_mortgage_schedule[[#This Row],[Year (Range)]]&lt;=$C$9),AP162,NA())</f>
        <v>990</v>
      </c>
      <c r="T162" s="214">
        <f>IF((monthly_mortgage_schedule[[#This Row],[Year (Range)]]&gt;=$C$7)*(monthly_mortgage_schedule[[#This Row],[Year (Range)]]&lt;=$C$9),AR162,NA())</f>
        <v>12022.53560684323</v>
      </c>
      <c r="U162" s="214">
        <f>IF((monthly_mortgage_schedule[[#This Row],[Year (Range)]]&gt;=$C$7)*(monthly_mortgage_schedule[[#This Row],[Year (Range)]]&lt;=$C$9),AB162,NA())</f>
        <v>155913.28355668014</v>
      </c>
      <c r="V162" s="214">
        <f>IF((monthly_mortgage_schedule[[#This Row],[Year (Range)]]&gt;=$C$7)*(monthly_mortgage_schedule[[#This Row],[Year (Range)]]&lt;=$C$9),AI162,NA())</f>
        <v>119843.6240208737</v>
      </c>
      <c r="W162" s="187">
        <f t="shared" si="17"/>
        <v>385388.26437171508</v>
      </c>
      <c r="X162" s="4">
        <f t="shared" si="20"/>
        <v>1798.4785670680039</v>
      </c>
      <c r="Y162" s="4">
        <f t="shared" si="18"/>
        <v>1301.5479283954041</v>
      </c>
      <c r="Z162" s="4">
        <f>_xlfn.IFNA(INDEX(additional_mortgage_payments[],MATCH(monthly_mortgage_schedule[[#This Row],[Month]],additional_mortgage_payments[Month],0),3),0)</f>
        <v>0</v>
      </c>
      <c r="AA162" s="4">
        <f>AA161+monthly_mortgage_schedule[[#This Row],[Extra Payments Towards Equity]]</f>
        <v>28500</v>
      </c>
      <c r="AB162" s="4">
        <f>AB161+monthly_mortgage_schedule[[#This Row],[Principal With Extra Principal Payments]]+monthly_mortgage_schedule[[#This Row],[Extra Payments Towards Equity]]</f>
        <v>155913.28355668014</v>
      </c>
      <c r="AC162" s="4">
        <f>monthly_mortgage_schedule[[#This Row],[Cumulative Principal With Extra Principal Payments]]+down_payment_dollars</f>
        <v>215913.28355668014</v>
      </c>
      <c r="AD162" s="200">
        <f t="shared" si="15"/>
        <v>0</v>
      </c>
      <c r="AE16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384086.71644331969</v>
      </c>
      <c r="AF162" s="187">
        <f t="shared" si="21"/>
        <v>421290.38069799897</v>
      </c>
      <c r="AG162" s="4">
        <f>IF(monthly_mortgage_schedule[[#This Row],[Loan Balance (BOY) Without Extra Principal Payments]]&gt;0,monthly_mortgage_schedule[[#This Row],[Loan Balance (BOY) Without Extra Principal Payments]]*monthly_interest_rate,0)</f>
        <v>1966.0217765906621</v>
      </c>
      <c r="AH162" s="4">
        <f>IF(monthly_mortgage_schedule[[#This Row],[Loan Balance (BOY) Without Extra Principal Payments]]&gt;1,monthly_principal_and_interest-monthly_mortgage_schedule[[#This Row],[Interest Without Extra Principal Payments]],0)</f>
        <v>1134.004718872746</v>
      </c>
      <c r="AI162" s="4">
        <f>AI161+monthly_mortgage_schedule[[#This Row],[Principal Without Extra Principal Payments]]</f>
        <v>119843.6240208737</v>
      </c>
      <c r="AJ162" s="4">
        <f>monthly_mortgage_schedule[[#This Row],[Cumulative Principal Without Extra Principal Payments]]+down_payment_dollars</f>
        <v>179843.62402087369</v>
      </c>
      <c r="AK162" s="200">
        <f t="shared" si="16"/>
        <v>0</v>
      </c>
      <c r="AL16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420156.37597912626</v>
      </c>
      <c r="AN162" s="196">
        <f>monthly_mortgage_schedule[[#This Row],[Extra Payments Towards Equity]]+AN161+IF(monthly_mortgage_schedule[[#This Row],[Interest With Extra Principal Payments]]&gt;0,monthly_mortgage_schedule[[#This Row],[Interest Without Extra Principal Payments]]-monthly_mortgage_schedule[[#This Row],[Interest With Extra Principal Payments]],0)</f>
        <v>36069.659535806481</v>
      </c>
      <c r="AO162" s="4">
        <f>AO161+IF(monthly_mortgage_schedule[[#This Row],[Interest With Extra Principal Payments]]&gt;0,monthly_mortgage_schedule[[#This Row],[Interest Without Extra Principal Payments]]-monthly_mortgage_schedule[[#This Row],[Interest With Extra Principal Payments]],0)</f>
        <v>7569.6595358064733</v>
      </c>
      <c r="AP162" s="4">
        <f>AP161+monthly_mortgage_schedule[[#This Row],[PMI Without Extra Principal Payments]]-monthly_mortgage_schedule[[#This Row],[PMI with Additional Payments]]</f>
        <v>990</v>
      </c>
      <c r="AQ162" s="4">
        <f t="shared" si="19"/>
        <v>40522.53560684323</v>
      </c>
      <c r="AR162" s="4">
        <f>Table60[[#This Row],[Cumulative Investments]]-monthly_mortgage_schedule[[#This Row],[Cumulative Extra Payments Towards Equity]]</f>
        <v>12022.53560684323</v>
      </c>
    </row>
    <row r="163" spans="9:44" x14ac:dyDescent="0.25">
      <c r="I163">
        <v>146</v>
      </c>
      <c r="J163">
        <f>IF(MOD(ROWS($J$18:J162),12)=0,J162+1,J162)</f>
        <v>2034</v>
      </c>
      <c r="K163" s="198">
        <f>IF(M163="#N/A",NA(),monthly_mortgage_schedule[[#This Row],[Month]])</f>
        <v>146</v>
      </c>
      <c r="L163" s="198">
        <f>IF(monthly_mortgage_schedule[[#This Row],[Calendar Year]]&gt;=$C$7,monthly_mortgage_schedule[[#This Row],[Calendar Year]],NA())</f>
        <v>2034</v>
      </c>
      <c r="M163" s="199">
        <f>IF((monthly_mortgage_schedule[[#This Row],[Calendar Year]]&gt;=$C$7)*(monthly_mortgage_schedule[[#This Row],[Calendar Year]]&lt;=$C$9),monthly_mortgage_schedule[[#This Row],[Begin Year (Range)]],NA())</f>
        <v>2034</v>
      </c>
      <c r="N163" s="214">
        <f>IF((monthly_mortgage_schedule[[#This Row],[Year (Range)]]&gt;=$C$7)*(monthly_mortgage_schedule[[#This Row],[Year (Range)]]&lt;=$C$9),X163,NA())</f>
        <v>1792.4046767354921</v>
      </c>
      <c r="O163" s="214">
        <f>IF((monthly_mortgage_schedule[[#This Row],[Year (Range)]]&gt;=$C$7)*(monthly_mortgage_schedule[[#This Row],[Year (Range)]]&lt;=$C$9),Y163,NA())</f>
        <v>1307.621818727916</v>
      </c>
      <c r="P163" s="214">
        <f>IF((monthly_mortgage_schedule[[#This Row],[Year (Range)]]&gt;=$C$7)*(monthly_mortgage_schedule[[#This Row],[Year (Range)]]&lt;=$C$9),AG163,NA())</f>
        <v>1960.7297545692561</v>
      </c>
      <c r="Q163" s="214">
        <f>IF((monthly_mortgage_schedule[[#This Row],[Year (Range)]]&gt;=$C$7)*(monthly_mortgage_schedule[[#This Row],[Year (Range)]]&lt;=$C$9),AH163,NA())</f>
        <v>1139.296740894152</v>
      </c>
      <c r="R163" s="214">
        <f>IF((monthly_mortgage_schedule[[#This Row],[Year (Range)]]&gt;=$C$7)*(monthly_mortgage_schedule[[#This Row],[Year (Range)]]&lt;=$C$9),AO163,NA())</f>
        <v>7737.9846136402375</v>
      </c>
      <c r="S163" s="214">
        <f>IF((monthly_mortgage_schedule[[#This Row],[Year (Range)]]&gt;=$C$7)*(monthly_mortgage_schedule[[#This Row],[Year (Range)]]&lt;=$C$9),AP163,NA())</f>
        <v>990</v>
      </c>
      <c r="T163" s="214">
        <f>IF((monthly_mortgage_schedule[[#This Row],[Year (Range)]]&gt;=$C$7)*(monthly_mortgage_schedule[[#This Row],[Year (Range)]]&lt;=$C$9),AR163,NA())</f>
        <v>12292.685844222186</v>
      </c>
      <c r="U163" s="214">
        <f>IF((monthly_mortgage_schedule[[#This Row],[Year (Range)]]&gt;=$C$7)*(monthly_mortgage_schedule[[#This Row],[Year (Range)]]&lt;=$C$9),AB163,NA())</f>
        <v>157220.90537540807</v>
      </c>
      <c r="V163" s="214">
        <f>IF((monthly_mortgage_schedule[[#This Row],[Year (Range)]]&gt;=$C$7)*(monthly_mortgage_schedule[[#This Row],[Year (Range)]]&lt;=$C$9),AI163,NA())</f>
        <v>120982.92076176785</v>
      </c>
      <c r="W163" s="187">
        <f t="shared" si="17"/>
        <v>384086.71644331969</v>
      </c>
      <c r="X163" s="4">
        <f t="shared" si="20"/>
        <v>1792.4046767354921</v>
      </c>
      <c r="Y163" s="4">
        <f t="shared" si="18"/>
        <v>1307.621818727916</v>
      </c>
      <c r="Z163" s="4">
        <f>_xlfn.IFNA(INDEX(additional_mortgage_payments[],MATCH(monthly_mortgage_schedule[[#This Row],[Month]],additional_mortgage_payments[Month],0),3),0)</f>
        <v>0</v>
      </c>
      <c r="AA163" s="4">
        <f>AA162+monthly_mortgage_schedule[[#This Row],[Extra Payments Towards Equity]]</f>
        <v>28500</v>
      </c>
      <c r="AB163" s="4">
        <f>AB162+monthly_mortgage_schedule[[#This Row],[Principal With Extra Principal Payments]]+monthly_mortgage_schedule[[#This Row],[Extra Payments Towards Equity]]</f>
        <v>157220.90537540807</v>
      </c>
      <c r="AC163" s="4">
        <f>monthly_mortgage_schedule[[#This Row],[Cumulative Principal With Extra Principal Payments]]+down_payment_dollars</f>
        <v>217220.90537540807</v>
      </c>
      <c r="AD163" s="200">
        <f t="shared" si="15"/>
        <v>0</v>
      </c>
      <c r="AE16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382779.09462459176</v>
      </c>
      <c r="AF163" s="187">
        <f t="shared" si="21"/>
        <v>420156.37597912626</v>
      </c>
      <c r="AG163" s="4">
        <f>IF(monthly_mortgage_schedule[[#This Row],[Loan Balance (BOY) Without Extra Principal Payments]]&gt;0,monthly_mortgage_schedule[[#This Row],[Loan Balance (BOY) Without Extra Principal Payments]]*monthly_interest_rate,0)</f>
        <v>1960.7297545692561</v>
      </c>
      <c r="AH163" s="4">
        <f>IF(monthly_mortgage_schedule[[#This Row],[Loan Balance (BOY) Without Extra Principal Payments]]&gt;1,monthly_principal_and_interest-monthly_mortgage_schedule[[#This Row],[Interest Without Extra Principal Payments]],0)</f>
        <v>1139.296740894152</v>
      </c>
      <c r="AI163" s="4">
        <f>AI162+monthly_mortgage_schedule[[#This Row],[Principal Without Extra Principal Payments]]</f>
        <v>120982.92076176785</v>
      </c>
      <c r="AJ163" s="4">
        <f>monthly_mortgage_schedule[[#This Row],[Cumulative Principal Without Extra Principal Payments]]+down_payment_dollars</f>
        <v>180982.92076176783</v>
      </c>
      <c r="AK163" s="200">
        <f t="shared" si="16"/>
        <v>0</v>
      </c>
      <c r="AL16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419017.07923823211</v>
      </c>
      <c r="AN163" s="196">
        <f>monthly_mortgage_schedule[[#This Row],[Extra Payments Towards Equity]]+AN162+IF(monthly_mortgage_schedule[[#This Row],[Interest With Extra Principal Payments]]&gt;0,monthly_mortgage_schedule[[#This Row],[Interest Without Extra Principal Payments]]-monthly_mortgage_schedule[[#This Row],[Interest With Extra Principal Payments]],0)</f>
        <v>36237.984613640241</v>
      </c>
      <c r="AO163" s="4">
        <f>AO162+IF(monthly_mortgage_schedule[[#This Row],[Interest With Extra Principal Payments]]&gt;0,monthly_mortgage_schedule[[#This Row],[Interest Without Extra Principal Payments]]-monthly_mortgage_schedule[[#This Row],[Interest With Extra Principal Payments]],0)</f>
        <v>7737.9846136402375</v>
      </c>
      <c r="AP163" s="4">
        <f>AP162+monthly_mortgage_schedule[[#This Row],[PMI Without Extra Principal Payments]]-monthly_mortgage_schedule[[#This Row],[PMI with Additional Payments]]</f>
        <v>990</v>
      </c>
      <c r="AQ163" s="4">
        <f t="shared" si="19"/>
        <v>40792.685844222186</v>
      </c>
      <c r="AR163" s="4">
        <f>Table60[[#This Row],[Cumulative Investments]]-monthly_mortgage_schedule[[#This Row],[Cumulative Extra Payments Towards Equity]]</f>
        <v>12292.685844222186</v>
      </c>
    </row>
    <row r="164" spans="9:44" x14ac:dyDescent="0.25">
      <c r="I164">
        <v>147</v>
      </c>
      <c r="J164">
        <f>IF(MOD(ROWS($J$18:J163),12)=0,J163+1,J163)</f>
        <v>2034</v>
      </c>
      <c r="K164" s="198">
        <f>IF(M164="#N/A",NA(),monthly_mortgage_schedule[[#This Row],[Month]])</f>
        <v>147</v>
      </c>
      <c r="L164" s="198">
        <f>IF(monthly_mortgage_schedule[[#This Row],[Calendar Year]]&gt;=$C$7,monthly_mortgage_schedule[[#This Row],[Calendar Year]],NA())</f>
        <v>2034</v>
      </c>
      <c r="M164" s="199">
        <f>IF((monthly_mortgage_schedule[[#This Row],[Calendar Year]]&gt;=$C$7)*(monthly_mortgage_schedule[[#This Row],[Calendar Year]]&lt;=$C$9),monthly_mortgage_schedule[[#This Row],[Begin Year (Range)]],NA())</f>
        <v>2034</v>
      </c>
      <c r="N164" s="214">
        <f>IF((monthly_mortgage_schedule[[#This Row],[Year (Range)]]&gt;=$C$7)*(monthly_mortgage_schedule[[#This Row],[Year (Range)]]&lt;=$C$9),X164,NA())</f>
        <v>1786.3024415814284</v>
      </c>
      <c r="O164" s="214">
        <f>IF((monthly_mortgage_schedule[[#This Row],[Year (Range)]]&gt;=$C$7)*(monthly_mortgage_schedule[[#This Row],[Year (Range)]]&lt;=$C$9),Y164,NA())</f>
        <v>1313.7240538819797</v>
      </c>
      <c r="P164" s="214">
        <f>IF((monthly_mortgage_schedule[[#This Row],[Year (Range)]]&gt;=$C$7)*(monthly_mortgage_schedule[[#This Row],[Year (Range)]]&lt;=$C$9),AG164,NA())</f>
        <v>1955.4130364450834</v>
      </c>
      <c r="Q164" s="214">
        <f>IF((monthly_mortgage_schedule[[#This Row],[Year (Range)]]&gt;=$C$7)*(monthly_mortgage_schedule[[#This Row],[Year (Range)]]&lt;=$C$9),AH164,NA())</f>
        <v>1144.6134590183246</v>
      </c>
      <c r="R164" s="214">
        <f>IF((monthly_mortgage_schedule[[#This Row],[Year (Range)]]&gt;=$C$7)*(monthly_mortgage_schedule[[#This Row],[Year (Range)]]&lt;=$C$9),AO164,NA())</f>
        <v>7907.0952085038925</v>
      </c>
      <c r="S164" s="214">
        <f>IF((monthly_mortgage_schedule[[#This Row],[Year (Range)]]&gt;=$C$7)*(monthly_mortgage_schedule[[#This Row],[Year (Range)]]&lt;=$C$9),AP164,NA())</f>
        <v>990</v>
      </c>
      <c r="T164" s="214">
        <f>IF((monthly_mortgage_schedule[[#This Row],[Year (Range)]]&gt;=$C$7)*(monthly_mortgage_schedule[[#This Row],[Year (Range)]]&lt;=$C$9),AR164,NA())</f>
        <v>12564.637083183661</v>
      </c>
      <c r="U164" s="214">
        <f>IF((monthly_mortgage_schedule[[#This Row],[Year (Range)]]&gt;=$C$7)*(monthly_mortgage_schedule[[#This Row],[Year (Range)]]&lt;=$C$9),AB164,NA())</f>
        <v>158534.62942929004</v>
      </c>
      <c r="V164" s="214">
        <f>IF((monthly_mortgage_schedule[[#This Row],[Year (Range)]]&gt;=$C$7)*(monthly_mortgage_schedule[[#This Row],[Year (Range)]]&lt;=$C$9),AI164,NA())</f>
        <v>122127.53422078617</v>
      </c>
      <c r="W164" s="187">
        <f t="shared" si="17"/>
        <v>382779.09462459176</v>
      </c>
      <c r="X164" s="4">
        <f t="shared" si="20"/>
        <v>1786.3024415814284</v>
      </c>
      <c r="Y164" s="4">
        <f t="shared" si="18"/>
        <v>1313.7240538819797</v>
      </c>
      <c r="Z164" s="4">
        <f>_xlfn.IFNA(INDEX(additional_mortgage_payments[],MATCH(monthly_mortgage_schedule[[#This Row],[Month]],additional_mortgage_payments[Month],0),3),0)</f>
        <v>0</v>
      </c>
      <c r="AA164" s="4">
        <f>AA163+monthly_mortgage_schedule[[#This Row],[Extra Payments Towards Equity]]</f>
        <v>28500</v>
      </c>
      <c r="AB164" s="4">
        <f>AB163+monthly_mortgage_schedule[[#This Row],[Principal With Extra Principal Payments]]+monthly_mortgage_schedule[[#This Row],[Extra Payments Towards Equity]]</f>
        <v>158534.62942929004</v>
      </c>
      <c r="AC164" s="4">
        <f>monthly_mortgage_schedule[[#This Row],[Cumulative Principal With Extra Principal Payments]]+down_payment_dollars</f>
        <v>218534.62942929004</v>
      </c>
      <c r="AD164" s="200">
        <f t="shared" si="15"/>
        <v>0</v>
      </c>
      <c r="AE16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381465.37057070975</v>
      </c>
      <c r="AF164" s="187">
        <f t="shared" si="21"/>
        <v>419017.07923823211</v>
      </c>
      <c r="AG164" s="4">
        <f>IF(monthly_mortgage_schedule[[#This Row],[Loan Balance (BOY) Without Extra Principal Payments]]&gt;0,monthly_mortgage_schedule[[#This Row],[Loan Balance (BOY) Without Extra Principal Payments]]*monthly_interest_rate,0)</f>
        <v>1955.4130364450834</v>
      </c>
      <c r="AH164" s="4">
        <f>IF(monthly_mortgage_schedule[[#This Row],[Loan Balance (BOY) Without Extra Principal Payments]]&gt;1,monthly_principal_and_interest-monthly_mortgage_schedule[[#This Row],[Interest Without Extra Principal Payments]],0)</f>
        <v>1144.6134590183246</v>
      </c>
      <c r="AI164" s="4">
        <f>AI163+monthly_mortgage_schedule[[#This Row],[Principal Without Extra Principal Payments]]</f>
        <v>122127.53422078617</v>
      </c>
      <c r="AJ164" s="4">
        <f>monthly_mortgage_schedule[[#This Row],[Cumulative Principal Without Extra Principal Payments]]+down_payment_dollars</f>
        <v>182127.53422078618</v>
      </c>
      <c r="AK164" s="200">
        <f t="shared" si="16"/>
        <v>0</v>
      </c>
      <c r="AL16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417872.46577921376</v>
      </c>
      <c r="AN164" s="196">
        <f>monthly_mortgage_schedule[[#This Row],[Extra Payments Towards Equity]]+AN163+IF(monthly_mortgage_schedule[[#This Row],[Interest With Extra Principal Payments]]&gt;0,monthly_mortgage_schedule[[#This Row],[Interest Without Extra Principal Payments]]-monthly_mortgage_schedule[[#This Row],[Interest With Extra Principal Payments]],0)</f>
        <v>36407.095208503895</v>
      </c>
      <c r="AO164" s="4">
        <f>AO163+IF(monthly_mortgage_schedule[[#This Row],[Interest With Extra Principal Payments]]&gt;0,monthly_mortgage_schedule[[#This Row],[Interest Without Extra Principal Payments]]-monthly_mortgage_schedule[[#This Row],[Interest With Extra Principal Payments]],0)</f>
        <v>7907.0952085038925</v>
      </c>
      <c r="AP164" s="4">
        <f>AP163+monthly_mortgage_schedule[[#This Row],[PMI Without Extra Principal Payments]]-monthly_mortgage_schedule[[#This Row],[PMI with Additional Payments]]</f>
        <v>990</v>
      </c>
      <c r="AQ164" s="4">
        <f t="shared" si="19"/>
        <v>41064.637083183661</v>
      </c>
      <c r="AR164" s="4">
        <f>Table60[[#This Row],[Cumulative Investments]]-monthly_mortgage_schedule[[#This Row],[Cumulative Extra Payments Towards Equity]]</f>
        <v>12564.637083183661</v>
      </c>
    </row>
    <row r="165" spans="9:44" x14ac:dyDescent="0.25">
      <c r="I165">
        <v>148</v>
      </c>
      <c r="J165">
        <f>IF(MOD(ROWS($J$18:J164),12)=0,J164+1,J164)</f>
        <v>2034</v>
      </c>
      <c r="K165" s="198">
        <f>IF(M165="#N/A",NA(),monthly_mortgage_schedule[[#This Row],[Month]])</f>
        <v>148</v>
      </c>
      <c r="L165" s="198">
        <f>IF(monthly_mortgage_schedule[[#This Row],[Calendar Year]]&gt;=$C$7,monthly_mortgage_schedule[[#This Row],[Calendar Year]],NA())</f>
        <v>2034</v>
      </c>
      <c r="M165" s="199">
        <f>IF((monthly_mortgage_schedule[[#This Row],[Calendar Year]]&gt;=$C$7)*(monthly_mortgage_schedule[[#This Row],[Calendar Year]]&lt;=$C$9),monthly_mortgage_schedule[[#This Row],[Begin Year (Range)]],NA())</f>
        <v>2034</v>
      </c>
      <c r="N165" s="214">
        <f>IF((monthly_mortgage_schedule[[#This Row],[Year (Range)]]&gt;=$C$7)*(monthly_mortgage_schedule[[#This Row],[Year (Range)]]&lt;=$C$9),X165,NA())</f>
        <v>1780.1717293299789</v>
      </c>
      <c r="O165" s="214">
        <f>IF((monthly_mortgage_schedule[[#This Row],[Year (Range)]]&gt;=$C$7)*(monthly_mortgage_schedule[[#This Row],[Year (Range)]]&lt;=$C$9),Y165,NA())</f>
        <v>1319.8547661334292</v>
      </c>
      <c r="P165" s="214">
        <f>IF((monthly_mortgage_schedule[[#This Row],[Year (Range)]]&gt;=$C$7)*(monthly_mortgage_schedule[[#This Row],[Year (Range)]]&lt;=$C$9),AG165,NA())</f>
        <v>1950.0715069696644</v>
      </c>
      <c r="Q165" s="214">
        <f>IF((monthly_mortgage_schedule[[#This Row],[Year (Range)]]&gt;=$C$7)*(monthly_mortgage_schedule[[#This Row],[Year (Range)]]&lt;=$C$9),AH165,NA())</f>
        <v>1149.9549884937437</v>
      </c>
      <c r="R165" s="214">
        <f>IF((monthly_mortgage_schedule[[#This Row],[Year (Range)]]&gt;=$C$7)*(monthly_mortgage_schedule[[#This Row],[Year (Range)]]&lt;=$C$9),AO165,NA())</f>
        <v>8076.994986143578</v>
      </c>
      <c r="S165" s="214">
        <f>IF((monthly_mortgage_schedule[[#This Row],[Year (Range)]]&gt;=$C$7)*(monthly_mortgage_schedule[[#This Row],[Year (Range)]]&lt;=$C$9),AP165,NA())</f>
        <v>990</v>
      </c>
      <c r="T165" s="214">
        <f>IF((monthly_mortgage_schedule[[#This Row],[Year (Range)]]&gt;=$C$7)*(monthly_mortgage_schedule[[#This Row],[Year (Range)]]&lt;=$C$9),AR165,NA())</f>
        <v>12838.401330404886</v>
      </c>
      <c r="U165" s="214">
        <f>IF((monthly_mortgage_schedule[[#This Row],[Year (Range)]]&gt;=$C$7)*(monthly_mortgage_schedule[[#This Row],[Year (Range)]]&lt;=$C$9),AB165,NA())</f>
        <v>159854.48419542346</v>
      </c>
      <c r="V165" s="214">
        <f>IF((monthly_mortgage_schedule[[#This Row],[Year (Range)]]&gt;=$C$7)*(monthly_mortgage_schedule[[#This Row],[Year (Range)]]&lt;=$C$9),AI165,NA())</f>
        <v>123277.48920927991</v>
      </c>
      <c r="W165" s="187">
        <f t="shared" si="17"/>
        <v>381465.37057070975</v>
      </c>
      <c r="X165" s="4">
        <f t="shared" si="20"/>
        <v>1780.1717293299789</v>
      </c>
      <c r="Y165" s="4">
        <f t="shared" si="18"/>
        <v>1319.8547661334292</v>
      </c>
      <c r="Z165" s="4">
        <f>_xlfn.IFNA(INDEX(additional_mortgage_payments[],MATCH(monthly_mortgage_schedule[[#This Row],[Month]],additional_mortgage_payments[Month],0),3),0)</f>
        <v>0</v>
      </c>
      <c r="AA165" s="4">
        <f>AA164+monthly_mortgage_schedule[[#This Row],[Extra Payments Towards Equity]]</f>
        <v>28500</v>
      </c>
      <c r="AB165" s="4">
        <f>AB164+monthly_mortgage_schedule[[#This Row],[Principal With Extra Principal Payments]]+monthly_mortgage_schedule[[#This Row],[Extra Payments Towards Equity]]</f>
        <v>159854.48419542346</v>
      </c>
      <c r="AC165" s="4">
        <f>monthly_mortgage_schedule[[#This Row],[Cumulative Principal With Extra Principal Payments]]+down_payment_dollars</f>
        <v>219854.48419542346</v>
      </c>
      <c r="AD165" s="200">
        <f t="shared" si="15"/>
        <v>0</v>
      </c>
      <c r="AE16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380145.51580457634</v>
      </c>
      <c r="AF165" s="187">
        <f t="shared" si="21"/>
        <v>417872.46577921376</v>
      </c>
      <c r="AG165" s="4">
        <f>IF(monthly_mortgage_schedule[[#This Row],[Loan Balance (BOY) Without Extra Principal Payments]]&gt;0,monthly_mortgage_schedule[[#This Row],[Loan Balance (BOY) Without Extra Principal Payments]]*monthly_interest_rate,0)</f>
        <v>1950.0715069696644</v>
      </c>
      <c r="AH165" s="4">
        <f>IF(monthly_mortgage_schedule[[#This Row],[Loan Balance (BOY) Without Extra Principal Payments]]&gt;1,monthly_principal_and_interest-monthly_mortgage_schedule[[#This Row],[Interest Without Extra Principal Payments]],0)</f>
        <v>1149.9549884937437</v>
      </c>
      <c r="AI165" s="4">
        <f>AI164+monthly_mortgage_schedule[[#This Row],[Principal Without Extra Principal Payments]]</f>
        <v>123277.48920927991</v>
      </c>
      <c r="AJ165" s="4">
        <f>monthly_mortgage_schedule[[#This Row],[Cumulative Principal Without Extra Principal Payments]]+down_payment_dollars</f>
        <v>183277.48920927991</v>
      </c>
      <c r="AK165" s="200">
        <f t="shared" si="16"/>
        <v>0</v>
      </c>
      <c r="AL16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416722.51079072</v>
      </c>
      <c r="AN165" s="196">
        <f>monthly_mortgage_schedule[[#This Row],[Extra Payments Towards Equity]]+AN164+IF(monthly_mortgage_schedule[[#This Row],[Interest With Extra Principal Payments]]&gt;0,monthly_mortgage_schedule[[#This Row],[Interest Without Extra Principal Payments]]-monthly_mortgage_schedule[[#This Row],[Interest With Extra Principal Payments]],0)</f>
        <v>36576.994986143582</v>
      </c>
      <c r="AO165" s="4">
        <f>AO164+IF(monthly_mortgage_schedule[[#This Row],[Interest With Extra Principal Payments]]&gt;0,monthly_mortgage_schedule[[#This Row],[Interest Without Extra Principal Payments]]-monthly_mortgage_schedule[[#This Row],[Interest With Extra Principal Payments]],0)</f>
        <v>8076.994986143578</v>
      </c>
      <c r="AP165" s="4">
        <f>AP164+monthly_mortgage_schedule[[#This Row],[PMI Without Extra Principal Payments]]-monthly_mortgage_schedule[[#This Row],[PMI with Additional Payments]]</f>
        <v>990</v>
      </c>
      <c r="AQ165" s="4">
        <f t="shared" si="19"/>
        <v>41338.401330404886</v>
      </c>
      <c r="AR165" s="4">
        <f>Table60[[#This Row],[Cumulative Investments]]-monthly_mortgage_schedule[[#This Row],[Cumulative Extra Payments Towards Equity]]</f>
        <v>12838.401330404886</v>
      </c>
    </row>
    <row r="166" spans="9:44" x14ac:dyDescent="0.25">
      <c r="I166">
        <v>149</v>
      </c>
      <c r="J166">
        <f>IF(MOD(ROWS($J$18:J165),12)=0,J165+1,J165)</f>
        <v>2034</v>
      </c>
      <c r="K166" s="198">
        <f>IF(M166="#N/A",NA(),monthly_mortgage_schedule[[#This Row],[Month]])</f>
        <v>149</v>
      </c>
      <c r="L166" s="198">
        <f>IF(monthly_mortgage_schedule[[#This Row],[Calendar Year]]&gt;=$C$7,monthly_mortgage_schedule[[#This Row],[Calendar Year]],NA())</f>
        <v>2034</v>
      </c>
      <c r="M166" s="199">
        <f>IF((monthly_mortgage_schedule[[#This Row],[Calendar Year]]&gt;=$C$7)*(monthly_mortgage_schedule[[#This Row],[Calendar Year]]&lt;=$C$9),monthly_mortgage_schedule[[#This Row],[Begin Year (Range)]],NA())</f>
        <v>2034</v>
      </c>
      <c r="N166" s="214">
        <f>IF((monthly_mortgage_schedule[[#This Row],[Year (Range)]]&gt;=$C$7)*(monthly_mortgage_schedule[[#This Row],[Year (Range)]]&lt;=$C$9),X166,NA())</f>
        <v>1774.0124070880231</v>
      </c>
      <c r="O166" s="214">
        <f>IF((monthly_mortgage_schedule[[#This Row],[Year (Range)]]&gt;=$C$7)*(monthly_mortgage_schedule[[#This Row],[Year (Range)]]&lt;=$C$9),Y166,NA())</f>
        <v>1326.014088375385</v>
      </c>
      <c r="P166" s="214">
        <f>IF((monthly_mortgage_schedule[[#This Row],[Year (Range)]]&gt;=$C$7)*(monthly_mortgage_schedule[[#This Row],[Year (Range)]]&lt;=$C$9),AG166,NA())</f>
        <v>1944.7050503566934</v>
      </c>
      <c r="Q166" s="214">
        <f>IF((monthly_mortgage_schedule[[#This Row],[Year (Range)]]&gt;=$C$7)*(monthly_mortgage_schedule[[#This Row],[Year (Range)]]&lt;=$C$9),AH166,NA())</f>
        <v>1155.3214451067147</v>
      </c>
      <c r="R166" s="214">
        <f>IF((monthly_mortgage_schedule[[#This Row],[Year (Range)]]&gt;=$C$7)*(monthly_mortgage_schedule[[#This Row],[Year (Range)]]&lt;=$C$9),AO166,NA())</f>
        <v>8247.6876294122485</v>
      </c>
      <c r="S166" s="214">
        <f>IF((monthly_mortgage_schedule[[#This Row],[Year (Range)]]&gt;=$C$7)*(monthly_mortgage_schedule[[#This Row],[Year (Range)]]&lt;=$C$9),AP166,NA())</f>
        <v>990</v>
      </c>
      <c r="T166" s="214">
        <f>IF((monthly_mortgage_schedule[[#This Row],[Year (Range)]]&gt;=$C$7)*(monthly_mortgage_schedule[[#This Row],[Year (Range)]]&lt;=$C$9),AR166,NA())</f>
        <v>13113.990672607579</v>
      </c>
      <c r="U166" s="214">
        <f>IF((monthly_mortgage_schedule[[#This Row],[Year (Range)]]&gt;=$C$7)*(monthly_mortgage_schedule[[#This Row],[Year (Range)]]&lt;=$C$9),AB166,NA())</f>
        <v>161180.49828379884</v>
      </c>
      <c r="V166" s="214">
        <f>IF((monthly_mortgage_schedule[[#This Row],[Year (Range)]]&gt;=$C$7)*(monthly_mortgage_schedule[[#This Row],[Year (Range)]]&lt;=$C$9),AI166,NA())</f>
        <v>124432.81065438663</v>
      </c>
      <c r="W166" s="187">
        <f t="shared" si="17"/>
        <v>380145.51580457634</v>
      </c>
      <c r="X166" s="4">
        <f t="shared" si="20"/>
        <v>1774.0124070880231</v>
      </c>
      <c r="Y166" s="4">
        <f t="shared" si="18"/>
        <v>1326.014088375385</v>
      </c>
      <c r="Z166" s="4">
        <f>_xlfn.IFNA(INDEX(additional_mortgage_payments[],MATCH(monthly_mortgage_schedule[[#This Row],[Month]],additional_mortgage_payments[Month],0),3),0)</f>
        <v>0</v>
      </c>
      <c r="AA166" s="4">
        <f>AA165+monthly_mortgage_schedule[[#This Row],[Extra Payments Towards Equity]]</f>
        <v>28500</v>
      </c>
      <c r="AB166" s="4">
        <f>AB165+monthly_mortgage_schedule[[#This Row],[Principal With Extra Principal Payments]]+monthly_mortgage_schedule[[#This Row],[Extra Payments Towards Equity]]</f>
        <v>161180.49828379884</v>
      </c>
      <c r="AC166" s="4">
        <f>monthly_mortgage_schedule[[#This Row],[Cumulative Principal With Extra Principal Payments]]+down_payment_dollars</f>
        <v>221180.49828379884</v>
      </c>
      <c r="AD166" s="200">
        <f t="shared" si="15"/>
        <v>0</v>
      </c>
      <c r="AE16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378819.50171620096</v>
      </c>
      <c r="AF166" s="187">
        <f t="shared" si="21"/>
        <v>416722.51079072</v>
      </c>
      <c r="AG166" s="4">
        <f>IF(monthly_mortgage_schedule[[#This Row],[Loan Balance (BOY) Without Extra Principal Payments]]&gt;0,monthly_mortgage_schedule[[#This Row],[Loan Balance (BOY) Without Extra Principal Payments]]*monthly_interest_rate,0)</f>
        <v>1944.7050503566934</v>
      </c>
      <c r="AH166" s="4">
        <f>IF(monthly_mortgage_schedule[[#This Row],[Loan Balance (BOY) Without Extra Principal Payments]]&gt;1,monthly_principal_and_interest-monthly_mortgage_schedule[[#This Row],[Interest Without Extra Principal Payments]],0)</f>
        <v>1155.3214451067147</v>
      </c>
      <c r="AI166" s="4">
        <f>AI165+monthly_mortgage_schedule[[#This Row],[Principal Without Extra Principal Payments]]</f>
        <v>124432.81065438663</v>
      </c>
      <c r="AJ166" s="4">
        <f>monthly_mortgage_schedule[[#This Row],[Cumulative Principal Without Extra Principal Payments]]+down_payment_dollars</f>
        <v>184432.81065438665</v>
      </c>
      <c r="AK166" s="200">
        <f t="shared" si="16"/>
        <v>0</v>
      </c>
      <c r="AL16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415567.1893456133</v>
      </c>
      <c r="AN166" s="196">
        <f>monthly_mortgage_schedule[[#This Row],[Extra Payments Towards Equity]]+AN165+IF(monthly_mortgage_schedule[[#This Row],[Interest With Extra Principal Payments]]&gt;0,monthly_mortgage_schedule[[#This Row],[Interest Without Extra Principal Payments]]-monthly_mortgage_schedule[[#This Row],[Interest With Extra Principal Payments]],0)</f>
        <v>36747.687629412248</v>
      </c>
      <c r="AO166" s="4">
        <f>AO165+IF(monthly_mortgage_schedule[[#This Row],[Interest With Extra Principal Payments]]&gt;0,monthly_mortgage_schedule[[#This Row],[Interest Without Extra Principal Payments]]-monthly_mortgage_schedule[[#This Row],[Interest With Extra Principal Payments]],0)</f>
        <v>8247.6876294122485</v>
      </c>
      <c r="AP166" s="4">
        <f>AP165+monthly_mortgage_schedule[[#This Row],[PMI Without Extra Principal Payments]]-monthly_mortgage_schedule[[#This Row],[PMI with Additional Payments]]</f>
        <v>990</v>
      </c>
      <c r="AQ166" s="4">
        <f t="shared" si="19"/>
        <v>41613.990672607579</v>
      </c>
      <c r="AR166" s="4">
        <f>Table60[[#This Row],[Cumulative Investments]]-monthly_mortgage_schedule[[#This Row],[Cumulative Extra Payments Towards Equity]]</f>
        <v>13113.990672607579</v>
      </c>
    </row>
    <row r="167" spans="9:44" x14ac:dyDescent="0.25">
      <c r="I167">
        <v>150</v>
      </c>
      <c r="J167">
        <f>IF(MOD(ROWS($J$18:J166),12)=0,J166+1,J166)</f>
        <v>2034</v>
      </c>
      <c r="K167" s="198">
        <f>IF(M167="#N/A",NA(),monthly_mortgage_schedule[[#This Row],[Month]])</f>
        <v>150</v>
      </c>
      <c r="L167" s="198">
        <f>IF(monthly_mortgage_schedule[[#This Row],[Calendar Year]]&gt;=$C$7,monthly_mortgage_schedule[[#This Row],[Calendar Year]],NA())</f>
        <v>2034</v>
      </c>
      <c r="M167" s="199">
        <f>IF((monthly_mortgage_schedule[[#This Row],[Calendar Year]]&gt;=$C$7)*(monthly_mortgage_schedule[[#This Row],[Calendar Year]]&lt;=$C$9),monthly_mortgage_schedule[[#This Row],[Begin Year (Range)]],NA())</f>
        <v>2034</v>
      </c>
      <c r="N167" s="214">
        <f>IF((monthly_mortgage_schedule[[#This Row],[Year (Range)]]&gt;=$C$7)*(monthly_mortgage_schedule[[#This Row],[Year (Range)]]&lt;=$C$9),X167,NA())</f>
        <v>1767.8243413422713</v>
      </c>
      <c r="O167" s="214">
        <f>IF((monthly_mortgage_schedule[[#This Row],[Year (Range)]]&gt;=$C$7)*(monthly_mortgage_schedule[[#This Row],[Year (Range)]]&lt;=$C$9),Y167,NA())</f>
        <v>1332.2021541211368</v>
      </c>
      <c r="P167" s="214">
        <f>IF((monthly_mortgage_schedule[[#This Row],[Year (Range)]]&gt;=$C$7)*(monthly_mortgage_schedule[[#This Row],[Year (Range)]]&lt;=$C$9),AG167,NA())</f>
        <v>1939.313550279529</v>
      </c>
      <c r="Q167" s="214">
        <f>IF((monthly_mortgage_schedule[[#This Row],[Year (Range)]]&gt;=$C$7)*(monthly_mortgage_schedule[[#This Row],[Year (Range)]]&lt;=$C$9),AH167,NA())</f>
        <v>1160.7129451838791</v>
      </c>
      <c r="R167" s="214">
        <f>IF((monthly_mortgage_schedule[[#This Row],[Year (Range)]]&gt;=$C$7)*(monthly_mortgage_schedule[[#This Row],[Year (Range)]]&lt;=$C$9),AO167,NA())</f>
        <v>8419.1768383495055</v>
      </c>
      <c r="S167" s="214">
        <f>IF((monthly_mortgage_schedule[[#This Row],[Year (Range)]]&gt;=$C$7)*(monthly_mortgage_schedule[[#This Row],[Year (Range)]]&lt;=$C$9),AP167,NA())</f>
        <v>990</v>
      </c>
      <c r="T167" s="214">
        <f>IF((monthly_mortgage_schedule[[#This Row],[Year (Range)]]&gt;=$C$7)*(monthly_mortgage_schedule[[#This Row],[Year (Range)]]&lt;=$C$9),AR167,NA())</f>
        <v>13399.417277091627</v>
      </c>
      <c r="U167" s="214">
        <f>IF((monthly_mortgage_schedule[[#This Row],[Year (Range)]]&gt;=$C$7)*(monthly_mortgage_schedule[[#This Row],[Year (Range)]]&lt;=$C$9),AB167,NA())</f>
        <v>163712.70043791996</v>
      </c>
      <c r="V167" s="214">
        <f>IF((monthly_mortgage_schedule[[#This Row],[Year (Range)]]&gt;=$C$7)*(monthly_mortgage_schedule[[#This Row],[Year (Range)]]&lt;=$C$9),AI167,NA())</f>
        <v>125593.52359957052</v>
      </c>
      <c r="W167" s="187">
        <f t="shared" si="17"/>
        <v>378819.50171620096</v>
      </c>
      <c r="X167" s="4">
        <f t="shared" si="20"/>
        <v>1767.8243413422713</v>
      </c>
      <c r="Y167" s="4">
        <f t="shared" si="18"/>
        <v>1332.2021541211368</v>
      </c>
      <c r="Z167" s="4">
        <f>_xlfn.IFNA(INDEX(additional_mortgage_payments[],MATCH(monthly_mortgage_schedule[[#This Row],[Month]],additional_mortgage_payments[Month],0),3),0)</f>
        <v>1200</v>
      </c>
      <c r="AA167" s="4">
        <f>AA166+monthly_mortgage_schedule[[#This Row],[Extra Payments Towards Equity]]</f>
        <v>29700</v>
      </c>
      <c r="AB167" s="4">
        <f>AB166+monthly_mortgage_schedule[[#This Row],[Principal With Extra Principal Payments]]+monthly_mortgage_schedule[[#This Row],[Extra Payments Towards Equity]]</f>
        <v>163712.70043791996</v>
      </c>
      <c r="AC167" s="4">
        <f>monthly_mortgage_schedule[[#This Row],[Cumulative Principal With Extra Principal Payments]]+down_payment_dollars</f>
        <v>223712.70043791996</v>
      </c>
      <c r="AD167" s="200">
        <f t="shared" si="15"/>
        <v>0</v>
      </c>
      <c r="AE16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376287.29956207983</v>
      </c>
      <c r="AF167" s="187">
        <f t="shared" si="21"/>
        <v>415567.1893456133</v>
      </c>
      <c r="AG167" s="4">
        <f>IF(monthly_mortgage_schedule[[#This Row],[Loan Balance (BOY) Without Extra Principal Payments]]&gt;0,monthly_mortgage_schedule[[#This Row],[Loan Balance (BOY) Without Extra Principal Payments]]*monthly_interest_rate,0)</f>
        <v>1939.313550279529</v>
      </c>
      <c r="AH167" s="4">
        <f>IF(monthly_mortgage_schedule[[#This Row],[Loan Balance (BOY) Without Extra Principal Payments]]&gt;1,monthly_principal_and_interest-monthly_mortgage_schedule[[#This Row],[Interest Without Extra Principal Payments]],0)</f>
        <v>1160.7129451838791</v>
      </c>
      <c r="AI167" s="4">
        <f>AI166+monthly_mortgage_schedule[[#This Row],[Principal Without Extra Principal Payments]]</f>
        <v>125593.52359957052</v>
      </c>
      <c r="AJ167" s="4">
        <f>monthly_mortgage_schedule[[#This Row],[Cumulative Principal Without Extra Principal Payments]]+down_payment_dollars</f>
        <v>185593.5235995705</v>
      </c>
      <c r="AK167" s="200">
        <f t="shared" si="16"/>
        <v>0</v>
      </c>
      <c r="AL16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414406.47640042944</v>
      </c>
      <c r="AN167" s="196">
        <f>monthly_mortgage_schedule[[#This Row],[Extra Payments Towards Equity]]+AN166+IF(monthly_mortgage_schedule[[#This Row],[Interest With Extra Principal Payments]]&gt;0,monthly_mortgage_schedule[[#This Row],[Interest Without Extra Principal Payments]]-monthly_mortgage_schedule[[#This Row],[Interest With Extra Principal Payments]],0)</f>
        <v>38119.176838349507</v>
      </c>
      <c r="AO167" s="4">
        <f>AO166+IF(monthly_mortgage_schedule[[#This Row],[Interest With Extra Principal Payments]]&gt;0,monthly_mortgage_schedule[[#This Row],[Interest Without Extra Principal Payments]]-monthly_mortgage_schedule[[#This Row],[Interest With Extra Principal Payments]],0)</f>
        <v>8419.1768383495055</v>
      </c>
      <c r="AP167" s="4">
        <f>AP166+monthly_mortgage_schedule[[#This Row],[PMI Without Extra Principal Payments]]-monthly_mortgage_schedule[[#This Row],[PMI with Additional Payments]]</f>
        <v>990</v>
      </c>
      <c r="AQ167" s="4">
        <f t="shared" si="19"/>
        <v>43099.417277091627</v>
      </c>
      <c r="AR167" s="4">
        <f>Table60[[#This Row],[Cumulative Investments]]-monthly_mortgage_schedule[[#This Row],[Cumulative Extra Payments Towards Equity]]</f>
        <v>13399.417277091627</v>
      </c>
    </row>
    <row r="168" spans="9:44" x14ac:dyDescent="0.25">
      <c r="I168">
        <v>151</v>
      </c>
      <c r="J168">
        <f>IF(MOD(ROWS($J$18:J167),12)=0,J167+1,J167)</f>
        <v>2034</v>
      </c>
      <c r="K168" s="198">
        <f>IF(M168="#N/A",NA(),monthly_mortgage_schedule[[#This Row],[Month]])</f>
        <v>151</v>
      </c>
      <c r="L168" s="198">
        <f>IF(monthly_mortgage_schedule[[#This Row],[Calendar Year]]&gt;=$C$7,monthly_mortgage_schedule[[#This Row],[Calendar Year]],NA())</f>
        <v>2034</v>
      </c>
      <c r="M168" s="199">
        <f>IF((monthly_mortgage_schedule[[#This Row],[Calendar Year]]&gt;=$C$7)*(monthly_mortgage_schedule[[#This Row],[Calendar Year]]&lt;=$C$9),monthly_mortgage_schedule[[#This Row],[Begin Year (Range)]],NA())</f>
        <v>2034</v>
      </c>
      <c r="N168" s="214">
        <f>IF((monthly_mortgage_schedule[[#This Row],[Year (Range)]]&gt;=$C$7)*(monthly_mortgage_schedule[[#This Row],[Year (Range)]]&lt;=$C$9),X168,NA())</f>
        <v>1756.0073979563726</v>
      </c>
      <c r="O168" s="214">
        <f>IF((monthly_mortgage_schedule[[#This Row],[Year (Range)]]&gt;=$C$7)*(monthly_mortgage_schedule[[#This Row],[Year (Range)]]&lt;=$C$9),Y168,NA())</f>
        <v>1344.0190975070354</v>
      </c>
      <c r="P168" s="214">
        <f>IF((monthly_mortgage_schedule[[#This Row],[Year (Range)]]&gt;=$C$7)*(monthly_mortgage_schedule[[#This Row],[Year (Range)]]&lt;=$C$9),AG168,NA())</f>
        <v>1933.896889868671</v>
      </c>
      <c r="Q168" s="214">
        <f>IF((monthly_mortgage_schedule[[#This Row],[Year (Range)]]&gt;=$C$7)*(monthly_mortgage_schedule[[#This Row],[Year (Range)]]&lt;=$C$9),AH168,NA())</f>
        <v>1166.1296055947371</v>
      </c>
      <c r="R168" s="214">
        <f>IF((monthly_mortgage_schedule[[#This Row],[Year (Range)]]&gt;=$C$7)*(monthly_mortgage_schedule[[#This Row],[Year (Range)]]&lt;=$C$9),AO168,NA())</f>
        <v>8597.0663302618032</v>
      </c>
      <c r="S168" s="214">
        <f>IF((monthly_mortgage_schedule[[#This Row],[Year (Range)]]&gt;=$C$7)*(monthly_mortgage_schedule[[#This Row],[Year (Range)]]&lt;=$C$9),AP168,NA())</f>
        <v>990</v>
      </c>
      <c r="T168" s="214">
        <f>IF((monthly_mortgage_schedule[[#This Row],[Year (Range)]]&gt;=$C$7)*(monthly_mortgage_schedule[[#This Row],[Year (Range)]]&lt;=$C$9),AR168,NA())</f>
        <v>13686.746725605568</v>
      </c>
      <c r="U168" s="214">
        <f>IF((monthly_mortgage_schedule[[#This Row],[Year (Range)]]&gt;=$C$7)*(monthly_mortgage_schedule[[#This Row],[Year (Range)]]&lt;=$C$9),AB168,NA())</f>
        <v>165056.71953542699</v>
      </c>
      <c r="V168" s="214">
        <f>IF((monthly_mortgage_schedule[[#This Row],[Year (Range)]]&gt;=$C$7)*(monthly_mortgage_schedule[[#This Row],[Year (Range)]]&lt;=$C$9),AI168,NA())</f>
        <v>126759.65320516525</v>
      </c>
      <c r="W168" s="187">
        <f t="shared" si="17"/>
        <v>376287.29956207983</v>
      </c>
      <c r="X168" s="4">
        <f t="shared" si="20"/>
        <v>1756.0073979563726</v>
      </c>
      <c r="Y168" s="4">
        <f t="shared" si="18"/>
        <v>1344.0190975070354</v>
      </c>
      <c r="Z168" s="4">
        <f>_xlfn.IFNA(INDEX(additional_mortgage_payments[],MATCH(monthly_mortgage_schedule[[#This Row],[Month]],additional_mortgage_payments[Month],0),3),0)</f>
        <v>0</v>
      </c>
      <c r="AA168" s="4">
        <f>AA167+monthly_mortgage_schedule[[#This Row],[Extra Payments Towards Equity]]</f>
        <v>29700</v>
      </c>
      <c r="AB168" s="4">
        <f>AB167+monthly_mortgage_schedule[[#This Row],[Principal With Extra Principal Payments]]+monthly_mortgage_schedule[[#This Row],[Extra Payments Towards Equity]]</f>
        <v>165056.71953542699</v>
      </c>
      <c r="AC168" s="4">
        <f>monthly_mortgage_schedule[[#This Row],[Cumulative Principal With Extra Principal Payments]]+down_payment_dollars</f>
        <v>225056.71953542699</v>
      </c>
      <c r="AD168" s="200">
        <f t="shared" si="15"/>
        <v>0</v>
      </c>
      <c r="AE16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374943.28046457277</v>
      </c>
      <c r="AF168" s="187">
        <f t="shared" si="21"/>
        <v>414406.47640042944</v>
      </c>
      <c r="AG168" s="4">
        <f>IF(monthly_mortgage_schedule[[#This Row],[Loan Balance (BOY) Without Extra Principal Payments]]&gt;0,monthly_mortgage_schedule[[#This Row],[Loan Balance (BOY) Without Extra Principal Payments]]*monthly_interest_rate,0)</f>
        <v>1933.896889868671</v>
      </c>
      <c r="AH168" s="4">
        <f>IF(monthly_mortgage_schedule[[#This Row],[Loan Balance (BOY) Without Extra Principal Payments]]&gt;1,monthly_principal_and_interest-monthly_mortgage_schedule[[#This Row],[Interest Without Extra Principal Payments]],0)</f>
        <v>1166.1296055947371</v>
      </c>
      <c r="AI168" s="4">
        <f>AI167+monthly_mortgage_schedule[[#This Row],[Principal Without Extra Principal Payments]]</f>
        <v>126759.65320516525</v>
      </c>
      <c r="AJ168" s="4">
        <f>monthly_mortgage_schedule[[#This Row],[Cumulative Principal Without Extra Principal Payments]]+down_payment_dollars</f>
        <v>186759.65320516523</v>
      </c>
      <c r="AK168" s="200">
        <f t="shared" si="16"/>
        <v>0</v>
      </c>
      <c r="AL16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413240.34679483471</v>
      </c>
      <c r="AN168" s="196">
        <f>monthly_mortgage_schedule[[#This Row],[Extra Payments Towards Equity]]+AN167+IF(monthly_mortgage_schedule[[#This Row],[Interest With Extra Principal Payments]]&gt;0,monthly_mortgage_schedule[[#This Row],[Interest Without Extra Principal Payments]]-monthly_mortgage_schedule[[#This Row],[Interest With Extra Principal Payments]],0)</f>
        <v>38297.066330261805</v>
      </c>
      <c r="AO168" s="4">
        <f>AO167+IF(monthly_mortgage_schedule[[#This Row],[Interest With Extra Principal Payments]]&gt;0,monthly_mortgage_schedule[[#This Row],[Interest Without Extra Principal Payments]]-monthly_mortgage_schedule[[#This Row],[Interest With Extra Principal Payments]],0)</f>
        <v>8597.0663302618032</v>
      </c>
      <c r="AP168" s="4">
        <f>AP167+monthly_mortgage_schedule[[#This Row],[PMI Without Extra Principal Payments]]-monthly_mortgage_schedule[[#This Row],[PMI with Additional Payments]]</f>
        <v>990</v>
      </c>
      <c r="AQ168" s="4">
        <f t="shared" si="19"/>
        <v>43386.746725605568</v>
      </c>
      <c r="AR168" s="4">
        <f>Table60[[#This Row],[Cumulative Investments]]-monthly_mortgage_schedule[[#This Row],[Cumulative Extra Payments Towards Equity]]</f>
        <v>13686.746725605568</v>
      </c>
    </row>
    <row r="169" spans="9:44" x14ac:dyDescent="0.25">
      <c r="I169">
        <v>152</v>
      </c>
      <c r="J169">
        <f>IF(MOD(ROWS($J$18:J168),12)=0,J168+1,J168)</f>
        <v>2034</v>
      </c>
      <c r="K169" s="198">
        <f>IF(M169="#N/A",NA(),monthly_mortgage_schedule[[#This Row],[Month]])</f>
        <v>152</v>
      </c>
      <c r="L169" s="198">
        <f>IF(monthly_mortgage_schedule[[#This Row],[Calendar Year]]&gt;=$C$7,monthly_mortgage_schedule[[#This Row],[Calendar Year]],NA())</f>
        <v>2034</v>
      </c>
      <c r="M169" s="199">
        <f>IF((monthly_mortgage_schedule[[#This Row],[Calendar Year]]&gt;=$C$7)*(monthly_mortgage_schedule[[#This Row],[Calendar Year]]&lt;=$C$9),monthly_mortgage_schedule[[#This Row],[Begin Year (Range)]],NA())</f>
        <v>2034</v>
      </c>
      <c r="N169" s="214">
        <f>IF((monthly_mortgage_schedule[[#This Row],[Year (Range)]]&gt;=$C$7)*(monthly_mortgage_schedule[[#This Row],[Year (Range)]]&lt;=$C$9),X169,NA())</f>
        <v>1749.7353088346731</v>
      </c>
      <c r="O169" s="214">
        <f>IF((monthly_mortgage_schedule[[#This Row],[Year (Range)]]&gt;=$C$7)*(monthly_mortgage_schedule[[#This Row],[Year (Range)]]&lt;=$C$9),Y169,NA())</f>
        <v>1350.291186628735</v>
      </c>
      <c r="P169" s="214">
        <f>IF((monthly_mortgage_schedule[[#This Row],[Year (Range)]]&gt;=$C$7)*(monthly_mortgage_schedule[[#This Row],[Year (Range)]]&lt;=$C$9),AG169,NA())</f>
        <v>1928.4549517092289</v>
      </c>
      <c r="Q169" s="214">
        <f>IF((monthly_mortgage_schedule[[#This Row],[Year (Range)]]&gt;=$C$7)*(monthly_mortgage_schedule[[#This Row],[Year (Range)]]&lt;=$C$9),AH169,NA())</f>
        <v>1171.5715437541792</v>
      </c>
      <c r="R169" s="214">
        <f>IF((monthly_mortgage_schedule[[#This Row],[Year (Range)]]&gt;=$C$7)*(monthly_mortgage_schedule[[#This Row],[Year (Range)]]&lt;=$C$9),AO169,NA())</f>
        <v>8775.7859731363587</v>
      </c>
      <c r="S169" s="214">
        <f>IF((monthly_mortgage_schedule[[#This Row],[Year (Range)]]&gt;=$C$7)*(monthly_mortgage_schedule[[#This Row],[Year (Range)]]&lt;=$C$9),AP169,NA())</f>
        <v>990</v>
      </c>
      <c r="T169" s="214">
        <f>IF((monthly_mortgage_schedule[[#This Row],[Year (Range)]]&gt;=$C$7)*(monthly_mortgage_schedule[[#This Row],[Year (Range)]]&lt;=$C$9),AR169,NA())</f>
        <v>13975.991703776272</v>
      </c>
      <c r="U169" s="214">
        <f>IF((monthly_mortgage_schedule[[#This Row],[Year (Range)]]&gt;=$C$7)*(monthly_mortgage_schedule[[#This Row],[Year (Range)]]&lt;=$C$9),AB169,NA())</f>
        <v>166407.01072205574</v>
      </c>
      <c r="V169" s="214">
        <f>IF((monthly_mortgage_schedule[[#This Row],[Year (Range)]]&gt;=$C$7)*(monthly_mortgage_schedule[[#This Row],[Year (Range)]]&lt;=$C$9),AI169,NA())</f>
        <v>127931.22474891943</v>
      </c>
      <c r="W169" s="187">
        <f t="shared" si="17"/>
        <v>374943.28046457277</v>
      </c>
      <c r="X169" s="4">
        <f t="shared" si="20"/>
        <v>1749.7353088346731</v>
      </c>
      <c r="Y169" s="4">
        <f t="shared" si="18"/>
        <v>1350.291186628735</v>
      </c>
      <c r="Z169" s="4">
        <f>_xlfn.IFNA(INDEX(additional_mortgage_payments[],MATCH(monthly_mortgage_schedule[[#This Row],[Month]],additional_mortgage_payments[Month],0),3),0)</f>
        <v>0</v>
      </c>
      <c r="AA169" s="4">
        <f>AA168+monthly_mortgage_schedule[[#This Row],[Extra Payments Towards Equity]]</f>
        <v>29700</v>
      </c>
      <c r="AB169" s="4">
        <f>AB168+monthly_mortgage_schedule[[#This Row],[Principal With Extra Principal Payments]]+monthly_mortgage_schedule[[#This Row],[Extra Payments Towards Equity]]</f>
        <v>166407.01072205574</v>
      </c>
      <c r="AC169" s="4">
        <f>monthly_mortgage_schedule[[#This Row],[Cumulative Principal With Extra Principal Payments]]+down_payment_dollars</f>
        <v>226407.01072205574</v>
      </c>
      <c r="AD169" s="200">
        <f t="shared" si="15"/>
        <v>0</v>
      </c>
      <c r="AE16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373592.98927794403</v>
      </c>
      <c r="AF169" s="187">
        <f t="shared" si="21"/>
        <v>413240.34679483471</v>
      </c>
      <c r="AG169" s="4">
        <f>IF(monthly_mortgage_schedule[[#This Row],[Loan Balance (BOY) Without Extra Principal Payments]]&gt;0,monthly_mortgage_schedule[[#This Row],[Loan Balance (BOY) Without Extra Principal Payments]]*monthly_interest_rate,0)</f>
        <v>1928.4549517092289</v>
      </c>
      <c r="AH169" s="4">
        <f>IF(monthly_mortgage_schedule[[#This Row],[Loan Balance (BOY) Without Extra Principal Payments]]&gt;1,monthly_principal_and_interest-monthly_mortgage_schedule[[#This Row],[Interest Without Extra Principal Payments]],0)</f>
        <v>1171.5715437541792</v>
      </c>
      <c r="AI169" s="4">
        <f>AI168+monthly_mortgage_schedule[[#This Row],[Principal Without Extra Principal Payments]]</f>
        <v>127931.22474891943</v>
      </c>
      <c r="AJ169" s="4">
        <f>monthly_mortgage_schedule[[#This Row],[Cumulative Principal Without Extra Principal Payments]]+down_payment_dollars</f>
        <v>187931.22474891943</v>
      </c>
      <c r="AK169" s="200">
        <f t="shared" si="16"/>
        <v>0</v>
      </c>
      <c r="AL16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412068.77525108051</v>
      </c>
      <c r="AN169" s="196">
        <f>monthly_mortgage_schedule[[#This Row],[Extra Payments Towards Equity]]+AN168+IF(monthly_mortgage_schedule[[#This Row],[Interest With Extra Principal Payments]]&gt;0,monthly_mortgage_schedule[[#This Row],[Interest Without Extra Principal Payments]]-monthly_mortgage_schedule[[#This Row],[Interest With Extra Principal Payments]],0)</f>
        <v>38475.785973136364</v>
      </c>
      <c r="AO169" s="4">
        <f>AO168+IF(monthly_mortgage_schedule[[#This Row],[Interest With Extra Principal Payments]]&gt;0,monthly_mortgage_schedule[[#This Row],[Interest Without Extra Principal Payments]]-monthly_mortgage_schedule[[#This Row],[Interest With Extra Principal Payments]],0)</f>
        <v>8775.7859731363587</v>
      </c>
      <c r="AP169" s="4">
        <f>AP168+monthly_mortgage_schedule[[#This Row],[PMI Without Extra Principal Payments]]-monthly_mortgage_schedule[[#This Row],[PMI with Additional Payments]]</f>
        <v>990</v>
      </c>
      <c r="AQ169" s="4">
        <f t="shared" si="19"/>
        <v>43675.991703776272</v>
      </c>
      <c r="AR169" s="4">
        <f>Table60[[#This Row],[Cumulative Investments]]-monthly_mortgage_schedule[[#This Row],[Cumulative Extra Payments Towards Equity]]</f>
        <v>13975.991703776272</v>
      </c>
    </row>
    <row r="170" spans="9:44" x14ac:dyDescent="0.25">
      <c r="I170">
        <v>153</v>
      </c>
      <c r="J170">
        <f>IF(MOD(ROWS($J$18:J169),12)=0,J169+1,J169)</f>
        <v>2034</v>
      </c>
      <c r="K170" s="198">
        <f>IF(M170="#N/A",NA(),monthly_mortgage_schedule[[#This Row],[Month]])</f>
        <v>153</v>
      </c>
      <c r="L170" s="198">
        <f>IF(monthly_mortgage_schedule[[#This Row],[Calendar Year]]&gt;=$C$7,monthly_mortgage_schedule[[#This Row],[Calendar Year]],NA())</f>
        <v>2034</v>
      </c>
      <c r="M170" s="199">
        <f>IF((monthly_mortgage_schedule[[#This Row],[Calendar Year]]&gt;=$C$7)*(monthly_mortgage_schedule[[#This Row],[Calendar Year]]&lt;=$C$9),monthly_mortgage_schedule[[#This Row],[Begin Year (Range)]],NA())</f>
        <v>2034</v>
      </c>
      <c r="N170" s="214">
        <f>IF((monthly_mortgage_schedule[[#This Row],[Year (Range)]]&gt;=$C$7)*(monthly_mortgage_schedule[[#This Row],[Year (Range)]]&lt;=$C$9),X170,NA())</f>
        <v>1743.433949963739</v>
      </c>
      <c r="O170" s="214">
        <f>IF((monthly_mortgage_schedule[[#This Row],[Year (Range)]]&gt;=$C$7)*(monthly_mortgage_schedule[[#This Row],[Year (Range)]]&lt;=$C$9),Y170,NA())</f>
        <v>1356.5925454996691</v>
      </c>
      <c r="P170" s="214">
        <f>IF((monthly_mortgage_schedule[[#This Row],[Year (Range)]]&gt;=$C$7)*(monthly_mortgage_schedule[[#This Row],[Year (Range)]]&lt;=$C$9),AG170,NA())</f>
        <v>1922.9876178383759</v>
      </c>
      <c r="Q170" s="214">
        <f>IF((monthly_mortgage_schedule[[#This Row],[Year (Range)]]&gt;=$C$7)*(monthly_mortgage_schedule[[#This Row],[Year (Range)]]&lt;=$C$9),AH170,NA())</f>
        <v>1177.0388776250322</v>
      </c>
      <c r="R170" s="214">
        <f>IF((monthly_mortgage_schedule[[#This Row],[Year (Range)]]&gt;=$C$7)*(monthly_mortgage_schedule[[#This Row],[Year (Range)]]&lt;=$C$9),AO170,NA())</f>
        <v>8955.3396410109963</v>
      </c>
      <c r="S170" s="214">
        <f>IF((monthly_mortgage_schedule[[#This Row],[Year (Range)]]&gt;=$C$7)*(monthly_mortgage_schedule[[#This Row],[Year (Range)]]&lt;=$C$9),AP170,NA())</f>
        <v>990</v>
      </c>
      <c r="T170" s="214">
        <f>IF((monthly_mortgage_schedule[[#This Row],[Year (Range)]]&gt;=$C$7)*(monthly_mortgage_schedule[[#This Row],[Year (Range)]]&lt;=$C$9),AR170,NA())</f>
        <v>14267.164981801441</v>
      </c>
      <c r="U170" s="214">
        <f>IF((monthly_mortgage_schedule[[#This Row],[Year (Range)]]&gt;=$C$7)*(monthly_mortgage_schedule[[#This Row],[Year (Range)]]&lt;=$C$9),AB170,NA())</f>
        <v>167763.60326755542</v>
      </c>
      <c r="V170" s="214">
        <f>IF((monthly_mortgage_schedule[[#This Row],[Year (Range)]]&gt;=$C$7)*(monthly_mortgage_schedule[[#This Row],[Year (Range)]]&lt;=$C$9),AI170,NA())</f>
        <v>129108.26362654446</v>
      </c>
      <c r="W170" s="187">
        <f t="shared" si="17"/>
        <v>373592.98927794403</v>
      </c>
      <c r="X170" s="4">
        <f t="shared" si="20"/>
        <v>1743.433949963739</v>
      </c>
      <c r="Y170" s="4">
        <f t="shared" si="18"/>
        <v>1356.5925454996691</v>
      </c>
      <c r="Z170" s="4">
        <f>_xlfn.IFNA(INDEX(additional_mortgage_payments[],MATCH(monthly_mortgage_schedule[[#This Row],[Month]],additional_mortgage_payments[Month],0),3),0)</f>
        <v>0</v>
      </c>
      <c r="AA170" s="4">
        <f>AA169+monthly_mortgage_schedule[[#This Row],[Extra Payments Towards Equity]]</f>
        <v>29700</v>
      </c>
      <c r="AB170" s="4">
        <f>AB169+monthly_mortgage_schedule[[#This Row],[Principal With Extra Principal Payments]]+monthly_mortgage_schedule[[#This Row],[Extra Payments Towards Equity]]</f>
        <v>167763.60326755542</v>
      </c>
      <c r="AC170" s="4">
        <f>monthly_mortgage_schedule[[#This Row],[Cumulative Principal With Extra Principal Payments]]+down_payment_dollars</f>
        <v>227763.60326755542</v>
      </c>
      <c r="AD170" s="200">
        <f t="shared" si="15"/>
        <v>0</v>
      </c>
      <c r="AE17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372236.39673244435</v>
      </c>
      <c r="AF170" s="187">
        <f t="shared" si="21"/>
        <v>412068.77525108051</v>
      </c>
      <c r="AG170" s="4">
        <f>IF(monthly_mortgage_schedule[[#This Row],[Loan Balance (BOY) Without Extra Principal Payments]]&gt;0,monthly_mortgage_schedule[[#This Row],[Loan Balance (BOY) Without Extra Principal Payments]]*monthly_interest_rate,0)</f>
        <v>1922.9876178383759</v>
      </c>
      <c r="AH170" s="4">
        <f>IF(monthly_mortgage_schedule[[#This Row],[Loan Balance (BOY) Without Extra Principal Payments]]&gt;1,monthly_principal_and_interest-monthly_mortgage_schedule[[#This Row],[Interest Without Extra Principal Payments]],0)</f>
        <v>1177.0388776250322</v>
      </c>
      <c r="AI170" s="4">
        <f>AI169+monthly_mortgage_schedule[[#This Row],[Principal Without Extra Principal Payments]]</f>
        <v>129108.26362654446</v>
      </c>
      <c r="AJ170" s="4">
        <f>monthly_mortgage_schedule[[#This Row],[Cumulative Principal Without Extra Principal Payments]]+down_payment_dollars</f>
        <v>189108.26362654445</v>
      </c>
      <c r="AK170" s="200">
        <f t="shared" si="16"/>
        <v>0</v>
      </c>
      <c r="AL17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410891.7363734555</v>
      </c>
      <c r="AN170" s="196">
        <f>monthly_mortgage_schedule[[#This Row],[Extra Payments Towards Equity]]+AN169+IF(monthly_mortgage_schedule[[#This Row],[Interest With Extra Principal Payments]]&gt;0,monthly_mortgage_schedule[[#This Row],[Interest Without Extra Principal Payments]]-monthly_mortgage_schedule[[#This Row],[Interest With Extra Principal Payments]],0)</f>
        <v>38655.339641011</v>
      </c>
      <c r="AO170" s="4">
        <f>AO169+IF(monthly_mortgage_schedule[[#This Row],[Interest With Extra Principal Payments]]&gt;0,monthly_mortgage_schedule[[#This Row],[Interest Without Extra Principal Payments]]-monthly_mortgage_schedule[[#This Row],[Interest With Extra Principal Payments]],0)</f>
        <v>8955.3396410109963</v>
      </c>
      <c r="AP170" s="4">
        <f>AP169+monthly_mortgage_schedule[[#This Row],[PMI Without Extra Principal Payments]]-monthly_mortgage_schedule[[#This Row],[PMI with Additional Payments]]</f>
        <v>990</v>
      </c>
      <c r="AQ170" s="4">
        <f t="shared" si="19"/>
        <v>43967.164981801441</v>
      </c>
      <c r="AR170" s="4">
        <f>Table60[[#This Row],[Cumulative Investments]]-monthly_mortgage_schedule[[#This Row],[Cumulative Extra Payments Towards Equity]]</f>
        <v>14267.164981801441</v>
      </c>
    </row>
    <row r="171" spans="9:44" x14ac:dyDescent="0.25">
      <c r="I171">
        <v>154</v>
      </c>
      <c r="J171">
        <f>IF(MOD(ROWS($J$18:J170),12)=0,J170+1,J170)</f>
        <v>2034</v>
      </c>
      <c r="K171" s="198">
        <f>IF(M171="#N/A",NA(),monthly_mortgage_schedule[[#This Row],[Month]])</f>
        <v>154</v>
      </c>
      <c r="L171" s="198">
        <f>IF(monthly_mortgage_schedule[[#This Row],[Calendar Year]]&gt;=$C$7,monthly_mortgage_schedule[[#This Row],[Calendar Year]],NA())</f>
        <v>2034</v>
      </c>
      <c r="M171" s="199">
        <f>IF((monthly_mortgage_schedule[[#This Row],[Calendar Year]]&gt;=$C$7)*(monthly_mortgage_schedule[[#This Row],[Calendar Year]]&lt;=$C$9),monthly_mortgage_schedule[[#This Row],[Begin Year (Range)]],NA())</f>
        <v>2034</v>
      </c>
      <c r="N171" s="214">
        <f>IF((monthly_mortgage_schedule[[#This Row],[Year (Range)]]&gt;=$C$7)*(monthly_mortgage_schedule[[#This Row],[Year (Range)]]&lt;=$C$9),X171,NA())</f>
        <v>1737.1031847514071</v>
      </c>
      <c r="O171" s="214">
        <f>IF((monthly_mortgage_schedule[[#This Row],[Year (Range)]]&gt;=$C$7)*(monthly_mortgage_schedule[[#This Row],[Year (Range)]]&lt;=$C$9),Y171,NA())</f>
        <v>1362.923310712001</v>
      </c>
      <c r="P171" s="214">
        <f>IF((monthly_mortgage_schedule[[#This Row],[Year (Range)]]&gt;=$C$7)*(monthly_mortgage_schedule[[#This Row],[Year (Range)]]&lt;=$C$9),AG171,NA())</f>
        <v>1917.4947697427924</v>
      </c>
      <c r="Q171" s="214">
        <f>IF((monthly_mortgage_schedule[[#This Row],[Year (Range)]]&gt;=$C$7)*(monthly_mortgage_schedule[[#This Row],[Year (Range)]]&lt;=$C$9),AH171,NA())</f>
        <v>1182.5317257206157</v>
      </c>
      <c r="R171" s="214">
        <f>IF((monthly_mortgage_schedule[[#This Row],[Year (Range)]]&gt;=$C$7)*(monthly_mortgage_schedule[[#This Row],[Year (Range)]]&lt;=$C$9),AO171,NA())</f>
        <v>9135.7312260023809</v>
      </c>
      <c r="S171" s="214">
        <f>IF((monthly_mortgage_schedule[[#This Row],[Year (Range)]]&gt;=$C$7)*(monthly_mortgage_schedule[[#This Row],[Year (Range)]]&lt;=$C$9),AP171,NA())</f>
        <v>990</v>
      </c>
      <c r="T171" s="214">
        <f>IF((monthly_mortgage_schedule[[#This Row],[Year (Range)]]&gt;=$C$7)*(monthly_mortgage_schedule[[#This Row],[Year (Range)]]&lt;=$C$9),AR171,NA())</f>
        <v>14560.27941501345</v>
      </c>
      <c r="U171" s="214">
        <f>IF((monthly_mortgage_schedule[[#This Row],[Year (Range)]]&gt;=$C$7)*(monthly_mortgage_schedule[[#This Row],[Year (Range)]]&lt;=$C$9),AB171,NA())</f>
        <v>169126.52657826743</v>
      </c>
      <c r="V171" s="214">
        <f>IF((monthly_mortgage_schedule[[#This Row],[Year (Range)]]&gt;=$C$7)*(monthly_mortgage_schedule[[#This Row],[Year (Range)]]&lt;=$C$9),AI171,NA())</f>
        <v>130290.79535226508</v>
      </c>
      <c r="W171" s="187">
        <f t="shared" si="17"/>
        <v>372236.39673244435</v>
      </c>
      <c r="X171" s="4">
        <f t="shared" si="20"/>
        <v>1737.1031847514071</v>
      </c>
      <c r="Y171" s="4">
        <f t="shared" si="18"/>
        <v>1362.923310712001</v>
      </c>
      <c r="Z171" s="4">
        <f>_xlfn.IFNA(INDEX(additional_mortgage_payments[],MATCH(monthly_mortgage_schedule[[#This Row],[Month]],additional_mortgage_payments[Month],0),3),0)</f>
        <v>0</v>
      </c>
      <c r="AA171" s="4">
        <f>AA170+monthly_mortgage_schedule[[#This Row],[Extra Payments Towards Equity]]</f>
        <v>29700</v>
      </c>
      <c r="AB171" s="4">
        <f>AB170+monthly_mortgage_schedule[[#This Row],[Principal With Extra Principal Payments]]+monthly_mortgage_schedule[[#This Row],[Extra Payments Towards Equity]]</f>
        <v>169126.52657826743</v>
      </c>
      <c r="AC171" s="4">
        <f>monthly_mortgage_schedule[[#This Row],[Cumulative Principal With Extra Principal Payments]]+down_payment_dollars</f>
        <v>229126.52657826743</v>
      </c>
      <c r="AD171" s="200">
        <f t="shared" si="15"/>
        <v>0</v>
      </c>
      <c r="AE17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370873.47342173237</v>
      </c>
      <c r="AF171" s="187">
        <f t="shared" si="21"/>
        <v>410891.7363734555</v>
      </c>
      <c r="AG171" s="4">
        <f>IF(monthly_mortgage_schedule[[#This Row],[Loan Balance (BOY) Without Extra Principal Payments]]&gt;0,monthly_mortgage_schedule[[#This Row],[Loan Balance (BOY) Without Extra Principal Payments]]*monthly_interest_rate,0)</f>
        <v>1917.4947697427924</v>
      </c>
      <c r="AH171" s="4">
        <f>IF(monthly_mortgage_schedule[[#This Row],[Loan Balance (BOY) Without Extra Principal Payments]]&gt;1,monthly_principal_and_interest-monthly_mortgage_schedule[[#This Row],[Interest Without Extra Principal Payments]],0)</f>
        <v>1182.5317257206157</v>
      </c>
      <c r="AI171" s="4">
        <f>AI170+monthly_mortgage_schedule[[#This Row],[Principal Without Extra Principal Payments]]</f>
        <v>130290.79535226508</v>
      </c>
      <c r="AJ171" s="4">
        <f>monthly_mortgage_schedule[[#This Row],[Cumulative Principal Without Extra Principal Payments]]+down_payment_dollars</f>
        <v>190290.79535226506</v>
      </c>
      <c r="AK171" s="200">
        <f t="shared" si="16"/>
        <v>0</v>
      </c>
      <c r="AL17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409709.20464773488</v>
      </c>
      <c r="AN171" s="196">
        <f>monthly_mortgage_schedule[[#This Row],[Extra Payments Towards Equity]]+AN170+IF(monthly_mortgage_schedule[[#This Row],[Interest With Extra Principal Payments]]&gt;0,monthly_mortgage_schedule[[#This Row],[Interest Without Extra Principal Payments]]-monthly_mortgage_schedule[[#This Row],[Interest With Extra Principal Payments]],0)</f>
        <v>38835.731226002383</v>
      </c>
      <c r="AO171" s="4">
        <f>AO170+IF(monthly_mortgage_schedule[[#This Row],[Interest With Extra Principal Payments]]&gt;0,monthly_mortgage_schedule[[#This Row],[Interest Without Extra Principal Payments]]-monthly_mortgage_schedule[[#This Row],[Interest With Extra Principal Payments]],0)</f>
        <v>9135.7312260023809</v>
      </c>
      <c r="AP171" s="4">
        <f>AP170+monthly_mortgage_schedule[[#This Row],[PMI Without Extra Principal Payments]]-monthly_mortgage_schedule[[#This Row],[PMI with Additional Payments]]</f>
        <v>990</v>
      </c>
      <c r="AQ171" s="4">
        <f t="shared" si="19"/>
        <v>44260.27941501345</v>
      </c>
      <c r="AR171" s="4">
        <f>Table60[[#This Row],[Cumulative Investments]]-monthly_mortgage_schedule[[#This Row],[Cumulative Extra Payments Towards Equity]]</f>
        <v>14560.27941501345</v>
      </c>
    </row>
    <row r="172" spans="9:44" x14ac:dyDescent="0.25">
      <c r="I172">
        <v>155</v>
      </c>
      <c r="J172">
        <f>IF(MOD(ROWS($J$18:J171),12)=0,J171+1,J171)</f>
        <v>2034</v>
      </c>
      <c r="K172" s="198">
        <f>IF(M172="#N/A",NA(),monthly_mortgage_schedule[[#This Row],[Month]])</f>
        <v>155</v>
      </c>
      <c r="L172" s="198">
        <f>IF(monthly_mortgage_schedule[[#This Row],[Calendar Year]]&gt;=$C$7,monthly_mortgage_schedule[[#This Row],[Calendar Year]],NA())</f>
        <v>2034</v>
      </c>
      <c r="M172" s="199">
        <f>IF((monthly_mortgage_schedule[[#This Row],[Calendar Year]]&gt;=$C$7)*(monthly_mortgage_schedule[[#This Row],[Calendar Year]]&lt;=$C$9),monthly_mortgage_schedule[[#This Row],[Begin Year (Range)]],NA())</f>
        <v>2034</v>
      </c>
      <c r="N172" s="214">
        <f>IF((monthly_mortgage_schedule[[#This Row],[Year (Range)]]&gt;=$C$7)*(monthly_mortgage_schedule[[#This Row],[Year (Range)]]&lt;=$C$9),X172,NA())</f>
        <v>1730.7428759680845</v>
      </c>
      <c r="O172" s="214">
        <f>IF((monthly_mortgage_schedule[[#This Row],[Year (Range)]]&gt;=$C$7)*(monthly_mortgage_schedule[[#This Row],[Year (Range)]]&lt;=$C$9),Y172,NA())</f>
        <v>1369.2836194953236</v>
      </c>
      <c r="P172" s="214">
        <f>IF((monthly_mortgage_schedule[[#This Row],[Year (Range)]]&gt;=$C$7)*(monthly_mortgage_schedule[[#This Row],[Year (Range)]]&lt;=$C$9),AG172,NA())</f>
        <v>1911.9762883560963</v>
      </c>
      <c r="Q172" s="214">
        <f>IF((monthly_mortgage_schedule[[#This Row],[Year (Range)]]&gt;=$C$7)*(monthly_mortgage_schedule[[#This Row],[Year (Range)]]&lt;=$C$9),AH172,NA())</f>
        <v>1188.0502071073117</v>
      </c>
      <c r="R172" s="214">
        <f>IF((monthly_mortgage_schedule[[#This Row],[Year (Range)]]&gt;=$C$7)*(monthly_mortgage_schedule[[#This Row],[Year (Range)]]&lt;=$C$9),AO172,NA())</f>
        <v>9316.9646383903928</v>
      </c>
      <c r="S172" s="214">
        <f>IF((monthly_mortgage_schedule[[#This Row],[Year (Range)]]&gt;=$C$7)*(monthly_mortgage_schedule[[#This Row],[Year (Range)]]&lt;=$C$9),AP172,NA())</f>
        <v>990</v>
      </c>
      <c r="T172" s="214">
        <f>IF((monthly_mortgage_schedule[[#This Row],[Year (Range)]]&gt;=$C$7)*(monthly_mortgage_schedule[[#This Row],[Year (Range)]]&lt;=$C$9),AR172,NA())</f>
        <v>14855.347944446868</v>
      </c>
      <c r="U172" s="214">
        <f>IF((monthly_mortgage_schedule[[#This Row],[Year (Range)]]&gt;=$C$7)*(monthly_mortgage_schedule[[#This Row],[Year (Range)]]&lt;=$C$9),AB172,NA())</f>
        <v>170495.81019776274</v>
      </c>
      <c r="V172" s="214">
        <f>IF((monthly_mortgage_schedule[[#This Row],[Year (Range)]]&gt;=$C$7)*(monthly_mortgage_schedule[[#This Row],[Year (Range)]]&lt;=$C$9),AI172,NA())</f>
        <v>131478.84555937239</v>
      </c>
      <c r="W172" s="187">
        <f t="shared" si="17"/>
        <v>370873.47342173237</v>
      </c>
      <c r="X172" s="4">
        <f t="shared" si="20"/>
        <v>1730.7428759680845</v>
      </c>
      <c r="Y172" s="4">
        <f t="shared" si="18"/>
        <v>1369.2836194953236</v>
      </c>
      <c r="Z172" s="4">
        <f>_xlfn.IFNA(INDEX(additional_mortgage_payments[],MATCH(monthly_mortgage_schedule[[#This Row],[Month]],additional_mortgage_payments[Month],0),3),0)</f>
        <v>0</v>
      </c>
      <c r="AA172" s="4">
        <f>AA171+monthly_mortgage_schedule[[#This Row],[Extra Payments Towards Equity]]</f>
        <v>29700</v>
      </c>
      <c r="AB172" s="4">
        <f>AB171+monthly_mortgage_schedule[[#This Row],[Principal With Extra Principal Payments]]+monthly_mortgage_schedule[[#This Row],[Extra Payments Towards Equity]]</f>
        <v>170495.81019776274</v>
      </c>
      <c r="AC172" s="4">
        <f>monthly_mortgage_schedule[[#This Row],[Cumulative Principal With Extra Principal Payments]]+down_payment_dollars</f>
        <v>230495.81019776274</v>
      </c>
      <c r="AD172" s="200">
        <f t="shared" si="15"/>
        <v>0</v>
      </c>
      <c r="AE17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369504.18980223703</v>
      </c>
      <c r="AF172" s="187">
        <f t="shared" si="21"/>
        <v>409709.20464773488</v>
      </c>
      <c r="AG172" s="4">
        <f>IF(monthly_mortgage_schedule[[#This Row],[Loan Balance (BOY) Without Extra Principal Payments]]&gt;0,monthly_mortgage_schedule[[#This Row],[Loan Balance (BOY) Without Extra Principal Payments]]*monthly_interest_rate,0)</f>
        <v>1911.9762883560963</v>
      </c>
      <c r="AH172" s="4">
        <f>IF(monthly_mortgage_schedule[[#This Row],[Loan Balance (BOY) Without Extra Principal Payments]]&gt;1,monthly_principal_and_interest-monthly_mortgage_schedule[[#This Row],[Interest Without Extra Principal Payments]],0)</f>
        <v>1188.0502071073117</v>
      </c>
      <c r="AI172" s="4">
        <f>AI171+monthly_mortgage_schedule[[#This Row],[Principal Without Extra Principal Payments]]</f>
        <v>131478.84555937239</v>
      </c>
      <c r="AJ172" s="4">
        <f>monthly_mortgage_schedule[[#This Row],[Cumulative Principal Without Extra Principal Payments]]+down_payment_dollars</f>
        <v>191478.84555937239</v>
      </c>
      <c r="AK172" s="200">
        <f t="shared" si="16"/>
        <v>0</v>
      </c>
      <c r="AL17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408521.15444062755</v>
      </c>
      <c r="AN172" s="196">
        <f>monthly_mortgage_schedule[[#This Row],[Extra Payments Towards Equity]]+AN171+IF(monthly_mortgage_schedule[[#This Row],[Interest With Extra Principal Payments]]&gt;0,monthly_mortgage_schedule[[#This Row],[Interest Without Extra Principal Payments]]-monthly_mortgage_schedule[[#This Row],[Interest With Extra Principal Payments]],0)</f>
        <v>39016.964638390396</v>
      </c>
      <c r="AO172" s="4">
        <f>AO171+IF(monthly_mortgage_schedule[[#This Row],[Interest With Extra Principal Payments]]&gt;0,monthly_mortgage_schedule[[#This Row],[Interest Without Extra Principal Payments]]-monthly_mortgage_schedule[[#This Row],[Interest With Extra Principal Payments]],0)</f>
        <v>9316.9646383903928</v>
      </c>
      <c r="AP172" s="4">
        <f>AP171+monthly_mortgage_schedule[[#This Row],[PMI Without Extra Principal Payments]]-monthly_mortgage_schedule[[#This Row],[PMI with Additional Payments]]</f>
        <v>990</v>
      </c>
      <c r="AQ172" s="4">
        <f t="shared" si="19"/>
        <v>44555.347944446868</v>
      </c>
      <c r="AR172" s="4">
        <f>Table60[[#This Row],[Cumulative Investments]]-monthly_mortgage_schedule[[#This Row],[Cumulative Extra Payments Towards Equity]]</f>
        <v>14855.347944446868</v>
      </c>
    </row>
    <row r="173" spans="9:44" x14ac:dyDescent="0.25">
      <c r="I173">
        <v>156</v>
      </c>
      <c r="J173">
        <f>IF(MOD(ROWS($J$18:J172),12)=0,J172+1,J172)</f>
        <v>2034</v>
      </c>
      <c r="K173" s="198">
        <f>IF(M173="#N/A",NA(),monthly_mortgage_schedule[[#This Row],[Month]])</f>
        <v>156</v>
      </c>
      <c r="L173" s="198">
        <f>IF(monthly_mortgage_schedule[[#This Row],[Calendar Year]]&gt;=$C$7,monthly_mortgage_schedule[[#This Row],[Calendar Year]],NA())</f>
        <v>2034</v>
      </c>
      <c r="M173" s="199">
        <f>IF((monthly_mortgage_schedule[[#This Row],[Calendar Year]]&gt;=$C$7)*(monthly_mortgage_schedule[[#This Row],[Calendar Year]]&lt;=$C$9),monthly_mortgage_schedule[[#This Row],[Begin Year (Range)]],NA())</f>
        <v>2034</v>
      </c>
      <c r="N173" s="214">
        <f>IF((monthly_mortgage_schedule[[#This Row],[Year (Range)]]&gt;=$C$7)*(monthly_mortgage_schedule[[#This Row],[Year (Range)]]&lt;=$C$9),X173,NA())</f>
        <v>1724.352885743773</v>
      </c>
      <c r="O173" s="214">
        <f>IF((monthly_mortgage_schedule[[#This Row],[Year (Range)]]&gt;=$C$7)*(monthly_mortgage_schedule[[#This Row],[Year (Range)]]&lt;=$C$9),Y173,NA())</f>
        <v>1375.6736097196351</v>
      </c>
      <c r="P173" s="214">
        <f>IF((monthly_mortgage_schedule[[#This Row],[Year (Range)]]&gt;=$C$7)*(monthly_mortgage_schedule[[#This Row],[Year (Range)]]&lt;=$C$9),AG173,NA())</f>
        <v>1906.4320540562621</v>
      </c>
      <c r="Q173" s="214">
        <f>IF((monthly_mortgage_schedule[[#This Row],[Year (Range)]]&gt;=$C$7)*(monthly_mortgage_schedule[[#This Row],[Year (Range)]]&lt;=$C$9),AH173,NA())</f>
        <v>1193.594441407146</v>
      </c>
      <c r="R173" s="214">
        <f>IF((monthly_mortgage_schedule[[#This Row],[Year (Range)]]&gt;=$C$7)*(monthly_mortgage_schedule[[#This Row],[Year (Range)]]&lt;=$C$9),AO173,NA())</f>
        <v>9499.0438067028826</v>
      </c>
      <c r="S173" s="214">
        <f>IF((monthly_mortgage_schedule[[#This Row],[Year (Range)]]&gt;=$C$7)*(monthly_mortgage_schedule[[#This Row],[Year (Range)]]&lt;=$C$9),AP173,NA())</f>
        <v>990</v>
      </c>
      <c r="T173" s="214">
        <f>IF((monthly_mortgage_schedule[[#This Row],[Year (Range)]]&gt;=$C$7)*(monthly_mortgage_schedule[[#This Row],[Year (Range)]]&lt;=$C$9),AR173,NA())</f>
        <v>15152.383597409847</v>
      </c>
      <c r="U173" s="214">
        <f>IF((monthly_mortgage_schedule[[#This Row],[Year (Range)]]&gt;=$C$7)*(monthly_mortgage_schedule[[#This Row],[Year (Range)]]&lt;=$C$9),AB173,NA())</f>
        <v>171871.48380748238</v>
      </c>
      <c r="V173" s="214">
        <f>IF((monthly_mortgage_schedule[[#This Row],[Year (Range)]]&gt;=$C$7)*(monthly_mortgage_schedule[[#This Row],[Year (Range)]]&lt;=$C$9),AI173,NA())</f>
        <v>132672.44000077955</v>
      </c>
      <c r="W173" s="187">
        <f t="shared" si="17"/>
        <v>369504.18980223703</v>
      </c>
      <c r="X173" s="4">
        <f t="shared" si="20"/>
        <v>1724.352885743773</v>
      </c>
      <c r="Y173" s="4">
        <f t="shared" si="18"/>
        <v>1375.6736097196351</v>
      </c>
      <c r="Z173" s="4">
        <f>_xlfn.IFNA(INDEX(additional_mortgage_payments[],MATCH(monthly_mortgage_schedule[[#This Row],[Month]],additional_mortgage_payments[Month],0),3),0)</f>
        <v>0</v>
      </c>
      <c r="AA173" s="4">
        <f>AA172+monthly_mortgage_schedule[[#This Row],[Extra Payments Towards Equity]]</f>
        <v>29700</v>
      </c>
      <c r="AB173" s="4">
        <f>AB172+monthly_mortgage_schedule[[#This Row],[Principal With Extra Principal Payments]]+monthly_mortgage_schedule[[#This Row],[Extra Payments Towards Equity]]</f>
        <v>171871.48380748238</v>
      </c>
      <c r="AC173" s="4">
        <f>monthly_mortgage_schedule[[#This Row],[Cumulative Principal With Extra Principal Payments]]+down_payment_dollars</f>
        <v>231871.48380748238</v>
      </c>
      <c r="AD173" s="200">
        <f t="shared" si="15"/>
        <v>0</v>
      </c>
      <c r="AE17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368128.51619251742</v>
      </c>
      <c r="AF173" s="187">
        <f t="shared" si="21"/>
        <v>408521.15444062755</v>
      </c>
      <c r="AG173" s="4">
        <f>IF(monthly_mortgage_schedule[[#This Row],[Loan Balance (BOY) Without Extra Principal Payments]]&gt;0,monthly_mortgage_schedule[[#This Row],[Loan Balance (BOY) Without Extra Principal Payments]]*monthly_interest_rate,0)</f>
        <v>1906.4320540562621</v>
      </c>
      <c r="AH173" s="4">
        <f>IF(monthly_mortgage_schedule[[#This Row],[Loan Balance (BOY) Without Extra Principal Payments]]&gt;1,monthly_principal_and_interest-monthly_mortgage_schedule[[#This Row],[Interest Without Extra Principal Payments]],0)</f>
        <v>1193.594441407146</v>
      </c>
      <c r="AI173" s="4">
        <f>AI172+monthly_mortgage_schedule[[#This Row],[Principal Without Extra Principal Payments]]</f>
        <v>132672.44000077955</v>
      </c>
      <c r="AJ173" s="4">
        <f>monthly_mortgage_schedule[[#This Row],[Cumulative Principal Without Extra Principal Payments]]+down_payment_dollars</f>
        <v>192672.44000077955</v>
      </c>
      <c r="AK173" s="200">
        <f t="shared" si="16"/>
        <v>0</v>
      </c>
      <c r="AL17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407327.55999922042</v>
      </c>
      <c r="AN173" s="196">
        <f>monthly_mortgage_schedule[[#This Row],[Extra Payments Towards Equity]]+AN172+IF(monthly_mortgage_schedule[[#This Row],[Interest With Extra Principal Payments]]&gt;0,monthly_mortgage_schedule[[#This Row],[Interest Without Extra Principal Payments]]-monthly_mortgage_schedule[[#This Row],[Interest With Extra Principal Payments]],0)</f>
        <v>39199.043806702888</v>
      </c>
      <c r="AO173" s="4">
        <f>AO172+IF(monthly_mortgage_schedule[[#This Row],[Interest With Extra Principal Payments]]&gt;0,monthly_mortgage_schedule[[#This Row],[Interest Without Extra Principal Payments]]-monthly_mortgage_schedule[[#This Row],[Interest With Extra Principal Payments]],0)</f>
        <v>9499.0438067028826</v>
      </c>
      <c r="AP173" s="4">
        <f>AP172+monthly_mortgage_schedule[[#This Row],[PMI Without Extra Principal Payments]]-monthly_mortgage_schedule[[#This Row],[PMI with Additional Payments]]</f>
        <v>990</v>
      </c>
      <c r="AQ173" s="4">
        <f t="shared" si="19"/>
        <v>44852.383597409847</v>
      </c>
      <c r="AR173" s="4">
        <f>Table60[[#This Row],[Cumulative Investments]]-monthly_mortgage_schedule[[#This Row],[Cumulative Extra Payments Towards Equity]]</f>
        <v>15152.383597409847</v>
      </c>
    </row>
    <row r="174" spans="9:44" x14ac:dyDescent="0.25">
      <c r="I174">
        <v>157</v>
      </c>
      <c r="J174">
        <f>IF(MOD(ROWS($J$18:J173),12)=0,J173+1,J173)</f>
        <v>2035</v>
      </c>
      <c r="K174" s="198">
        <f>IF(M174="#N/A",NA(),monthly_mortgage_schedule[[#This Row],[Month]])</f>
        <v>157</v>
      </c>
      <c r="L174" s="198">
        <f>IF(monthly_mortgage_schedule[[#This Row],[Calendar Year]]&gt;=$C$7,monthly_mortgage_schedule[[#This Row],[Calendar Year]],NA())</f>
        <v>2035</v>
      </c>
      <c r="M174" s="199">
        <f>IF((monthly_mortgage_schedule[[#This Row],[Calendar Year]]&gt;=$C$7)*(monthly_mortgage_schedule[[#This Row],[Calendar Year]]&lt;=$C$9),monthly_mortgage_schedule[[#This Row],[Begin Year (Range)]],NA())</f>
        <v>2035</v>
      </c>
      <c r="N174" s="214">
        <f>IF((monthly_mortgage_schedule[[#This Row],[Year (Range)]]&gt;=$C$7)*(monthly_mortgage_schedule[[#This Row],[Year (Range)]]&lt;=$C$9),X174,NA())</f>
        <v>1717.9330755650815</v>
      </c>
      <c r="O174" s="214">
        <f>IF((monthly_mortgage_schedule[[#This Row],[Year (Range)]]&gt;=$C$7)*(monthly_mortgage_schedule[[#This Row],[Year (Range)]]&lt;=$C$9),Y174,NA())</f>
        <v>1382.0934198983266</v>
      </c>
      <c r="P174" s="214">
        <f>IF((monthly_mortgage_schedule[[#This Row],[Year (Range)]]&gt;=$C$7)*(monthly_mortgage_schedule[[#This Row],[Year (Range)]]&lt;=$C$9),AG174,NA())</f>
        <v>1900.8619466630289</v>
      </c>
      <c r="Q174" s="214">
        <f>IF((monthly_mortgage_schedule[[#This Row],[Year (Range)]]&gt;=$C$7)*(monthly_mortgage_schedule[[#This Row],[Year (Range)]]&lt;=$C$9),AH174,NA())</f>
        <v>1199.1645488003792</v>
      </c>
      <c r="R174" s="214">
        <f>IF((monthly_mortgage_schedule[[#This Row],[Year (Range)]]&gt;=$C$7)*(monthly_mortgage_schedule[[#This Row],[Year (Range)]]&lt;=$C$9),AO174,NA())</f>
        <v>9681.9726778008298</v>
      </c>
      <c r="S174" s="214">
        <f>IF((monthly_mortgage_schedule[[#This Row],[Year (Range)]]&gt;=$C$7)*(monthly_mortgage_schedule[[#This Row],[Year (Range)]]&lt;=$C$9),AP174,NA())</f>
        <v>990</v>
      </c>
      <c r="T174" s="214">
        <f>IF((monthly_mortgage_schedule[[#This Row],[Year (Range)]]&gt;=$C$7)*(monthly_mortgage_schedule[[#This Row],[Year (Range)]]&lt;=$C$9),AR174,NA())</f>
        <v>15451.399488059244</v>
      </c>
      <c r="U174" s="214">
        <f>IF((monthly_mortgage_schedule[[#This Row],[Year (Range)]]&gt;=$C$7)*(monthly_mortgage_schedule[[#This Row],[Year (Range)]]&lt;=$C$9),AB174,NA())</f>
        <v>173253.57722738071</v>
      </c>
      <c r="V174" s="214">
        <f>IF((monthly_mortgage_schedule[[#This Row],[Year (Range)]]&gt;=$C$7)*(monthly_mortgage_schedule[[#This Row],[Year (Range)]]&lt;=$C$9),AI174,NA())</f>
        <v>133871.60454957993</v>
      </c>
      <c r="W174" s="187">
        <f t="shared" si="17"/>
        <v>368128.51619251742</v>
      </c>
      <c r="X174" s="4">
        <f t="shared" si="20"/>
        <v>1717.9330755650815</v>
      </c>
      <c r="Y174" s="4">
        <f t="shared" si="18"/>
        <v>1382.0934198983266</v>
      </c>
      <c r="Z174" s="4">
        <f>_xlfn.IFNA(INDEX(additional_mortgage_payments[],MATCH(monthly_mortgage_schedule[[#This Row],[Month]],additional_mortgage_payments[Month],0),3),0)</f>
        <v>0</v>
      </c>
      <c r="AA174" s="4">
        <f>AA173+monthly_mortgage_schedule[[#This Row],[Extra Payments Towards Equity]]</f>
        <v>29700</v>
      </c>
      <c r="AB174" s="4">
        <f>AB173+monthly_mortgage_schedule[[#This Row],[Principal With Extra Principal Payments]]+monthly_mortgage_schedule[[#This Row],[Extra Payments Towards Equity]]</f>
        <v>173253.57722738071</v>
      </c>
      <c r="AC174" s="4">
        <f>monthly_mortgage_schedule[[#This Row],[Cumulative Principal With Extra Principal Payments]]+down_payment_dollars</f>
        <v>233253.57722738071</v>
      </c>
      <c r="AD174" s="200">
        <f t="shared" si="15"/>
        <v>0</v>
      </c>
      <c r="AE17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366746.42277261912</v>
      </c>
      <c r="AF174" s="187">
        <f t="shared" si="21"/>
        <v>407327.55999922042</v>
      </c>
      <c r="AG174" s="4">
        <f>IF(monthly_mortgage_schedule[[#This Row],[Loan Balance (BOY) Without Extra Principal Payments]]&gt;0,monthly_mortgage_schedule[[#This Row],[Loan Balance (BOY) Without Extra Principal Payments]]*monthly_interest_rate,0)</f>
        <v>1900.8619466630289</v>
      </c>
      <c r="AH174" s="4">
        <f>IF(monthly_mortgage_schedule[[#This Row],[Loan Balance (BOY) Without Extra Principal Payments]]&gt;1,monthly_principal_and_interest-monthly_mortgage_schedule[[#This Row],[Interest Without Extra Principal Payments]],0)</f>
        <v>1199.1645488003792</v>
      </c>
      <c r="AI174" s="4">
        <f>AI173+monthly_mortgage_schedule[[#This Row],[Principal Without Extra Principal Payments]]</f>
        <v>133871.60454957993</v>
      </c>
      <c r="AJ174" s="4">
        <f>monthly_mortgage_schedule[[#This Row],[Cumulative Principal Without Extra Principal Payments]]+down_payment_dollars</f>
        <v>193871.60454957993</v>
      </c>
      <c r="AK174" s="200">
        <f t="shared" si="16"/>
        <v>0</v>
      </c>
      <c r="AL17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406128.39545042004</v>
      </c>
      <c r="AN174" s="196">
        <f>monthly_mortgage_schedule[[#This Row],[Extra Payments Towards Equity]]+AN173+IF(monthly_mortgage_schedule[[#This Row],[Interest With Extra Principal Payments]]&gt;0,monthly_mortgage_schedule[[#This Row],[Interest Without Extra Principal Payments]]-monthly_mortgage_schedule[[#This Row],[Interest With Extra Principal Payments]],0)</f>
        <v>39381.972677800833</v>
      </c>
      <c r="AO174" s="4">
        <f>AO173+IF(monthly_mortgage_schedule[[#This Row],[Interest With Extra Principal Payments]]&gt;0,monthly_mortgage_schedule[[#This Row],[Interest Without Extra Principal Payments]]-monthly_mortgage_schedule[[#This Row],[Interest With Extra Principal Payments]],0)</f>
        <v>9681.9726778008298</v>
      </c>
      <c r="AP174" s="4">
        <f>AP173+monthly_mortgage_schedule[[#This Row],[PMI Without Extra Principal Payments]]-monthly_mortgage_schedule[[#This Row],[PMI with Additional Payments]]</f>
        <v>990</v>
      </c>
      <c r="AQ174" s="4">
        <f t="shared" si="19"/>
        <v>45151.399488059244</v>
      </c>
      <c r="AR174" s="4">
        <f>Table60[[#This Row],[Cumulative Investments]]-monthly_mortgage_schedule[[#This Row],[Cumulative Extra Payments Towards Equity]]</f>
        <v>15451.399488059244</v>
      </c>
    </row>
    <row r="175" spans="9:44" x14ac:dyDescent="0.25">
      <c r="I175">
        <v>158</v>
      </c>
      <c r="J175">
        <f>IF(MOD(ROWS($J$18:J174),12)=0,J174+1,J174)</f>
        <v>2035</v>
      </c>
      <c r="K175" s="198">
        <f>IF(M175="#N/A",NA(),monthly_mortgage_schedule[[#This Row],[Month]])</f>
        <v>158</v>
      </c>
      <c r="L175" s="198">
        <f>IF(monthly_mortgage_schedule[[#This Row],[Calendar Year]]&gt;=$C$7,monthly_mortgage_schedule[[#This Row],[Calendar Year]],NA())</f>
        <v>2035</v>
      </c>
      <c r="M175" s="199">
        <f>IF((monthly_mortgage_schedule[[#This Row],[Calendar Year]]&gt;=$C$7)*(monthly_mortgage_schedule[[#This Row],[Calendar Year]]&lt;=$C$9),monthly_mortgage_schedule[[#This Row],[Begin Year (Range)]],NA())</f>
        <v>2035</v>
      </c>
      <c r="N175" s="214">
        <f>IF((monthly_mortgage_schedule[[#This Row],[Year (Range)]]&gt;=$C$7)*(monthly_mortgage_schedule[[#This Row],[Year (Range)]]&lt;=$C$9),X175,NA())</f>
        <v>1711.4833062722228</v>
      </c>
      <c r="O175" s="214">
        <f>IF((monthly_mortgage_schedule[[#This Row],[Year (Range)]]&gt;=$C$7)*(monthly_mortgage_schedule[[#This Row],[Year (Range)]]&lt;=$C$9),Y175,NA())</f>
        <v>1388.5431891911853</v>
      </c>
      <c r="P175" s="214">
        <f>IF((monthly_mortgage_schedule[[#This Row],[Year (Range)]]&gt;=$C$7)*(monthly_mortgage_schedule[[#This Row],[Year (Range)]]&lt;=$C$9),AG175,NA())</f>
        <v>1895.2658454352936</v>
      </c>
      <c r="Q175" s="214">
        <f>IF((monthly_mortgage_schedule[[#This Row],[Year (Range)]]&gt;=$C$7)*(monthly_mortgage_schedule[[#This Row],[Year (Range)]]&lt;=$C$9),AH175,NA())</f>
        <v>1204.7606500281145</v>
      </c>
      <c r="R175" s="214">
        <f>IF((monthly_mortgage_schedule[[#This Row],[Year (Range)]]&gt;=$C$7)*(monthly_mortgage_schedule[[#This Row],[Year (Range)]]&lt;=$C$9),AO175,NA())</f>
        <v>9865.7552169639002</v>
      </c>
      <c r="S175" s="214">
        <f>IF((monthly_mortgage_schedule[[#This Row],[Year (Range)]]&gt;=$C$7)*(monthly_mortgage_schedule[[#This Row],[Year (Range)]]&lt;=$C$9),AP175,NA())</f>
        <v>990</v>
      </c>
      <c r="T175" s="214">
        <f>IF((monthly_mortgage_schedule[[#This Row],[Year (Range)]]&gt;=$C$7)*(monthly_mortgage_schedule[[#This Row],[Year (Range)]]&lt;=$C$9),AR175,NA())</f>
        <v>15752.408817979638</v>
      </c>
      <c r="U175" s="214">
        <f>IF((monthly_mortgage_schedule[[#This Row],[Year (Range)]]&gt;=$C$7)*(monthly_mortgage_schedule[[#This Row],[Year (Range)]]&lt;=$C$9),AB175,NA())</f>
        <v>174642.12041657188</v>
      </c>
      <c r="V175" s="214">
        <f>IF((monthly_mortgage_schedule[[#This Row],[Year (Range)]]&gt;=$C$7)*(monthly_mortgage_schedule[[#This Row],[Year (Range)]]&lt;=$C$9),AI175,NA())</f>
        <v>135076.36519960806</v>
      </c>
      <c r="W175" s="187">
        <f t="shared" si="17"/>
        <v>366746.42277261912</v>
      </c>
      <c r="X175" s="4">
        <f t="shared" si="20"/>
        <v>1711.4833062722228</v>
      </c>
      <c r="Y175" s="4">
        <f t="shared" si="18"/>
        <v>1388.5431891911853</v>
      </c>
      <c r="Z175" s="4">
        <f>_xlfn.IFNA(INDEX(additional_mortgage_payments[],MATCH(monthly_mortgage_schedule[[#This Row],[Month]],additional_mortgage_payments[Month],0),3),0)</f>
        <v>0</v>
      </c>
      <c r="AA175" s="4">
        <f>AA174+monthly_mortgage_schedule[[#This Row],[Extra Payments Towards Equity]]</f>
        <v>29700</v>
      </c>
      <c r="AB175" s="4">
        <f>AB174+monthly_mortgage_schedule[[#This Row],[Principal With Extra Principal Payments]]+monthly_mortgage_schedule[[#This Row],[Extra Payments Towards Equity]]</f>
        <v>174642.12041657188</v>
      </c>
      <c r="AC175" s="4">
        <f>monthly_mortgage_schedule[[#This Row],[Cumulative Principal With Extra Principal Payments]]+down_payment_dollars</f>
        <v>234642.12041657188</v>
      </c>
      <c r="AD175" s="200">
        <f t="shared" si="15"/>
        <v>0</v>
      </c>
      <c r="AE17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365357.87958342792</v>
      </c>
      <c r="AF175" s="187">
        <f t="shared" si="21"/>
        <v>406128.39545042004</v>
      </c>
      <c r="AG175" s="4">
        <f>IF(monthly_mortgage_schedule[[#This Row],[Loan Balance (BOY) Without Extra Principal Payments]]&gt;0,monthly_mortgage_schedule[[#This Row],[Loan Balance (BOY) Without Extra Principal Payments]]*monthly_interest_rate,0)</f>
        <v>1895.2658454352936</v>
      </c>
      <c r="AH175" s="4">
        <f>IF(monthly_mortgage_schedule[[#This Row],[Loan Balance (BOY) Without Extra Principal Payments]]&gt;1,monthly_principal_and_interest-monthly_mortgage_schedule[[#This Row],[Interest Without Extra Principal Payments]],0)</f>
        <v>1204.7606500281145</v>
      </c>
      <c r="AI175" s="4">
        <f>AI174+monthly_mortgage_schedule[[#This Row],[Principal Without Extra Principal Payments]]</f>
        <v>135076.36519960806</v>
      </c>
      <c r="AJ175" s="4">
        <f>monthly_mortgage_schedule[[#This Row],[Cumulative Principal Without Extra Principal Payments]]+down_payment_dollars</f>
        <v>195076.36519960806</v>
      </c>
      <c r="AK175" s="200">
        <f t="shared" si="16"/>
        <v>0</v>
      </c>
      <c r="AL17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404923.63480039191</v>
      </c>
      <c r="AN175" s="196">
        <f>monthly_mortgage_schedule[[#This Row],[Extra Payments Towards Equity]]+AN174+IF(monthly_mortgage_schedule[[#This Row],[Interest With Extra Principal Payments]]&gt;0,monthly_mortgage_schedule[[#This Row],[Interest Without Extra Principal Payments]]-monthly_mortgage_schedule[[#This Row],[Interest With Extra Principal Payments]],0)</f>
        <v>39565.755216963902</v>
      </c>
      <c r="AO175" s="4">
        <f>AO174+IF(monthly_mortgage_schedule[[#This Row],[Interest With Extra Principal Payments]]&gt;0,monthly_mortgage_schedule[[#This Row],[Interest Without Extra Principal Payments]]-monthly_mortgage_schedule[[#This Row],[Interest With Extra Principal Payments]],0)</f>
        <v>9865.7552169639002</v>
      </c>
      <c r="AP175" s="4">
        <f>AP174+monthly_mortgage_schedule[[#This Row],[PMI Without Extra Principal Payments]]-monthly_mortgage_schedule[[#This Row],[PMI with Additional Payments]]</f>
        <v>990</v>
      </c>
      <c r="AQ175" s="4">
        <f t="shared" si="19"/>
        <v>45452.408817979638</v>
      </c>
      <c r="AR175" s="4">
        <f>Table60[[#This Row],[Cumulative Investments]]-monthly_mortgage_schedule[[#This Row],[Cumulative Extra Payments Towards Equity]]</f>
        <v>15752.408817979638</v>
      </c>
    </row>
    <row r="176" spans="9:44" x14ac:dyDescent="0.25">
      <c r="I176">
        <v>159</v>
      </c>
      <c r="J176">
        <f>IF(MOD(ROWS($J$18:J175),12)=0,J175+1,J175)</f>
        <v>2035</v>
      </c>
      <c r="K176" s="198">
        <f>IF(M176="#N/A",NA(),monthly_mortgage_schedule[[#This Row],[Month]])</f>
        <v>159</v>
      </c>
      <c r="L176" s="198">
        <f>IF(monthly_mortgage_schedule[[#This Row],[Calendar Year]]&gt;=$C$7,monthly_mortgage_schedule[[#This Row],[Calendar Year]],NA())</f>
        <v>2035</v>
      </c>
      <c r="M176" s="199">
        <f>IF((monthly_mortgage_schedule[[#This Row],[Calendar Year]]&gt;=$C$7)*(monthly_mortgage_schedule[[#This Row],[Calendar Year]]&lt;=$C$9),monthly_mortgage_schedule[[#This Row],[Begin Year (Range)]],NA())</f>
        <v>2035</v>
      </c>
      <c r="N176" s="214">
        <f>IF((monthly_mortgage_schedule[[#This Row],[Year (Range)]]&gt;=$C$7)*(monthly_mortgage_schedule[[#This Row],[Year (Range)]]&lt;=$C$9),X176,NA())</f>
        <v>1705.0034380559971</v>
      </c>
      <c r="O176" s="214">
        <f>IF((monthly_mortgage_schedule[[#This Row],[Year (Range)]]&gt;=$C$7)*(monthly_mortgage_schedule[[#This Row],[Year (Range)]]&lt;=$C$9),Y176,NA())</f>
        <v>1395.023057407411</v>
      </c>
      <c r="P176" s="214">
        <f>IF((monthly_mortgage_schedule[[#This Row],[Year (Range)]]&gt;=$C$7)*(monthly_mortgage_schedule[[#This Row],[Year (Range)]]&lt;=$C$9),AG176,NA())</f>
        <v>1889.6436290684958</v>
      </c>
      <c r="Q176" s="214">
        <f>IF((monthly_mortgage_schedule[[#This Row],[Year (Range)]]&gt;=$C$7)*(monthly_mortgage_schedule[[#This Row],[Year (Range)]]&lt;=$C$9),AH176,NA())</f>
        <v>1210.3828663949123</v>
      </c>
      <c r="R176" s="214">
        <f>IF((monthly_mortgage_schedule[[#This Row],[Year (Range)]]&gt;=$C$7)*(monthly_mortgage_schedule[[#This Row],[Year (Range)]]&lt;=$C$9),AO176,NA())</f>
        <v>10050.395407976399</v>
      </c>
      <c r="S176" s="214">
        <f>IF((monthly_mortgage_schedule[[#This Row],[Year (Range)]]&gt;=$C$7)*(monthly_mortgage_schedule[[#This Row],[Year (Range)]]&lt;=$C$9),AP176,NA())</f>
        <v>990</v>
      </c>
      <c r="T176" s="214">
        <f>IF((monthly_mortgage_schedule[[#This Row],[Year (Range)]]&gt;=$C$7)*(monthly_mortgage_schedule[[#This Row],[Year (Range)]]&lt;=$C$9),AR176,NA())</f>
        <v>16055.424876766163</v>
      </c>
      <c r="U176" s="214">
        <f>IF((monthly_mortgage_schedule[[#This Row],[Year (Range)]]&gt;=$C$7)*(monthly_mortgage_schedule[[#This Row],[Year (Range)]]&lt;=$C$9),AB176,NA())</f>
        <v>176037.14347397929</v>
      </c>
      <c r="V176" s="214">
        <f>IF((monthly_mortgage_schedule[[#This Row],[Year (Range)]]&gt;=$C$7)*(monthly_mortgage_schedule[[#This Row],[Year (Range)]]&lt;=$C$9),AI176,NA())</f>
        <v>136286.74806600297</v>
      </c>
      <c r="W176" s="187">
        <f t="shared" si="17"/>
        <v>365357.87958342792</v>
      </c>
      <c r="X176" s="4">
        <f t="shared" si="20"/>
        <v>1705.0034380559971</v>
      </c>
      <c r="Y176" s="4">
        <f t="shared" si="18"/>
        <v>1395.023057407411</v>
      </c>
      <c r="Z176" s="4">
        <f>_xlfn.IFNA(INDEX(additional_mortgage_payments[],MATCH(monthly_mortgage_schedule[[#This Row],[Month]],additional_mortgage_payments[Month],0),3),0)</f>
        <v>0</v>
      </c>
      <c r="AA176" s="4">
        <f>AA175+monthly_mortgage_schedule[[#This Row],[Extra Payments Towards Equity]]</f>
        <v>29700</v>
      </c>
      <c r="AB176" s="4">
        <f>AB175+monthly_mortgage_schedule[[#This Row],[Principal With Extra Principal Payments]]+monthly_mortgage_schedule[[#This Row],[Extra Payments Towards Equity]]</f>
        <v>176037.14347397929</v>
      </c>
      <c r="AC176" s="4">
        <f>monthly_mortgage_schedule[[#This Row],[Cumulative Principal With Extra Principal Payments]]+down_payment_dollars</f>
        <v>236037.14347397929</v>
      </c>
      <c r="AD176" s="200">
        <f t="shared" si="15"/>
        <v>0</v>
      </c>
      <c r="AE17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363962.85652602051</v>
      </c>
      <c r="AF176" s="187">
        <f t="shared" si="21"/>
        <v>404923.63480039191</v>
      </c>
      <c r="AG176" s="4">
        <f>IF(monthly_mortgage_schedule[[#This Row],[Loan Balance (BOY) Without Extra Principal Payments]]&gt;0,monthly_mortgage_schedule[[#This Row],[Loan Balance (BOY) Without Extra Principal Payments]]*monthly_interest_rate,0)</f>
        <v>1889.6436290684958</v>
      </c>
      <c r="AH176" s="4">
        <f>IF(monthly_mortgage_schedule[[#This Row],[Loan Balance (BOY) Without Extra Principal Payments]]&gt;1,monthly_principal_and_interest-monthly_mortgage_schedule[[#This Row],[Interest Without Extra Principal Payments]],0)</f>
        <v>1210.3828663949123</v>
      </c>
      <c r="AI176" s="4">
        <f>AI175+monthly_mortgage_schedule[[#This Row],[Principal Without Extra Principal Payments]]</f>
        <v>136286.74806600297</v>
      </c>
      <c r="AJ176" s="4">
        <f>monthly_mortgage_schedule[[#This Row],[Cumulative Principal Without Extra Principal Payments]]+down_payment_dollars</f>
        <v>196286.74806600297</v>
      </c>
      <c r="AK176" s="200">
        <f t="shared" si="16"/>
        <v>0</v>
      </c>
      <c r="AL17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403713.25193399697</v>
      </c>
      <c r="AN176" s="196">
        <f>monthly_mortgage_schedule[[#This Row],[Extra Payments Towards Equity]]+AN175+IF(monthly_mortgage_schedule[[#This Row],[Interest With Extra Principal Payments]]&gt;0,monthly_mortgage_schedule[[#This Row],[Interest Without Extra Principal Payments]]-monthly_mortgage_schedule[[#This Row],[Interest With Extra Principal Payments]],0)</f>
        <v>39750.395407976401</v>
      </c>
      <c r="AO176" s="4">
        <f>AO175+IF(monthly_mortgage_schedule[[#This Row],[Interest With Extra Principal Payments]]&gt;0,monthly_mortgage_schedule[[#This Row],[Interest Without Extra Principal Payments]]-monthly_mortgage_schedule[[#This Row],[Interest With Extra Principal Payments]],0)</f>
        <v>10050.395407976399</v>
      </c>
      <c r="AP176" s="4">
        <f>AP175+monthly_mortgage_schedule[[#This Row],[PMI Without Extra Principal Payments]]-monthly_mortgage_schedule[[#This Row],[PMI with Additional Payments]]</f>
        <v>990</v>
      </c>
      <c r="AQ176" s="4">
        <f t="shared" si="19"/>
        <v>45755.424876766163</v>
      </c>
      <c r="AR176" s="4">
        <f>Table60[[#This Row],[Cumulative Investments]]-monthly_mortgage_schedule[[#This Row],[Cumulative Extra Payments Towards Equity]]</f>
        <v>16055.424876766163</v>
      </c>
    </row>
    <row r="177" spans="9:44" x14ac:dyDescent="0.25">
      <c r="I177">
        <v>160</v>
      </c>
      <c r="J177">
        <f>IF(MOD(ROWS($J$18:J176),12)=0,J176+1,J176)</f>
        <v>2035</v>
      </c>
      <c r="K177" s="198">
        <f>IF(M177="#N/A",NA(),monthly_mortgage_schedule[[#This Row],[Month]])</f>
        <v>160</v>
      </c>
      <c r="L177" s="198">
        <f>IF(monthly_mortgage_schedule[[#This Row],[Calendar Year]]&gt;=$C$7,monthly_mortgage_schedule[[#This Row],[Calendar Year]],NA())</f>
        <v>2035</v>
      </c>
      <c r="M177" s="199">
        <f>IF((monthly_mortgage_schedule[[#This Row],[Calendar Year]]&gt;=$C$7)*(monthly_mortgage_schedule[[#This Row],[Calendar Year]]&lt;=$C$9),monthly_mortgage_schedule[[#This Row],[Begin Year (Range)]],NA())</f>
        <v>2035</v>
      </c>
      <c r="N177" s="214">
        <f>IF((monthly_mortgage_schedule[[#This Row],[Year (Range)]]&gt;=$C$7)*(monthly_mortgage_schedule[[#This Row],[Year (Range)]]&lt;=$C$9),X177,NA())</f>
        <v>1698.4933304547626</v>
      </c>
      <c r="O177" s="214">
        <f>IF((monthly_mortgage_schedule[[#This Row],[Year (Range)]]&gt;=$C$7)*(monthly_mortgage_schedule[[#This Row],[Year (Range)]]&lt;=$C$9),Y177,NA())</f>
        <v>1401.5331650086455</v>
      </c>
      <c r="P177" s="214">
        <f>IF((monthly_mortgage_schedule[[#This Row],[Year (Range)]]&gt;=$C$7)*(monthly_mortgage_schedule[[#This Row],[Year (Range)]]&lt;=$C$9),AG177,NA())</f>
        <v>1883.9951756919861</v>
      </c>
      <c r="Q177" s="214">
        <f>IF((monthly_mortgage_schedule[[#This Row],[Year (Range)]]&gt;=$C$7)*(monthly_mortgage_schedule[[#This Row],[Year (Range)]]&lt;=$C$9),AH177,NA())</f>
        <v>1216.031319771422</v>
      </c>
      <c r="R177" s="214">
        <f>IF((monthly_mortgage_schedule[[#This Row],[Year (Range)]]&gt;=$C$7)*(monthly_mortgage_schedule[[#This Row],[Year (Range)]]&lt;=$C$9),AO177,NA())</f>
        <v>10235.897253213623</v>
      </c>
      <c r="S177" s="214">
        <f>IF((monthly_mortgage_schedule[[#This Row],[Year (Range)]]&gt;=$C$7)*(monthly_mortgage_schedule[[#This Row],[Year (Range)]]&lt;=$C$9),AP177,NA())</f>
        <v>990</v>
      </c>
      <c r="T177" s="214">
        <f>IF((monthly_mortgage_schedule[[#This Row],[Year (Range)]]&gt;=$C$7)*(monthly_mortgage_schedule[[#This Row],[Year (Range)]]&lt;=$C$9),AR177,NA())</f>
        <v>16360.794375944599</v>
      </c>
      <c r="U177" s="214">
        <f>IF((monthly_mortgage_schedule[[#This Row],[Year (Range)]]&gt;=$C$7)*(monthly_mortgage_schedule[[#This Row],[Year (Range)]]&lt;=$C$9),AB177,NA())</f>
        <v>177488.67663898793</v>
      </c>
      <c r="V177" s="214">
        <f>IF((monthly_mortgage_schedule[[#This Row],[Year (Range)]]&gt;=$C$7)*(monthly_mortgage_schedule[[#This Row],[Year (Range)]]&lt;=$C$9),AI177,NA())</f>
        <v>137502.7793857744</v>
      </c>
      <c r="W177" s="187">
        <f t="shared" si="17"/>
        <v>363962.85652602051</v>
      </c>
      <c r="X177" s="4">
        <f t="shared" si="20"/>
        <v>1698.4933304547626</v>
      </c>
      <c r="Y177" s="4">
        <f t="shared" si="18"/>
        <v>1401.5331650086455</v>
      </c>
      <c r="Z177" s="4">
        <f>_xlfn.IFNA(INDEX(additional_mortgage_payments[],MATCH(monthly_mortgage_schedule[[#This Row],[Month]],additional_mortgage_payments[Month],0),3),0)</f>
        <v>50</v>
      </c>
      <c r="AA177" s="4">
        <f>AA176+monthly_mortgage_schedule[[#This Row],[Extra Payments Towards Equity]]</f>
        <v>29750</v>
      </c>
      <c r="AB177" s="4">
        <f>AB176+monthly_mortgage_schedule[[#This Row],[Principal With Extra Principal Payments]]+monthly_mortgage_schedule[[#This Row],[Extra Payments Towards Equity]]</f>
        <v>177488.67663898793</v>
      </c>
      <c r="AC177" s="4">
        <f>monthly_mortgage_schedule[[#This Row],[Cumulative Principal With Extra Principal Payments]]+down_payment_dollars</f>
        <v>237488.67663898793</v>
      </c>
      <c r="AD177" s="200">
        <f t="shared" si="15"/>
        <v>0</v>
      </c>
      <c r="AE17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362511.32336101186</v>
      </c>
      <c r="AF177" s="187">
        <f t="shared" si="21"/>
        <v>403713.25193399697</v>
      </c>
      <c r="AG177" s="4">
        <f>IF(monthly_mortgage_schedule[[#This Row],[Loan Balance (BOY) Without Extra Principal Payments]]&gt;0,monthly_mortgage_schedule[[#This Row],[Loan Balance (BOY) Without Extra Principal Payments]]*monthly_interest_rate,0)</f>
        <v>1883.9951756919861</v>
      </c>
      <c r="AH177" s="4">
        <f>IF(monthly_mortgage_schedule[[#This Row],[Loan Balance (BOY) Without Extra Principal Payments]]&gt;1,monthly_principal_and_interest-monthly_mortgage_schedule[[#This Row],[Interest Without Extra Principal Payments]],0)</f>
        <v>1216.031319771422</v>
      </c>
      <c r="AI177" s="4">
        <f>AI176+monthly_mortgage_schedule[[#This Row],[Principal Without Extra Principal Payments]]</f>
        <v>137502.7793857744</v>
      </c>
      <c r="AJ177" s="4">
        <f>monthly_mortgage_schedule[[#This Row],[Cumulative Principal Without Extra Principal Payments]]+down_payment_dollars</f>
        <v>197502.7793857744</v>
      </c>
      <c r="AK177" s="200">
        <f t="shared" si="16"/>
        <v>0</v>
      </c>
      <c r="AL17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402497.22061422555</v>
      </c>
      <c r="AN177" s="196">
        <f>monthly_mortgage_schedule[[#This Row],[Extra Payments Towards Equity]]+AN176+IF(monthly_mortgage_schedule[[#This Row],[Interest With Extra Principal Payments]]&gt;0,monthly_mortgage_schedule[[#This Row],[Interest Without Extra Principal Payments]]-monthly_mortgage_schedule[[#This Row],[Interest With Extra Principal Payments]],0)</f>
        <v>39985.897253213625</v>
      </c>
      <c r="AO177" s="4">
        <f>AO176+IF(monthly_mortgage_schedule[[#This Row],[Interest With Extra Principal Payments]]&gt;0,monthly_mortgage_schedule[[#This Row],[Interest Without Extra Principal Payments]]-monthly_mortgage_schedule[[#This Row],[Interest With Extra Principal Payments]],0)</f>
        <v>10235.897253213623</v>
      </c>
      <c r="AP177" s="4">
        <f>AP176+monthly_mortgage_schedule[[#This Row],[PMI Without Extra Principal Payments]]-monthly_mortgage_schedule[[#This Row],[PMI with Additional Payments]]</f>
        <v>990</v>
      </c>
      <c r="AQ177" s="4">
        <f t="shared" si="19"/>
        <v>46110.794375944599</v>
      </c>
      <c r="AR177" s="4">
        <f>Table60[[#This Row],[Cumulative Investments]]-monthly_mortgage_schedule[[#This Row],[Cumulative Extra Payments Towards Equity]]</f>
        <v>16360.794375944599</v>
      </c>
    </row>
    <row r="178" spans="9:44" x14ac:dyDescent="0.25">
      <c r="I178">
        <v>161</v>
      </c>
      <c r="J178">
        <f>IF(MOD(ROWS($J$18:J177),12)=0,J177+1,J177)</f>
        <v>2035</v>
      </c>
      <c r="K178" s="198">
        <f>IF(M178="#N/A",NA(),monthly_mortgage_schedule[[#This Row],[Month]])</f>
        <v>161</v>
      </c>
      <c r="L178" s="198">
        <f>IF(monthly_mortgage_schedule[[#This Row],[Calendar Year]]&gt;=$C$7,monthly_mortgage_schedule[[#This Row],[Calendar Year]],NA())</f>
        <v>2035</v>
      </c>
      <c r="M178" s="199">
        <f>IF((monthly_mortgage_schedule[[#This Row],[Calendar Year]]&gt;=$C$7)*(monthly_mortgage_schedule[[#This Row],[Calendar Year]]&lt;=$C$9),monthly_mortgage_schedule[[#This Row],[Begin Year (Range)]],NA())</f>
        <v>2035</v>
      </c>
      <c r="N178" s="214">
        <f>IF((monthly_mortgage_schedule[[#This Row],[Year (Range)]]&gt;=$C$7)*(monthly_mortgage_schedule[[#This Row],[Year (Range)]]&lt;=$C$9),X178,NA())</f>
        <v>1691.7195090180555</v>
      </c>
      <c r="O178" s="214">
        <f>IF((monthly_mortgage_schedule[[#This Row],[Year (Range)]]&gt;=$C$7)*(monthly_mortgage_schedule[[#This Row],[Year (Range)]]&lt;=$C$9),Y178,NA())</f>
        <v>1408.3069864453525</v>
      </c>
      <c r="P178" s="214">
        <f>IF((monthly_mortgage_schedule[[#This Row],[Year (Range)]]&gt;=$C$7)*(monthly_mortgage_schedule[[#This Row],[Year (Range)]]&lt;=$C$9),AG178,NA())</f>
        <v>1878.3203628663859</v>
      </c>
      <c r="Q178" s="214">
        <f>IF((monthly_mortgage_schedule[[#This Row],[Year (Range)]]&gt;=$C$7)*(monthly_mortgage_schedule[[#This Row],[Year (Range)]]&lt;=$C$9),AH178,NA())</f>
        <v>1221.7061325970221</v>
      </c>
      <c r="R178" s="214">
        <f>IF((monthly_mortgage_schedule[[#This Row],[Year (Range)]]&gt;=$C$7)*(monthly_mortgage_schedule[[#This Row],[Year (Range)]]&lt;=$C$9),AO178,NA())</f>
        <v>10422.498107061954</v>
      </c>
      <c r="S178" s="214">
        <f>IF((monthly_mortgage_schedule[[#This Row],[Year (Range)]]&gt;=$C$7)*(monthly_mortgage_schedule[[#This Row],[Year (Range)]]&lt;=$C$9),AP178,NA())</f>
        <v>990</v>
      </c>
      <c r="T178" s="214">
        <f>IF((monthly_mortgage_schedule[[#This Row],[Year (Range)]]&gt;=$C$7)*(monthly_mortgage_schedule[[#This Row],[Year (Range)]]&lt;=$C$9),AR178,NA())</f>
        <v>16668.199671784227</v>
      </c>
      <c r="U178" s="214">
        <f>IF((monthly_mortgage_schedule[[#This Row],[Year (Range)]]&gt;=$C$7)*(monthly_mortgage_schedule[[#This Row],[Year (Range)]]&lt;=$C$9),AB178,NA())</f>
        <v>178896.98362543329</v>
      </c>
      <c r="V178" s="214">
        <f>IF((monthly_mortgage_schedule[[#This Row],[Year (Range)]]&gt;=$C$7)*(monthly_mortgage_schedule[[#This Row],[Year (Range)]]&lt;=$C$9),AI178,NA())</f>
        <v>138724.48551837142</v>
      </c>
      <c r="W178" s="187">
        <f t="shared" si="17"/>
        <v>362511.32336101186</v>
      </c>
      <c r="X178" s="4">
        <f t="shared" si="20"/>
        <v>1691.7195090180555</v>
      </c>
      <c r="Y178" s="4">
        <f t="shared" si="18"/>
        <v>1408.3069864453525</v>
      </c>
      <c r="Z178" s="4">
        <f>_xlfn.IFNA(INDEX(additional_mortgage_payments[],MATCH(monthly_mortgage_schedule[[#This Row],[Month]],additional_mortgage_payments[Month],0),3),0)</f>
        <v>0</v>
      </c>
      <c r="AA178" s="4">
        <f>AA177+monthly_mortgage_schedule[[#This Row],[Extra Payments Towards Equity]]</f>
        <v>29750</v>
      </c>
      <c r="AB178" s="4">
        <f>AB177+monthly_mortgage_schedule[[#This Row],[Principal With Extra Principal Payments]]+monthly_mortgage_schedule[[#This Row],[Extra Payments Towards Equity]]</f>
        <v>178896.98362543329</v>
      </c>
      <c r="AC178" s="4">
        <f>monthly_mortgage_schedule[[#This Row],[Cumulative Principal With Extra Principal Payments]]+down_payment_dollars</f>
        <v>238896.98362543329</v>
      </c>
      <c r="AD178" s="200">
        <f t="shared" si="15"/>
        <v>0</v>
      </c>
      <c r="AE17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361103.01637456653</v>
      </c>
      <c r="AF178" s="187">
        <f t="shared" si="21"/>
        <v>402497.22061422555</v>
      </c>
      <c r="AG178" s="4">
        <f>IF(monthly_mortgage_schedule[[#This Row],[Loan Balance (BOY) Without Extra Principal Payments]]&gt;0,monthly_mortgage_schedule[[#This Row],[Loan Balance (BOY) Without Extra Principal Payments]]*monthly_interest_rate,0)</f>
        <v>1878.3203628663859</v>
      </c>
      <c r="AH178" s="4">
        <f>IF(monthly_mortgage_schedule[[#This Row],[Loan Balance (BOY) Without Extra Principal Payments]]&gt;1,monthly_principal_and_interest-monthly_mortgage_schedule[[#This Row],[Interest Without Extra Principal Payments]],0)</f>
        <v>1221.7061325970221</v>
      </c>
      <c r="AI178" s="4">
        <f>AI177+monthly_mortgage_schedule[[#This Row],[Principal Without Extra Principal Payments]]</f>
        <v>138724.48551837142</v>
      </c>
      <c r="AJ178" s="4">
        <f>monthly_mortgage_schedule[[#This Row],[Cumulative Principal Without Extra Principal Payments]]+down_payment_dollars</f>
        <v>198724.48551837142</v>
      </c>
      <c r="AK178" s="200">
        <f t="shared" si="16"/>
        <v>0</v>
      </c>
      <c r="AL17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401275.51448162855</v>
      </c>
      <c r="AN178" s="196">
        <f>monthly_mortgage_schedule[[#This Row],[Extra Payments Towards Equity]]+AN177+IF(monthly_mortgage_schedule[[#This Row],[Interest With Extra Principal Payments]]&gt;0,monthly_mortgage_schedule[[#This Row],[Interest Without Extra Principal Payments]]-monthly_mortgage_schedule[[#This Row],[Interest With Extra Principal Payments]],0)</f>
        <v>40172.498107061954</v>
      </c>
      <c r="AO178" s="4">
        <f>AO177+IF(monthly_mortgage_schedule[[#This Row],[Interest With Extra Principal Payments]]&gt;0,monthly_mortgage_schedule[[#This Row],[Interest Without Extra Principal Payments]]-monthly_mortgage_schedule[[#This Row],[Interest With Extra Principal Payments]],0)</f>
        <v>10422.498107061954</v>
      </c>
      <c r="AP178" s="4">
        <f>AP177+monthly_mortgage_schedule[[#This Row],[PMI Without Extra Principal Payments]]-monthly_mortgage_schedule[[#This Row],[PMI with Additional Payments]]</f>
        <v>990</v>
      </c>
      <c r="AQ178" s="4">
        <f t="shared" si="19"/>
        <v>46418.199671784227</v>
      </c>
      <c r="AR178" s="4">
        <f>Table60[[#This Row],[Cumulative Investments]]-monthly_mortgage_schedule[[#This Row],[Cumulative Extra Payments Towards Equity]]</f>
        <v>16668.199671784227</v>
      </c>
    </row>
    <row r="179" spans="9:44" x14ac:dyDescent="0.25">
      <c r="I179">
        <v>162</v>
      </c>
      <c r="J179">
        <f>IF(MOD(ROWS($J$18:J178),12)=0,J178+1,J178)</f>
        <v>2035</v>
      </c>
      <c r="K179" s="198">
        <f>IF(M179="#N/A",NA(),monthly_mortgage_schedule[[#This Row],[Month]])</f>
        <v>162</v>
      </c>
      <c r="L179" s="198">
        <f>IF(monthly_mortgage_schedule[[#This Row],[Calendar Year]]&gt;=$C$7,monthly_mortgage_schedule[[#This Row],[Calendar Year]],NA())</f>
        <v>2035</v>
      </c>
      <c r="M179" s="199">
        <f>IF((monthly_mortgage_schedule[[#This Row],[Calendar Year]]&gt;=$C$7)*(monthly_mortgage_schedule[[#This Row],[Calendar Year]]&lt;=$C$9),monthly_mortgage_schedule[[#This Row],[Begin Year (Range)]],NA())</f>
        <v>2035</v>
      </c>
      <c r="N179" s="214">
        <f>IF((monthly_mortgage_schedule[[#This Row],[Year (Range)]]&gt;=$C$7)*(monthly_mortgage_schedule[[#This Row],[Year (Range)]]&lt;=$C$9),X179,NA())</f>
        <v>1685.1474097479772</v>
      </c>
      <c r="O179" s="214">
        <f>IF((monthly_mortgage_schedule[[#This Row],[Year (Range)]]&gt;=$C$7)*(monthly_mortgage_schedule[[#This Row],[Year (Range)]]&lt;=$C$9),Y179,NA())</f>
        <v>1414.8790857154308</v>
      </c>
      <c r="P179" s="214">
        <f>IF((monthly_mortgage_schedule[[#This Row],[Year (Range)]]&gt;=$C$7)*(monthly_mortgage_schedule[[#This Row],[Year (Range)]]&lt;=$C$9),AG179,NA())</f>
        <v>1872.6190675809335</v>
      </c>
      <c r="Q179" s="214">
        <f>IF((monthly_mortgage_schedule[[#This Row],[Year (Range)]]&gt;=$C$7)*(monthly_mortgage_schedule[[#This Row],[Year (Range)]]&lt;=$C$9),AH179,NA())</f>
        <v>1227.4074278824746</v>
      </c>
      <c r="R179" s="214">
        <f>IF((monthly_mortgage_schedule[[#This Row],[Year (Range)]]&gt;=$C$7)*(monthly_mortgage_schedule[[#This Row],[Year (Range)]]&lt;=$C$9),AO179,NA())</f>
        <v>10609.969764894911</v>
      </c>
      <c r="S179" s="214">
        <f>IF((monthly_mortgage_schedule[[#This Row],[Year (Range)]]&gt;=$C$7)*(monthly_mortgage_schedule[[#This Row],[Year (Range)]]&lt;=$C$9),AP179,NA())</f>
        <v>990</v>
      </c>
      <c r="T179" s="214">
        <f>IF((monthly_mortgage_schedule[[#This Row],[Year (Range)]]&gt;=$C$7)*(monthly_mortgage_schedule[[#This Row],[Year (Range)]]&lt;=$C$9),AR179,NA())</f>
        <v>16977.654336262785</v>
      </c>
      <c r="U179" s="214">
        <f>IF((monthly_mortgage_schedule[[#This Row],[Year (Range)]]&gt;=$C$7)*(monthly_mortgage_schedule[[#This Row],[Year (Range)]]&lt;=$C$9),AB179,NA())</f>
        <v>180311.86271114871</v>
      </c>
      <c r="V179" s="214">
        <f>IF((monthly_mortgage_schedule[[#This Row],[Year (Range)]]&gt;=$C$7)*(monthly_mortgage_schedule[[#This Row],[Year (Range)]]&lt;=$C$9),AI179,NA())</f>
        <v>139951.89294625391</v>
      </c>
      <c r="W179" s="187">
        <f t="shared" si="17"/>
        <v>361103.01637456653</v>
      </c>
      <c r="X179" s="4">
        <f t="shared" si="20"/>
        <v>1685.1474097479772</v>
      </c>
      <c r="Y179" s="4">
        <f t="shared" si="18"/>
        <v>1414.8790857154308</v>
      </c>
      <c r="Z179" s="4">
        <f>_xlfn.IFNA(INDEX(additional_mortgage_payments[],MATCH(monthly_mortgage_schedule[[#This Row],[Month]],additional_mortgage_payments[Month],0),3),0)</f>
        <v>0</v>
      </c>
      <c r="AA179" s="4">
        <f>AA178+monthly_mortgage_schedule[[#This Row],[Extra Payments Towards Equity]]</f>
        <v>29750</v>
      </c>
      <c r="AB179" s="4">
        <f>AB178+monthly_mortgage_schedule[[#This Row],[Principal With Extra Principal Payments]]+monthly_mortgage_schedule[[#This Row],[Extra Payments Towards Equity]]</f>
        <v>180311.86271114871</v>
      </c>
      <c r="AC179" s="4">
        <f>monthly_mortgage_schedule[[#This Row],[Cumulative Principal With Extra Principal Payments]]+down_payment_dollars</f>
        <v>240311.86271114871</v>
      </c>
      <c r="AD179" s="200">
        <f t="shared" si="15"/>
        <v>0</v>
      </c>
      <c r="AE17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359688.13728885108</v>
      </c>
      <c r="AF179" s="187">
        <f t="shared" si="21"/>
        <v>401275.51448162855</v>
      </c>
      <c r="AG179" s="4">
        <f>IF(monthly_mortgage_schedule[[#This Row],[Loan Balance (BOY) Without Extra Principal Payments]]&gt;0,monthly_mortgage_schedule[[#This Row],[Loan Balance (BOY) Without Extra Principal Payments]]*monthly_interest_rate,0)</f>
        <v>1872.6190675809335</v>
      </c>
      <c r="AH179" s="4">
        <f>IF(monthly_mortgage_schedule[[#This Row],[Loan Balance (BOY) Without Extra Principal Payments]]&gt;1,monthly_principal_and_interest-monthly_mortgage_schedule[[#This Row],[Interest Without Extra Principal Payments]],0)</f>
        <v>1227.4074278824746</v>
      </c>
      <c r="AI179" s="4">
        <f>AI178+monthly_mortgage_schedule[[#This Row],[Principal Without Extra Principal Payments]]</f>
        <v>139951.89294625391</v>
      </c>
      <c r="AJ179" s="4">
        <f>monthly_mortgage_schedule[[#This Row],[Cumulative Principal Without Extra Principal Payments]]+down_payment_dollars</f>
        <v>199951.89294625391</v>
      </c>
      <c r="AK179" s="200">
        <f t="shared" si="16"/>
        <v>0</v>
      </c>
      <c r="AL17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400048.10705374606</v>
      </c>
      <c r="AN179" s="196">
        <f>monthly_mortgage_schedule[[#This Row],[Extra Payments Towards Equity]]+AN178+IF(monthly_mortgage_schedule[[#This Row],[Interest With Extra Principal Payments]]&gt;0,monthly_mortgage_schedule[[#This Row],[Interest Without Extra Principal Payments]]-monthly_mortgage_schedule[[#This Row],[Interest With Extra Principal Payments]],0)</f>
        <v>40359.969764894908</v>
      </c>
      <c r="AO179" s="4">
        <f>AO178+IF(monthly_mortgage_schedule[[#This Row],[Interest With Extra Principal Payments]]&gt;0,monthly_mortgage_schedule[[#This Row],[Interest Without Extra Principal Payments]]-monthly_mortgage_schedule[[#This Row],[Interest With Extra Principal Payments]],0)</f>
        <v>10609.969764894911</v>
      </c>
      <c r="AP179" s="4">
        <f>AP178+monthly_mortgage_schedule[[#This Row],[PMI Without Extra Principal Payments]]-monthly_mortgage_schedule[[#This Row],[PMI with Additional Payments]]</f>
        <v>990</v>
      </c>
      <c r="AQ179" s="4">
        <f t="shared" si="19"/>
        <v>46727.654336262785</v>
      </c>
      <c r="AR179" s="4">
        <f>Table60[[#This Row],[Cumulative Investments]]-monthly_mortgage_schedule[[#This Row],[Cumulative Extra Payments Towards Equity]]</f>
        <v>16977.654336262785</v>
      </c>
    </row>
    <row r="180" spans="9:44" x14ac:dyDescent="0.25">
      <c r="I180">
        <v>163</v>
      </c>
      <c r="J180">
        <f>IF(MOD(ROWS($J$18:J179),12)=0,J179+1,J179)</f>
        <v>2035</v>
      </c>
      <c r="K180" s="198">
        <f>IF(M180="#N/A",NA(),monthly_mortgage_schedule[[#This Row],[Month]])</f>
        <v>163</v>
      </c>
      <c r="L180" s="198">
        <f>IF(monthly_mortgage_schedule[[#This Row],[Calendar Year]]&gt;=$C$7,monthly_mortgage_schedule[[#This Row],[Calendar Year]],NA())</f>
        <v>2035</v>
      </c>
      <c r="M180" s="199">
        <f>IF((monthly_mortgage_schedule[[#This Row],[Calendar Year]]&gt;=$C$7)*(monthly_mortgage_schedule[[#This Row],[Calendar Year]]&lt;=$C$9),monthly_mortgage_schedule[[#This Row],[Begin Year (Range)]],NA())</f>
        <v>2035</v>
      </c>
      <c r="N180" s="214">
        <f>IF((monthly_mortgage_schedule[[#This Row],[Year (Range)]]&gt;=$C$7)*(monthly_mortgage_schedule[[#This Row],[Year (Range)]]&lt;=$C$9),X180,NA())</f>
        <v>1678.5446406813053</v>
      </c>
      <c r="O180" s="214">
        <f>IF((monthly_mortgage_schedule[[#This Row],[Year (Range)]]&gt;=$C$7)*(monthly_mortgage_schedule[[#This Row],[Year (Range)]]&lt;=$C$9),Y180,NA())</f>
        <v>1421.4818547821028</v>
      </c>
      <c r="P180" s="214">
        <f>IF((monthly_mortgage_schedule[[#This Row],[Year (Range)]]&gt;=$C$7)*(monthly_mortgage_schedule[[#This Row],[Year (Range)]]&lt;=$C$9),AG180,NA())</f>
        <v>1866.8911662508151</v>
      </c>
      <c r="Q180" s="214">
        <f>IF((monthly_mortgage_schedule[[#This Row],[Year (Range)]]&gt;=$C$7)*(monthly_mortgage_schedule[[#This Row],[Year (Range)]]&lt;=$C$9),AH180,NA())</f>
        <v>1233.135329212593</v>
      </c>
      <c r="R180" s="214">
        <f>IF((monthly_mortgage_schedule[[#This Row],[Year (Range)]]&gt;=$C$7)*(monthly_mortgage_schedule[[#This Row],[Year (Range)]]&lt;=$C$9),AO180,NA())</f>
        <v>10798.316290464421</v>
      </c>
      <c r="S180" s="214">
        <f>IF((monthly_mortgage_schedule[[#This Row],[Year (Range)]]&gt;=$C$7)*(monthly_mortgage_schedule[[#This Row],[Year (Range)]]&lt;=$C$9),AP180,NA())</f>
        <v>990</v>
      </c>
      <c r="T180" s="214">
        <f>IF((monthly_mortgage_schedule[[#This Row],[Year (Range)]]&gt;=$C$7)*(monthly_mortgage_schedule[[#This Row],[Year (Range)]]&lt;=$C$9),AR180,NA())</f>
        <v>17289.172031837865</v>
      </c>
      <c r="U180" s="214">
        <f>IF((monthly_mortgage_schedule[[#This Row],[Year (Range)]]&gt;=$C$7)*(monthly_mortgage_schedule[[#This Row],[Year (Range)]]&lt;=$C$9),AB180,NA())</f>
        <v>181733.34456593081</v>
      </c>
      <c r="V180" s="214">
        <f>IF((monthly_mortgage_schedule[[#This Row],[Year (Range)]]&gt;=$C$7)*(monthly_mortgage_schedule[[#This Row],[Year (Range)]]&lt;=$C$9),AI180,NA())</f>
        <v>141185.02827546649</v>
      </c>
      <c r="W180" s="187">
        <f t="shared" si="17"/>
        <v>359688.13728885108</v>
      </c>
      <c r="X180" s="4">
        <f t="shared" si="20"/>
        <v>1678.5446406813053</v>
      </c>
      <c r="Y180" s="4">
        <f t="shared" si="18"/>
        <v>1421.4818547821028</v>
      </c>
      <c r="Z180" s="4">
        <f>_xlfn.IFNA(INDEX(additional_mortgage_payments[],MATCH(monthly_mortgage_schedule[[#This Row],[Month]],additional_mortgage_payments[Month],0),3),0)</f>
        <v>0</v>
      </c>
      <c r="AA180" s="4">
        <f>AA179+monthly_mortgage_schedule[[#This Row],[Extra Payments Towards Equity]]</f>
        <v>29750</v>
      </c>
      <c r="AB180" s="4">
        <f>AB179+monthly_mortgage_schedule[[#This Row],[Principal With Extra Principal Payments]]+monthly_mortgage_schedule[[#This Row],[Extra Payments Towards Equity]]</f>
        <v>181733.34456593081</v>
      </c>
      <c r="AC180" s="4">
        <f>monthly_mortgage_schedule[[#This Row],[Cumulative Principal With Extra Principal Payments]]+down_payment_dollars</f>
        <v>241733.34456593081</v>
      </c>
      <c r="AD180" s="200">
        <f t="shared" si="15"/>
        <v>0</v>
      </c>
      <c r="AE18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358266.65543406899</v>
      </c>
      <c r="AF180" s="187">
        <f t="shared" si="21"/>
        <v>400048.10705374606</v>
      </c>
      <c r="AG180" s="4">
        <f>IF(monthly_mortgage_schedule[[#This Row],[Loan Balance (BOY) Without Extra Principal Payments]]&gt;0,monthly_mortgage_schedule[[#This Row],[Loan Balance (BOY) Without Extra Principal Payments]]*monthly_interest_rate,0)</f>
        <v>1866.8911662508151</v>
      </c>
      <c r="AH180" s="4">
        <f>IF(monthly_mortgage_schedule[[#This Row],[Loan Balance (BOY) Without Extra Principal Payments]]&gt;1,monthly_principal_and_interest-monthly_mortgage_schedule[[#This Row],[Interest Without Extra Principal Payments]],0)</f>
        <v>1233.135329212593</v>
      </c>
      <c r="AI180" s="4">
        <f>AI179+monthly_mortgage_schedule[[#This Row],[Principal Without Extra Principal Payments]]</f>
        <v>141185.02827546649</v>
      </c>
      <c r="AJ180" s="4">
        <f>monthly_mortgage_schedule[[#This Row],[Cumulative Principal Without Extra Principal Payments]]+down_payment_dollars</f>
        <v>201185.02827546649</v>
      </c>
      <c r="AK180" s="200">
        <f t="shared" si="16"/>
        <v>0</v>
      </c>
      <c r="AL18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398814.97172453348</v>
      </c>
      <c r="AN180" s="196">
        <f>monthly_mortgage_schedule[[#This Row],[Extra Payments Towards Equity]]+AN179+IF(monthly_mortgage_schedule[[#This Row],[Interest With Extra Principal Payments]]&gt;0,monthly_mortgage_schedule[[#This Row],[Interest Without Extra Principal Payments]]-monthly_mortgage_schedule[[#This Row],[Interest With Extra Principal Payments]],0)</f>
        <v>40548.31629046442</v>
      </c>
      <c r="AO180" s="4">
        <f>AO179+IF(monthly_mortgage_schedule[[#This Row],[Interest With Extra Principal Payments]]&gt;0,monthly_mortgage_schedule[[#This Row],[Interest Without Extra Principal Payments]]-monthly_mortgage_schedule[[#This Row],[Interest With Extra Principal Payments]],0)</f>
        <v>10798.316290464421</v>
      </c>
      <c r="AP180" s="4">
        <f>AP179+monthly_mortgage_schedule[[#This Row],[PMI Without Extra Principal Payments]]-monthly_mortgage_schedule[[#This Row],[PMI with Additional Payments]]</f>
        <v>990</v>
      </c>
      <c r="AQ180" s="4">
        <f t="shared" si="19"/>
        <v>47039.172031837865</v>
      </c>
      <c r="AR180" s="4">
        <f>Table60[[#This Row],[Cumulative Investments]]-monthly_mortgage_schedule[[#This Row],[Cumulative Extra Payments Towards Equity]]</f>
        <v>17289.172031837865</v>
      </c>
    </row>
    <row r="181" spans="9:44" x14ac:dyDescent="0.25">
      <c r="I181">
        <v>164</v>
      </c>
      <c r="J181">
        <f>IF(MOD(ROWS($J$18:J180),12)=0,J180+1,J180)</f>
        <v>2035</v>
      </c>
      <c r="K181" s="198">
        <f>IF(M181="#N/A",NA(),monthly_mortgage_schedule[[#This Row],[Month]])</f>
        <v>164</v>
      </c>
      <c r="L181" s="198">
        <f>IF(monthly_mortgage_schedule[[#This Row],[Calendar Year]]&gt;=$C$7,monthly_mortgage_schedule[[#This Row],[Calendar Year]],NA())</f>
        <v>2035</v>
      </c>
      <c r="M181" s="199">
        <f>IF((monthly_mortgage_schedule[[#This Row],[Calendar Year]]&gt;=$C$7)*(monthly_mortgage_schedule[[#This Row],[Calendar Year]]&lt;=$C$9),monthly_mortgage_schedule[[#This Row],[Begin Year (Range)]],NA())</f>
        <v>2035</v>
      </c>
      <c r="N181" s="214">
        <f>IF((monthly_mortgage_schedule[[#This Row],[Year (Range)]]&gt;=$C$7)*(monthly_mortgage_schedule[[#This Row],[Year (Range)]]&lt;=$C$9),X181,NA())</f>
        <v>1671.9110586923221</v>
      </c>
      <c r="O181" s="214">
        <f>IF((monthly_mortgage_schedule[[#This Row],[Year (Range)]]&gt;=$C$7)*(monthly_mortgage_schedule[[#This Row],[Year (Range)]]&lt;=$C$9),Y181,NA())</f>
        <v>1428.115436771086</v>
      </c>
      <c r="P181" s="214">
        <f>IF((monthly_mortgage_schedule[[#This Row],[Year (Range)]]&gt;=$C$7)*(monthly_mortgage_schedule[[#This Row],[Year (Range)]]&lt;=$C$9),AG181,NA())</f>
        <v>1861.1365347144897</v>
      </c>
      <c r="Q181" s="214">
        <f>IF((monthly_mortgage_schedule[[#This Row],[Year (Range)]]&gt;=$C$7)*(monthly_mortgage_schedule[[#This Row],[Year (Range)]]&lt;=$C$9),AH181,NA())</f>
        <v>1238.8899607489184</v>
      </c>
      <c r="R181" s="214">
        <f>IF((monthly_mortgage_schedule[[#This Row],[Year (Range)]]&gt;=$C$7)*(monthly_mortgage_schedule[[#This Row],[Year (Range)]]&lt;=$C$9),AO181,NA())</f>
        <v>10987.541766486589</v>
      </c>
      <c r="S181" s="214">
        <f>IF((monthly_mortgage_schedule[[#This Row],[Year (Range)]]&gt;=$C$7)*(monthly_mortgage_schedule[[#This Row],[Year (Range)]]&lt;=$C$9),AP181,NA())</f>
        <v>990</v>
      </c>
      <c r="T181" s="214">
        <f>IF((monthly_mortgage_schedule[[#This Row],[Year (Range)]]&gt;=$C$7)*(monthly_mortgage_schedule[[#This Row],[Year (Range)]]&lt;=$C$9),AR181,NA())</f>
        <v>17602.766512050111</v>
      </c>
      <c r="U181" s="214">
        <f>IF((monthly_mortgage_schedule[[#This Row],[Year (Range)]]&gt;=$C$7)*(monthly_mortgage_schedule[[#This Row],[Year (Range)]]&lt;=$C$9),AB181,NA())</f>
        <v>183161.4600027019</v>
      </c>
      <c r="V181" s="214">
        <f>IF((monthly_mortgage_schedule[[#This Row],[Year (Range)]]&gt;=$C$7)*(monthly_mortgage_schedule[[#This Row],[Year (Range)]]&lt;=$C$9),AI181,NA())</f>
        <v>142423.91823621542</v>
      </c>
      <c r="W181" s="187">
        <f t="shared" si="17"/>
        <v>358266.65543406899</v>
      </c>
      <c r="X181" s="4">
        <f t="shared" si="20"/>
        <v>1671.9110586923221</v>
      </c>
      <c r="Y181" s="4">
        <f t="shared" si="18"/>
        <v>1428.115436771086</v>
      </c>
      <c r="Z181" s="4">
        <f>_xlfn.IFNA(INDEX(additional_mortgage_payments[],MATCH(monthly_mortgage_schedule[[#This Row],[Month]],additional_mortgage_payments[Month],0),3),0)</f>
        <v>0</v>
      </c>
      <c r="AA181" s="4">
        <f>AA180+monthly_mortgage_schedule[[#This Row],[Extra Payments Towards Equity]]</f>
        <v>29750</v>
      </c>
      <c r="AB181" s="4">
        <f>AB180+monthly_mortgage_schedule[[#This Row],[Principal With Extra Principal Payments]]+monthly_mortgage_schedule[[#This Row],[Extra Payments Towards Equity]]</f>
        <v>183161.4600027019</v>
      </c>
      <c r="AC181" s="4">
        <f>monthly_mortgage_schedule[[#This Row],[Cumulative Principal With Extra Principal Payments]]+down_payment_dollars</f>
        <v>243161.4600027019</v>
      </c>
      <c r="AD181" s="200">
        <f t="shared" si="15"/>
        <v>0</v>
      </c>
      <c r="AE18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356838.53999729792</v>
      </c>
      <c r="AF181" s="187">
        <f t="shared" si="21"/>
        <v>398814.97172453348</v>
      </c>
      <c r="AG181" s="4">
        <f>IF(monthly_mortgage_schedule[[#This Row],[Loan Balance (BOY) Without Extra Principal Payments]]&gt;0,monthly_mortgage_schedule[[#This Row],[Loan Balance (BOY) Without Extra Principal Payments]]*monthly_interest_rate,0)</f>
        <v>1861.1365347144897</v>
      </c>
      <c r="AH181" s="4">
        <f>IF(monthly_mortgage_schedule[[#This Row],[Loan Balance (BOY) Without Extra Principal Payments]]&gt;1,monthly_principal_and_interest-monthly_mortgage_schedule[[#This Row],[Interest Without Extra Principal Payments]],0)</f>
        <v>1238.8899607489184</v>
      </c>
      <c r="AI181" s="4">
        <f>AI180+monthly_mortgage_schedule[[#This Row],[Principal Without Extra Principal Payments]]</f>
        <v>142423.91823621542</v>
      </c>
      <c r="AJ181" s="4">
        <f>monthly_mortgage_schedule[[#This Row],[Cumulative Principal Without Extra Principal Payments]]+down_payment_dollars</f>
        <v>202423.91823621542</v>
      </c>
      <c r="AK181" s="200">
        <f t="shared" si="16"/>
        <v>0</v>
      </c>
      <c r="AL18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397576.08176378458</v>
      </c>
      <c r="AN181" s="196">
        <f>monthly_mortgage_schedule[[#This Row],[Extra Payments Towards Equity]]+AN180+IF(monthly_mortgage_schedule[[#This Row],[Interest With Extra Principal Payments]]&gt;0,monthly_mortgage_schedule[[#This Row],[Interest Without Extra Principal Payments]]-monthly_mortgage_schedule[[#This Row],[Interest With Extra Principal Payments]],0)</f>
        <v>40737.541766486589</v>
      </c>
      <c r="AO181" s="4">
        <f>AO180+IF(monthly_mortgage_schedule[[#This Row],[Interest With Extra Principal Payments]]&gt;0,monthly_mortgage_schedule[[#This Row],[Interest Without Extra Principal Payments]]-monthly_mortgage_schedule[[#This Row],[Interest With Extra Principal Payments]],0)</f>
        <v>10987.541766486589</v>
      </c>
      <c r="AP181" s="4">
        <f>AP180+monthly_mortgage_schedule[[#This Row],[PMI Without Extra Principal Payments]]-monthly_mortgage_schedule[[#This Row],[PMI with Additional Payments]]</f>
        <v>990</v>
      </c>
      <c r="AQ181" s="4">
        <f t="shared" si="19"/>
        <v>47352.766512050111</v>
      </c>
      <c r="AR181" s="4">
        <f>Table60[[#This Row],[Cumulative Investments]]-monthly_mortgage_schedule[[#This Row],[Cumulative Extra Payments Towards Equity]]</f>
        <v>17602.766512050111</v>
      </c>
    </row>
    <row r="182" spans="9:44" x14ac:dyDescent="0.25">
      <c r="I182">
        <v>165</v>
      </c>
      <c r="J182">
        <f>IF(MOD(ROWS($J$18:J181),12)=0,J181+1,J181)</f>
        <v>2035</v>
      </c>
      <c r="K182" s="198">
        <f>IF(M182="#N/A",NA(),monthly_mortgage_schedule[[#This Row],[Month]])</f>
        <v>165</v>
      </c>
      <c r="L182" s="198">
        <f>IF(monthly_mortgage_schedule[[#This Row],[Calendar Year]]&gt;=$C$7,monthly_mortgage_schedule[[#This Row],[Calendar Year]],NA())</f>
        <v>2035</v>
      </c>
      <c r="M182" s="199">
        <f>IF((monthly_mortgage_schedule[[#This Row],[Calendar Year]]&gt;=$C$7)*(monthly_mortgage_schedule[[#This Row],[Calendar Year]]&lt;=$C$9),monthly_mortgage_schedule[[#This Row],[Begin Year (Range)]],NA())</f>
        <v>2035</v>
      </c>
      <c r="N182" s="214">
        <f>IF((monthly_mortgage_schedule[[#This Row],[Year (Range)]]&gt;=$C$7)*(monthly_mortgage_schedule[[#This Row],[Year (Range)]]&lt;=$C$9),X182,NA())</f>
        <v>1665.2465199873905</v>
      </c>
      <c r="O182" s="214">
        <f>IF((monthly_mortgage_schedule[[#This Row],[Year (Range)]]&gt;=$C$7)*(monthly_mortgage_schedule[[#This Row],[Year (Range)]]&lt;=$C$9),Y182,NA())</f>
        <v>1434.7799754760176</v>
      </c>
      <c r="P182" s="214">
        <f>IF((monthly_mortgage_schedule[[#This Row],[Year (Range)]]&gt;=$C$7)*(monthly_mortgage_schedule[[#This Row],[Year (Range)]]&lt;=$C$9),AG182,NA())</f>
        <v>1855.355048230995</v>
      </c>
      <c r="Q182" s="214">
        <f>IF((monthly_mortgage_schedule[[#This Row],[Year (Range)]]&gt;=$C$7)*(monthly_mortgage_schedule[[#This Row],[Year (Range)]]&lt;=$C$9),AH182,NA())</f>
        <v>1244.6714472324131</v>
      </c>
      <c r="R182" s="214">
        <f>IF((monthly_mortgage_schedule[[#This Row],[Year (Range)]]&gt;=$C$7)*(monthly_mortgage_schedule[[#This Row],[Year (Range)]]&lt;=$C$9),AO182,NA())</f>
        <v>11177.650294730194</v>
      </c>
      <c r="S182" s="214">
        <f>IF((monthly_mortgage_schedule[[#This Row],[Year (Range)]]&gt;=$C$7)*(monthly_mortgage_schedule[[#This Row],[Year (Range)]]&lt;=$C$9),AP182,NA())</f>
        <v>990</v>
      </c>
      <c r="T182" s="214">
        <f>IF((monthly_mortgage_schedule[[#This Row],[Year (Range)]]&gt;=$C$7)*(monthly_mortgage_schedule[[#This Row],[Year (Range)]]&lt;=$C$9),AR182,NA())</f>
        <v>17918.451622130444</v>
      </c>
      <c r="U182" s="214">
        <f>IF((monthly_mortgage_schedule[[#This Row],[Year (Range)]]&gt;=$C$7)*(monthly_mortgage_schedule[[#This Row],[Year (Range)]]&lt;=$C$9),AB182,NA())</f>
        <v>184596.23997817791</v>
      </c>
      <c r="V182" s="214">
        <f>IF((monthly_mortgage_schedule[[#This Row],[Year (Range)]]&gt;=$C$7)*(monthly_mortgage_schedule[[#This Row],[Year (Range)]]&lt;=$C$9),AI182,NA())</f>
        <v>143668.58968344785</v>
      </c>
      <c r="W182" s="187">
        <f t="shared" si="17"/>
        <v>356838.53999729792</v>
      </c>
      <c r="X182" s="4">
        <f t="shared" si="20"/>
        <v>1665.2465199873905</v>
      </c>
      <c r="Y182" s="4">
        <f t="shared" si="18"/>
        <v>1434.7799754760176</v>
      </c>
      <c r="Z182" s="4">
        <f>_xlfn.IFNA(INDEX(additional_mortgage_payments[],MATCH(monthly_mortgage_schedule[[#This Row],[Month]],additional_mortgage_payments[Month],0),3),0)</f>
        <v>0</v>
      </c>
      <c r="AA182" s="4">
        <f>AA181+monthly_mortgage_schedule[[#This Row],[Extra Payments Towards Equity]]</f>
        <v>29750</v>
      </c>
      <c r="AB182" s="4">
        <f>AB181+monthly_mortgage_schedule[[#This Row],[Principal With Extra Principal Payments]]+monthly_mortgage_schedule[[#This Row],[Extra Payments Towards Equity]]</f>
        <v>184596.23997817791</v>
      </c>
      <c r="AC182" s="4">
        <f>monthly_mortgage_schedule[[#This Row],[Cumulative Principal With Extra Principal Payments]]+down_payment_dollars</f>
        <v>244596.23997817791</v>
      </c>
      <c r="AD182" s="200">
        <f t="shared" si="15"/>
        <v>0</v>
      </c>
      <c r="AE18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355403.76002182189</v>
      </c>
      <c r="AF182" s="187">
        <f t="shared" si="21"/>
        <v>397576.08176378458</v>
      </c>
      <c r="AG182" s="4">
        <f>IF(monthly_mortgage_schedule[[#This Row],[Loan Balance (BOY) Without Extra Principal Payments]]&gt;0,monthly_mortgage_schedule[[#This Row],[Loan Balance (BOY) Without Extra Principal Payments]]*monthly_interest_rate,0)</f>
        <v>1855.355048230995</v>
      </c>
      <c r="AH182" s="4">
        <f>IF(monthly_mortgage_schedule[[#This Row],[Loan Balance (BOY) Without Extra Principal Payments]]&gt;1,monthly_principal_and_interest-monthly_mortgage_schedule[[#This Row],[Interest Without Extra Principal Payments]],0)</f>
        <v>1244.6714472324131</v>
      </c>
      <c r="AI182" s="4">
        <f>AI181+monthly_mortgage_schedule[[#This Row],[Principal Without Extra Principal Payments]]</f>
        <v>143668.58968344785</v>
      </c>
      <c r="AJ182" s="4">
        <f>monthly_mortgage_schedule[[#This Row],[Cumulative Principal Without Extra Principal Payments]]+down_payment_dollars</f>
        <v>203668.58968344785</v>
      </c>
      <c r="AK182" s="200">
        <f t="shared" si="16"/>
        <v>0</v>
      </c>
      <c r="AL18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396331.41031655215</v>
      </c>
      <c r="AN182" s="196">
        <f>monthly_mortgage_schedule[[#This Row],[Extra Payments Towards Equity]]+AN181+IF(monthly_mortgage_schedule[[#This Row],[Interest With Extra Principal Payments]]&gt;0,monthly_mortgage_schedule[[#This Row],[Interest Without Extra Principal Payments]]-monthly_mortgage_schedule[[#This Row],[Interest With Extra Principal Payments]],0)</f>
        <v>40927.650294730192</v>
      </c>
      <c r="AO182" s="4">
        <f>AO181+IF(monthly_mortgage_schedule[[#This Row],[Interest With Extra Principal Payments]]&gt;0,monthly_mortgage_schedule[[#This Row],[Interest Without Extra Principal Payments]]-monthly_mortgage_schedule[[#This Row],[Interest With Extra Principal Payments]],0)</f>
        <v>11177.650294730194</v>
      </c>
      <c r="AP182" s="4">
        <f>AP181+monthly_mortgage_schedule[[#This Row],[PMI Without Extra Principal Payments]]-monthly_mortgage_schedule[[#This Row],[PMI with Additional Payments]]</f>
        <v>990</v>
      </c>
      <c r="AQ182" s="4">
        <f t="shared" si="19"/>
        <v>47668.451622130444</v>
      </c>
      <c r="AR182" s="4">
        <f>Table60[[#This Row],[Cumulative Investments]]-monthly_mortgage_schedule[[#This Row],[Cumulative Extra Payments Towards Equity]]</f>
        <v>17918.451622130444</v>
      </c>
    </row>
    <row r="183" spans="9:44" x14ac:dyDescent="0.25">
      <c r="I183">
        <v>166</v>
      </c>
      <c r="J183">
        <f>IF(MOD(ROWS($J$18:J182),12)=0,J182+1,J182)</f>
        <v>2035</v>
      </c>
      <c r="K183" s="198">
        <f>IF(M183="#N/A",NA(),monthly_mortgage_schedule[[#This Row],[Month]])</f>
        <v>166</v>
      </c>
      <c r="L183" s="198">
        <f>IF(monthly_mortgage_schedule[[#This Row],[Calendar Year]]&gt;=$C$7,monthly_mortgage_schedule[[#This Row],[Calendar Year]],NA())</f>
        <v>2035</v>
      </c>
      <c r="M183" s="199">
        <f>IF((monthly_mortgage_schedule[[#This Row],[Calendar Year]]&gt;=$C$7)*(monthly_mortgage_schedule[[#This Row],[Calendar Year]]&lt;=$C$9),monthly_mortgage_schedule[[#This Row],[Begin Year (Range)]],NA())</f>
        <v>2035</v>
      </c>
      <c r="N183" s="214">
        <f>IF((monthly_mortgage_schedule[[#This Row],[Year (Range)]]&gt;=$C$7)*(monthly_mortgage_schedule[[#This Row],[Year (Range)]]&lt;=$C$9),X183,NA())</f>
        <v>1658.5508801018357</v>
      </c>
      <c r="O183" s="214">
        <f>IF((monthly_mortgage_schedule[[#This Row],[Year (Range)]]&gt;=$C$7)*(monthly_mortgage_schedule[[#This Row],[Year (Range)]]&lt;=$C$9),Y183,NA())</f>
        <v>1441.4756153615724</v>
      </c>
      <c r="P183" s="214">
        <f>IF((monthly_mortgage_schedule[[#This Row],[Year (Range)]]&gt;=$C$7)*(monthly_mortgage_schedule[[#This Row],[Year (Range)]]&lt;=$C$9),AG183,NA())</f>
        <v>1849.5465814772435</v>
      </c>
      <c r="Q183" s="214">
        <f>IF((monthly_mortgage_schedule[[#This Row],[Year (Range)]]&gt;=$C$7)*(monthly_mortgage_schedule[[#This Row],[Year (Range)]]&lt;=$C$9),AH183,NA())</f>
        <v>1250.4799139861645</v>
      </c>
      <c r="R183" s="214">
        <f>IF((monthly_mortgage_schedule[[#This Row],[Year (Range)]]&gt;=$C$7)*(monthly_mortgage_schedule[[#This Row],[Year (Range)]]&lt;=$C$9),AO183,NA())</f>
        <v>11368.645996105603</v>
      </c>
      <c r="S183" s="214">
        <f>IF((monthly_mortgage_schedule[[#This Row],[Year (Range)]]&gt;=$C$7)*(monthly_mortgage_schedule[[#This Row],[Year (Range)]]&lt;=$C$9),AP183,NA())</f>
        <v>990</v>
      </c>
      <c r="T183" s="214">
        <f>IF((monthly_mortgage_schedule[[#This Row],[Year (Range)]]&gt;=$C$7)*(monthly_mortgage_schedule[[#This Row],[Year (Range)]]&lt;=$C$9),AR183,NA())</f>
        <v>18236.241299611313</v>
      </c>
      <c r="U183" s="214">
        <f>IF((monthly_mortgage_schedule[[#This Row],[Year (Range)]]&gt;=$C$7)*(monthly_mortgage_schedule[[#This Row],[Year (Range)]]&lt;=$C$9),AB183,NA())</f>
        <v>186037.71559353947</v>
      </c>
      <c r="V183" s="214">
        <f>IF((monthly_mortgage_schedule[[#This Row],[Year (Range)]]&gt;=$C$7)*(monthly_mortgage_schedule[[#This Row],[Year (Range)]]&lt;=$C$9),AI183,NA())</f>
        <v>144919.06959743402</v>
      </c>
      <c r="W183" s="187">
        <f t="shared" si="17"/>
        <v>355403.76002182189</v>
      </c>
      <c r="X183" s="4">
        <f t="shared" si="20"/>
        <v>1658.5508801018357</v>
      </c>
      <c r="Y183" s="4">
        <f t="shared" si="18"/>
        <v>1441.4756153615724</v>
      </c>
      <c r="Z183" s="4">
        <f>_xlfn.IFNA(INDEX(additional_mortgage_payments[],MATCH(monthly_mortgage_schedule[[#This Row],[Month]],additional_mortgage_payments[Month],0),3),0)</f>
        <v>0</v>
      </c>
      <c r="AA183" s="4">
        <f>AA182+monthly_mortgage_schedule[[#This Row],[Extra Payments Towards Equity]]</f>
        <v>29750</v>
      </c>
      <c r="AB183" s="4">
        <f>AB182+monthly_mortgage_schedule[[#This Row],[Principal With Extra Principal Payments]]+monthly_mortgage_schedule[[#This Row],[Extra Payments Towards Equity]]</f>
        <v>186037.71559353947</v>
      </c>
      <c r="AC183" s="4">
        <f>monthly_mortgage_schedule[[#This Row],[Cumulative Principal With Extra Principal Payments]]+down_payment_dollars</f>
        <v>246037.71559353947</v>
      </c>
      <c r="AD183" s="200">
        <f t="shared" si="15"/>
        <v>0</v>
      </c>
      <c r="AE18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353962.2844064603</v>
      </c>
      <c r="AF183" s="187">
        <f t="shared" si="21"/>
        <v>396331.41031655215</v>
      </c>
      <c r="AG183" s="4">
        <f>IF(monthly_mortgage_schedule[[#This Row],[Loan Balance (BOY) Without Extra Principal Payments]]&gt;0,monthly_mortgage_schedule[[#This Row],[Loan Balance (BOY) Without Extra Principal Payments]]*monthly_interest_rate,0)</f>
        <v>1849.5465814772435</v>
      </c>
      <c r="AH183" s="4">
        <f>IF(monthly_mortgage_schedule[[#This Row],[Loan Balance (BOY) Without Extra Principal Payments]]&gt;1,monthly_principal_and_interest-monthly_mortgage_schedule[[#This Row],[Interest Without Extra Principal Payments]],0)</f>
        <v>1250.4799139861645</v>
      </c>
      <c r="AI183" s="4">
        <f>AI182+monthly_mortgage_schedule[[#This Row],[Principal Without Extra Principal Payments]]</f>
        <v>144919.06959743402</v>
      </c>
      <c r="AJ183" s="4">
        <f>monthly_mortgage_schedule[[#This Row],[Cumulative Principal Without Extra Principal Payments]]+down_payment_dollars</f>
        <v>204919.06959743402</v>
      </c>
      <c r="AK183" s="200">
        <f t="shared" si="16"/>
        <v>0</v>
      </c>
      <c r="AL18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395080.93040256598</v>
      </c>
      <c r="AN183" s="196">
        <f>monthly_mortgage_schedule[[#This Row],[Extra Payments Towards Equity]]+AN182+IF(monthly_mortgage_schedule[[#This Row],[Interest With Extra Principal Payments]]&gt;0,monthly_mortgage_schedule[[#This Row],[Interest Without Extra Principal Payments]]-monthly_mortgage_schedule[[#This Row],[Interest With Extra Principal Payments]],0)</f>
        <v>41118.645996105603</v>
      </c>
      <c r="AO183" s="4">
        <f>AO182+IF(monthly_mortgage_schedule[[#This Row],[Interest With Extra Principal Payments]]&gt;0,monthly_mortgage_schedule[[#This Row],[Interest Without Extra Principal Payments]]-monthly_mortgage_schedule[[#This Row],[Interest With Extra Principal Payments]],0)</f>
        <v>11368.645996105603</v>
      </c>
      <c r="AP183" s="4">
        <f>AP182+monthly_mortgage_schedule[[#This Row],[PMI Without Extra Principal Payments]]-monthly_mortgage_schedule[[#This Row],[PMI with Additional Payments]]</f>
        <v>990</v>
      </c>
      <c r="AQ183" s="4">
        <f t="shared" si="19"/>
        <v>47986.241299611313</v>
      </c>
      <c r="AR183" s="4">
        <f>Table60[[#This Row],[Cumulative Investments]]-monthly_mortgage_schedule[[#This Row],[Cumulative Extra Payments Towards Equity]]</f>
        <v>18236.241299611313</v>
      </c>
    </row>
    <row r="184" spans="9:44" x14ac:dyDescent="0.25">
      <c r="I184">
        <v>167</v>
      </c>
      <c r="J184">
        <f>IF(MOD(ROWS($J$18:J183),12)=0,J183+1,J183)</f>
        <v>2035</v>
      </c>
      <c r="K184" s="198">
        <f>IF(M184="#N/A",NA(),monthly_mortgage_schedule[[#This Row],[Month]])</f>
        <v>167</v>
      </c>
      <c r="L184" s="198">
        <f>IF(monthly_mortgage_schedule[[#This Row],[Calendar Year]]&gt;=$C$7,monthly_mortgage_schedule[[#This Row],[Calendar Year]],NA())</f>
        <v>2035</v>
      </c>
      <c r="M184" s="199">
        <f>IF((monthly_mortgage_schedule[[#This Row],[Calendar Year]]&gt;=$C$7)*(monthly_mortgage_schedule[[#This Row],[Calendar Year]]&lt;=$C$9),monthly_mortgage_schedule[[#This Row],[Begin Year (Range)]],NA())</f>
        <v>2035</v>
      </c>
      <c r="N184" s="214">
        <f>IF((monthly_mortgage_schedule[[#This Row],[Year (Range)]]&gt;=$C$7)*(monthly_mortgage_schedule[[#This Row],[Year (Range)]]&lt;=$C$9),X184,NA())</f>
        <v>1651.823993896815</v>
      </c>
      <c r="O184" s="214">
        <f>IF((monthly_mortgage_schedule[[#This Row],[Year (Range)]]&gt;=$C$7)*(monthly_mortgage_schedule[[#This Row],[Year (Range)]]&lt;=$C$9),Y184,NA())</f>
        <v>1448.2025015665931</v>
      </c>
      <c r="P184" s="214">
        <f>IF((monthly_mortgage_schedule[[#This Row],[Year (Range)]]&gt;=$C$7)*(monthly_mortgage_schedule[[#This Row],[Year (Range)]]&lt;=$C$9),AG184,NA())</f>
        <v>1843.711008545308</v>
      </c>
      <c r="Q184" s="214">
        <f>IF((monthly_mortgage_schedule[[#This Row],[Year (Range)]]&gt;=$C$7)*(monthly_mortgage_schedule[[#This Row],[Year (Range)]]&lt;=$C$9),AH184,NA())</f>
        <v>1256.3154869181001</v>
      </c>
      <c r="R184" s="214">
        <f>IF((monthly_mortgage_schedule[[#This Row],[Year (Range)]]&gt;=$C$7)*(monthly_mortgage_schedule[[#This Row],[Year (Range)]]&lt;=$C$9),AO184,NA())</f>
        <v>11560.533010754096</v>
      </c>
      <c r="S184" s="214">
        <f>IF((monthly_mortgage_schedule[[#This Row],[Year (Range)]]&gt;=$C$7)*(monthly_mortgage_schedule[[#This Row],[Year (Range)]]&lt;=$C$9),AP184,NA())</f>
        <v>990</v>
      </c>
      <c r="T184" s="214">
        <f>IF((monthly_mortgage_schedule[[#This Row],[Year (Range)]]&gt;=$C$7)*(monthly_mortgage_schedule[[#This Row],[Year (Range)]]&lt;=$C$9),AR184,NA())</f>
        <v>18556.14957494205</v>
      </c>
      <c r="U184" s="214">
        <f>IF((monthly_mortgage_schedule[[#This Row],[Year (Range)]]&gt;=$C$7)*(monthly_mortgage_schedule[[#This Row],[Year (Range)]]&lt;=$C$9),AB184,NA())</f>
        <v>187485.91809510606</v>
      </c>
      <c r="V184" s="214">
        <f>IF((monthly_mortgage_schedule[[#This Row],[Year (Range)]]&gt;=$C$7)*(monthly_mortgage_schedule[[#This Row],[Year (Range)]]&lt;=$C$9),AI184,NA())</f>
        <v>146175.38508435211</v>
      </c>
      <c r="W184" s="187">
        <f t="shared" si="17"/>
        <v>353962.2844064603</v>
      </c>
      <c r="X184" s="4">
        <f t="shared" si="20"/>
        <v>1651.823993896815</v>
      </c>
      <c r="Y184" s="4">
        <f t="shared" si="18"/>
        <v>1448.2025015665931</v>
      </c>
      <c r="Z184" s="4">
        <f>_xlfn.IFNA(INDEX(additional_mortgage_payments[],MATCH(monthly_mortgage_schedule[[#This Row],[Month]],additional_mortgage_payments[Month],0),3),0)</f>
        <v>0</v>
      </c>
      <c r="AA184" s="4">
        <f>AA183+monthly_mortgage_schedule[[#This Row],[Extra Payments Towards Equity]]</f>
        <v>29750</v>
      </c>
      <c r="AB184" s="4">
        <f>AB183+monthly_mortgage_schedule[[#This Row],[Principal With Extra Principal Payments]]+monthly_mortgage_schedule[[#This Row],[Extra Payments Towards Equity]]</f>
        <v>187485.91809510606</v>
      </c>
      <c r="AC184" s="4">
        <f>monthly_mortgage_schedule[[#This Row],[Cumulative Principal With Extra Principal Payments]]+down_payment_dollars</f>
        <v>247485.91809510606</v>
      </c>
      <c r="AD184" s="200">
        <f t="shared" si="15"/>
        <v>0</v>
      </c>
      <c r="AE18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352514.08190489368</v>
      </c>
      <c r="AF184" s="187">
        <f t="shared" si="21"/>
        <v>395080.93040256598</v>
      </c>
      <c r="AG184" s="4">
        <f>IF(monthly_mortgage_schedule[[#This Row],[Loan Balance (BOY) Without Extra Principal Payments]]&gt;0,monthly_mortgage_schedule[[#This Row],[Loan Balance (BOY) Without Extra Principal Payments]]*monthly_interest_rate,0)</f>
        <v>1843.711008545308</v>
      </c>
      <c r="AH184" s="4">
        <f>IF(monthly_mortgage_schedule[[#This Row],[Loan Balance (BOY) Without Extra Principal Payments]]&gt;1,monthly_principal_and_interest-monthly_mortgage_schedule[[#This Row],[Interest Without Extra Principal Payments]],0)</f>
        <v>1256.3154869181001</v>
      </c>
      <c r="AI184" s="4">
        <f>AI183+monthly_mortgage_schedule[[#This Row],[Principal Without Extra Principal Payments]]</f>
        <v>146175.38508435211</v>
      </c>
      <c r="AJ184" s="4">
        <f>monthly_mortgage_schedule[[#This Row],[Cumulative Principal Without Extra Principal Payments]]+down_payment_dollars</f>
        <v>206175.38508435211</v>
      </c>
      <c r="AK184" s="200">
        <f t="shared" si="16"/>
        <v>0</v>
      </c>
      <c r="AL18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393824.61491564789</v>
      </c>
      <c r="AN184" s="196">
        <f>monthly_mortgage_schedule[[#This Row],[Extra Payments Towards Equity]]+AN183+IF(monthly_mortgage_schedule[[#This Row],[Interest With Extra Principal Payments]]&gt;0,monthly_mortgage_schedule[[#This Row],[Interest Without Extra Principal Payments]]-monthly_mortgage_schedule[[#This Row],[Interest With Extra Principal Payments]],0)</f>
        <v>41310.533010754094</v>
      </c>
      <c r="AO184" s="4">
        <f>AO183+IF(monthly_mortgage_schedule[[#This Row],[Interest With Extra Principal Payments]]&gt;0,monthly_mortgage_schedule[[#This Row],[Interest Without Extra Principal Payments]]-monthly_mortgage_schedule[[#This Row],[Interest With Extra Principal Payments]],0)</f>
        <v>11560.533010754096</v>
      </c>
      <c r="AP184" s="4">
        <f>AP183+monthly_mortgage_schedule[[#This Row],[PMI Without Extra Principal Payments]]-monthly_mortgage_schedule[[#This Row],[PMI with Additional Payments]]</f>
        <v>990</v>
      </c>
      <c r="AQ184" s="4">
        <f t="shared" si="19"/>
        <v>48306.14957494205</v>
      </c>
      <c r="AR184" s="4">
        <f>Table60[[#This Row],[Cumulative Investments]]-monthly_mortgage_schedule[[#This Row],[Cumulative Extra Payments Towards Equity]]</f>
        <v>18556.14957494205</v>
      </c>
    </row>
    <row r="185" spans="9:44" x14ac:dyDescent="0.25">
      <c r="I185">
        <v>168</v>
      </c>
      <c r="J185">
        <f>IF(MOD(ROWS($J$18:J184),12)=0,J184+1,J184)</f>
        <v>2035</v>
      </c>
      <c r="K185" s="198">
        <f>IF(M185="#N/A",NA(),monthly_mortgage_schedule[[#This Row],[Month]])</f>
        <v>168</v>
      </c>
      <c r="L185" s="198">
        <f>IF(monthly_mortgage_schedule[[#This Row],[Calendar Year]]&gt;=$C$7,monthly_mortgage_schedule[[#This Row],[Calendar Year]],NA())</f>
        <v>2035</v>
      </c>
      <c r="M185" s="199">
        <f>IF((monthly_mortgage_schedule[[#This Row],[Calendar Year]]&gt;=$C$7)*(monthly_mortgage_schedule[[#This Row],[Calendar Year]]&lt;=$C$9),monthly_mortgage_schedule[[#This Row],[Begin Year (Range)]],NA())</f>
        <v>2035</v>
      </c>
      <c r="N185" s="214">
        <f>IF((monthly_mortgage_schedule[[#This Row],[Year (Range)]]&gt;=$C$7)*(monthly_mortgage_schedule[[#This Row],[Year (Range)]]&lt;=$C$9),X185,NA())</f>
        <v>1645.0657155561707</v>
      </c>
      <c r="O185" s="214">
        <f>IF((monthly_mortgage_schedule[[#This Row],[Year (Range)]]&gt;=$C$7)*(monthly_mortgage_schedule[[#This Row],[Year (Range)]]&lt;=$C$9),Y185,NA())</f>
        <v>1454.9607799072373</v>
      </c>
      <c r="P185" s="214">
        <f>IF((monthly_mortgage_schedule[[#This Row],[Year (Range)]]&gt;=$C$7)*(monthly_mortgage_schedule[[#This Row],[Year (Range)]]&lt;=$C$9),AG185,NA())</f>
        <v>1837.8482029396903</v>
      </c>
      <c r="Q185" s="214">
        <f>IF((monthly_mortgage_schedule[[#This Row],[Year (Range)]]&gt;=$C$7)*(monthly_mortgage_schedule[[#This Row],[Year (Range)]]&lt;=$C$9),AH185,NA())</f>
        <v>1262.1782925237178</v>
      </c>
      <c r="R185" s="214">
        <f>IF((monthly_mortgage_schedule[[#This Row],[Year (Range)]]&gt;=$C$7)*(monthly_mortgage_schedule[[#This Row],[Year (Range)]]&lt;=$C$9),AO185,NA())</f>
        <v>11753.315498137616</v>
      </c>
      <c r="S185" s="214">
        <f>IF((monthly_mortgage_schedule[[#This Row],[Year (Range)]]&gt;=$C$7)*(monthly_mortgage_schedule[[#This Row],[Year (Range)]]&lt;=$C$9),AP185,NA())</f>
        <v>990</v>
      </c>
      <c r="T185" s="214">
        <f>IF((monthly_mortgage_schedule[[#This Row],[Year (Range)]]&gt;=$C$7)*(monthly_mortgage_schedule[[#This Row],[Year (Range)]]&lt;=$C$9),AR185,NA())</f>
        <v>18878.190572108324</v>
      </c>
      <c r="U185" s="214">
        <f>IF((monthly_mortgage_schedule[[#This Row],[Year (Range)]]&gt;=$C$7)*(monthly_mortgage_schedule[[#This Row],[Year (Range)]]&lt;=$C$9),AB185,NA())</f>
        <v>188940.8788750133</v>
      </c>
      <c r="V185" s="214">
        <f>IF((monthly_mortgage_schedule[[#This Row],[Year (Range)]]&gt;=$C$7)*(monthly_mortgage_schedule[[#This Row],[Year (Range)]]&lt;=$C$9),AI185,NA())</f>
        <v>147437.56337687583</v>
      </c>
      <c r="W185" s="187">
        <f t="shared" si="17"/>
        <v>352514.08190489368</v>
      </c>
      <c r="X185" s="4">
        <f t="shared" si="20"/>
        <v>1645.0657155561707</v>
      </c>
      <c r="Y185" s="4">
        <f t="shared" si="18"/>
        <v>1454.9607799072373</v>
      </c>
      <c r="Z185" s="4">
        <f>_xlfn.IFNA(INDEX(additional_mortgage_payments[],MATCH(monthly_mortgage_schedule[[#This Row],[Month]],additional_mortgage_payments[Month],0),3),0)</f>
        <v>0</v>
      </c>
      <c r="AA185" s="4">
        <f>AA184+monthly_mortgage_schedule[[#This Row],[Extra Payments Towards Equity]]</f>
        <v>29750</v>
      </c>
      <c r="AB185" s="4">
        <f>AB184+monthly_mortgage_schedule[[#This Row],[Principal With Extra Principal Payments]]+monthly_mortgage_schedule[[#This Row],[Extra Payments Towards Equity]]</f>
        <v>188940.8788750133</v>
      </c>
      <c r="AC185" s="4">
        <f>monthly_mortgage_schedule[[#This Row],[Cumulative Principal With Extra Principal Payments]]+down_payment_dollars</f>
        <v>248940.8788750133</v>
      </c>
      <c r="AD185" s="200">
        <f t="shared" si="15"/>
        <v>0</v>
      </c>
      <c r="AE18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351059.12112498644</v>
      </c>
      <c r="AF185" s="187">
        <f t="shared" si="21"/>
        <v>393824.61491564789</v>
      </c>
      <c r="AG185" s="4">
        <f>IF(monthly_mortgage_schedule[[#This Row],[Loan Balance (BOY) Without Extra Principal Payments]]&gt;0,monthly_mortgage_schedule[[#This Row],[Loan Balance (BOY) Without Extra Principal Payments]]*monthly_interest_rate,0)</f>
        <v>1837.8482029396903</v>
      </c>
      <c r="AH185" s="4">
        <f>IF(monthly_mortgage_schedule[[#This Row],[Loan Balance (BOY) Without Extra Principal Payments]]&gt;1,monthly_principal_and_interest-monthly_mortgage_schedule[[#This Row],[Interest Without Extra Principal Payments]],0)</f>
        <v>1262.1782925237178</v>
      </c>
      <c r="AI185" s="4">
        <f>AI184+monthly_mortgage_schedule[[#This Row],[Principal Without Extra Principal Payments]]</f>
        <v>147437.56337687583</v>
      </c>
      <c r="AJ185" s="4">
        <f>monthly_mortgage_schedule[[#This Row],[Cumulative Principal Without Extra Principal Payments]]+down_payment_dollars</f>
        <v>207437.56337687583</v>
      </c>
      <c r="AK185" s="200">
        <f t="shared" si="16"/>
        <v>0</v>
      </c>
      <c r="AL18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392562.43662312417</v>
      </c>
      <c r="AN185" s="196">
        <f>monthly_mortgage_schedule[[#This Row],[Extra Payments Towards Equity]]+AN184+IF(monthly_mortgage_schedule[[#This Row],[Interest With Extra Principal Payments]]&gt;0,monthly_mortgage_schedule[[#This Row],[Interest Without Extra Principal Payments]]-monthly_mortgage_schedule[[#This Row],[Interest With Extra Principal Payments]],0)</f>
        <v>41503.315498137614</v>
      </c>
      <c r="AO185" s="4">
        <f>AO184+IF(monthly_mortgage_schedule[[#This Row],[Interest With Extra Principal Payments]]&gt;0,monthly_mortgage_schedule[[#This Row],[Interest Without Extra Principal Payments]]-monthly_mortgage_schedule[[#This Row],[Interest With Extra Principal Payments]],0)</f>
        <v>11753.315498137616</v>
      </c>
      <c r="AP185" s="4">
        <f>AP184+monthly_mortgage_schedule[[#This Row],[PMI Without Extra Principal Payments]]-monthly_mortgage_schedule[[#This Row],[PMI with Additional Payments]]</f>
        <v>990</v>
      </c>
      <c r="AQ185" s="4">
        <f t="shared" si="19"/>
        <v>48628.190572108324</v>
      </c>
      <c r="AR185" s="4">
        <f>Table60[[#This Row],[Cumulative Investments]]-monthly_mortgage_schedule[[#This Row],[Cumulative Extra Payments Towards Equity]]</f>
        <v>18878.190572108324</v>
      </c>
    </row>
    <row r="186" spans="9:44" x14ac:dyDescent="0.25">
      <c r="I186">
        <v>169</v>
      </c>
      <c r="J186">
        <f>IF(MOD(ROWS($J$18:J185),12)=0,J185+1,J185)</f>
        <v>2036</v>
      </c>
      <c r="K186" s="198">
        <f>IF(M186="#N/A",NA(),monthly_mortgage_schedule[[#This Row],[Month]])</f>
        <v>169</v>
      </c>
      <c r="L186" s="198">
        <f>IF(monthly_mortgage_schedule[[#This Row],[Calendar Year]]&gt;=$C$7,monthly_mortgage_schedule[[#This Row],[Calendar Year]],NA())</f>
        <v>2036</v>
      </c>
      <c r="M186" s="199">
        <f>IF((monthly_mortgage_schedule[[#This Row],[Calendar Year]]&gt;=$C$7)*(monthly_mortgage_schedule[[#This Row],[Calendar Year]]&lt;=$C$9),monthly_mortgage_schedule[[#This Row],[Begin Year (Range)]],NA())</f>
        <v>2036</v>
      </c>
      <c r="N186" s="214">
        <f>IF((monthly_mortgage_schedule[[#This Row],[Year (Range)]]&gt;=$C$7)*(monthly_mortgage_schedule[[#This Row],[Year (Range)]]&lt;=$C$9),X186,NA())</f>
        <v>1638.2758985832702</v>
      </c>
      <c r="O186" s="214">
        <f>IF((monthly_mortgage_schedule[[#This Row],[Year (Range)]]&gt;=$C$7)*(monthly_mortgage_schedule[[#This Row],[Year (Range)]]&lt;=$C$9),Y186,NA())</f>
        <v>1461.7505968801379</v>
      </c>
      <c r="P186" s="214">
        <f>IF((monthly_mortgage_schedule[[#This Row],[Year (Range)]]&gt;=$C$7)*(monthly_mortgage_schedule[[#This Row],[Year (Range)]]&lt;=$C$9),AG186,NA())</f>
        <v>1831.9580375745795</v>
      </c>
      <c r="Q186" s="214">
        <f>IF((monthly_mortgage_schedule[[#This Row],[Year (Range)]]&gt;=$C$7)*(monthly_mortgage_schedule[[#This Row],[Year (Range)]]&lt;=$C$9),AH186,NA())</f>
        <v>1268.0684578888286</v>
      </c>
      <c r="R186" s="214">
        <f>IF((monthly_mortgage_schedule[[#This Row],[Year (Range)]]&gt;=$C$7)*(monthly_mortgage_schedule[[#This Row],[Year (Range)]]&lt;=$C$9),AO186,NA())</f>
        <v>11946.997637128925</v>
      </c>
      <c r="S186" s="214">
        <f>IF((monthly_mortgage_schedule[[#This Row],[Year (Range)]]&gt;=$C$7)*(monthly_mortgage_schedule[[#This Row],[Year (Range)]]&lt;=$C$9),AP186,NA())</f>
        <v>990</v>
      </c>
      <c r="T186" s="214">
        <f>IF((monthly_mortgage_schedule[[#This Row],[Year (Range)]]&gt;=$C$7)*(monthly_mortgage_schedule[[#This Row],[Year (Range)]]&lt;=$C$9),AR186,NA())</f>
        <v>19202.378509255708</v>
      </c>
      <c r="U186" s="214">
        <f>IF((monthly_mortgage_schedule[[#This Row],[Year (Range)]]&gt;=$C$7)*(monthly_mortgage_schedule[[#This Row],[Year (Range)]]&lt;=$C$9),AB186,NA())</f>
        <v>190402.62947189342</v>
      </c>
      <c r="V186" s="214">
        <f>IF((monthly_mortgage_schedule[[#This Row],[Year (Range)]]&gt;=$C$7)*(monthly_mortgage_schedule[[#This Row],[Year (Range)]]&lt;=$C$9),AI186,NA())</f>
        <v>148705.63183476464</v>
      </c>
      <c r="W186" s="187">
        <f t="shared" si="17"/>
        <v>351059.12112498644</v>
      </c>
      <c r="X186" s="4">
        <f t="shared" si="20"/>
        <v>1638.2758985832702</v>
      </c>
      <c r="Y186" s="4">
        <f t="shared" si="18"/>
        <v>1461.7505968801379</v>
      </c>
      <c r="Z186" s="4">
        <f>_xlfn.IFNA(INDEX(additional_mortgage_payments[],MATCH(monthly_mortgage_schedule[[#This Row],[Month]],additional_mortgage_payments[Month],0),3),0)</f>
        <v>0</v>
      </c>
      <c r="AA186" s="4">
        <f>AA185+monthly_mortgage_schedule[[#This Row],[Extra Payments Towards Equity]]</f>
        <v>29750</v>
      </c>
      <c r="AB186" s="4">
        <f>AB185+monthly_mortgage_schedule[[#This Row],[Principal With Extra Principal Payments]]+monthly_mortgage_schedule[[#This Row],[Extra Payments Towards Equity]]</f>
        <v>190402.62947189342</v>
      </c>
      <c r="AC186" s="4">
        <f>monthly_mortgage_schedule[[#This Row],[Cumulative Principal With Extra Principal Payments]]+down_payment_dollars</f>
        <v>250402.62947189342</v>
      </c>
      <c r="AD186" s="200">
        <f t="shared" si="15"/>
        <v>0</v>
      </c>
      <c r="AE18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349597.37052810629</v>
      </c>
      <c r="AF186" s="187">
        <f t="shared" si="21"/>
        <v>392562.43662312417</v>
      </c>
      <c r="AG186" s="4">
        <f>IF(monthly_mortgage_schedule[[#This Row],[Loan Balance (BOY) Without Extra Principal Payments]]&gt;0,monthly_mortgage_schedule[[#This Row],[Loan Balance (BOY) Without Extra Principal Payments]]*monthly_interest_rate,0)</f>
        <v>1831.9580375745795</v>
      </c>
      <c r="AH186" s="4">
        <f>IF(monthly_mortgage_schedule[[#This Row],[Loan Balance (BOY) Without Extra Principal Payments]]&gt;1,monthly_principal_and_interest-monthly_mortgage_schedule[[#This Row],[Interest Without Extra Principal Payments]],0)</f>
        <v>1268.0684578888286</v>
      </c>
      <c r="AI186" s="4">
        <f>AI185+monthly_mortgage_schedule[[#This Row],[Principal Without Extra Principal Payments]]</f>
        <v>148705.63183476464</v>
      </c>
      <c r="AJ186" s="4">
        <f>monthly_mortgage_schedule[[#This Row],[Cumulative Principal Without Extra Principal Payments]]+down_payment_dollars</f>
        <v>208705.63183476464</v>
      </c>
      <c r="AK186" s="200">
        <f t="shared" si="16"/>
        <v>0</v>
      </c>
      <c r="AL18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391294.36816523533</v>
      </c>
      <c r="AN186" s="196">
        <f>monthly_mortgage_schedule[[#This Row],[Extra Payments Towards Equity]]+AN185+IF(monthly_mortgage_schedule[[#This Row],[Interest With Extra Principal Payments]]&gt;0,monthly_mortgage_schedule[[#This Row],[Interest Without Extra Principal Payments]]-monthly_mortgage_schedule[[#This Row],[Interest With Extra Principal Payments]],0)</f>
        <v>41696.997637128923</v>
      </c>
      <c r="AO186" s="4">
        <f>AO185+IF(monthly_mortgage_schedule[[#This Row],[Interest With Extra Principal Payments]]&gt;0,monthly_mortgage_schedule[[#This Row],[Interest Without Extra Principal Payments]]-monthly_mortgage_schedule[[#This Row],[Interest With Extra Principal Payments]],0)</f>
        <v>11946.997637128925</v>
      </c>
      <c r="AP186" s="4">
        <f>AP185+monthly_mortgage_schedule[[#This Row],[PMI Without Extra Principal Payments]]-monthly_mortgage_schedule[[#This Row],[PMI with Additional Payments]]</f>
        <v>990</v>
      </c>
      <c r="AQ186" s="4">
        <f t="shared" si="19"/>
        <v>48952.378509255708</v>
      </c>
      <c r="AR186" s="4">
        <f>Table60[[#This Row],[Cumulative Investments]]-monthly_mortgage_schedule[[#This Row],[Cumulative Extra Payments Towards Equity]]</f>
        <v>19202.378509255708</v>
      </c>
    </row>
    <row r="187" spans="9:44" x14ac:dyDescent="0.25">
      <c r="I187">
        <v>170</v>
      </c>
      <c r="J187">
        <f>IF(MOD(ROWS($J$18:J186),12)=0,J186+1,J186)</f>
        <v>2036</v>
      </c>
      <c r="K187" s="198">
        <f>IF(M187="#N/A",NA(),monthly_mortgage_schedule[[#This Row],[Month]])</f>
        <v>170</v>
      </c>
      <c r="L187" s="198">
        <f>IF(monthly_mortgage_schedule[[#This Row],[Calendar Year]]&gt;=$C$7,monthly_mortgage_schedule[[#This Row],[Calendar Year]],NA())</f>
        <v>2036</v>
      </c>
      <c r="M187" s="199">
        <f>IF((monthly_mortgage_schedule[[#This Row],[Calendar Year]]&gt;=$C$7)*(monthly_mortgage_schedule[[#This Row],[Calendar Year]]&lt;=$C$9),monthly_mortgage_schedule[[#This Row],[Begin Year (Range)]],NA())</f>
        <v>2036</v>
      </c>
      <c r="N187" s="214">
        <f>IF((monthly_mortgage_schedule[[#This Row],[Year (Range)]]&gt;=$C$7)*(monthly_mortgage_schedule[[#This Row],[Year (Range)]]&lt;=$C$9),X187,NA())</f>
        <v>1631.4543957978294</v>
      </c>
      <c r="O187" s="214">
        <f>IF((monthly_mortgage_schedule[[#This Row],[Year (Range)]]&gt;=$C$7)*(monthly_mortgage_schedule[[#This Row],[Year (Range)]]&lt;=$C$9),Y187,NA())</f>
        <v>1468.5720996655787</v>
      </c>
      <c r="P187" s="214">
        <f>IF((monthly_mortgage_schedule[[#This Row],[Year (Range)]]&gt;=$C$7)*(monthly_mortgage_schedule[[#This Row],[Year (Range)]]&lt;=$C$9),AG187,NA())</f>
        <v>1826.0403847710984</v>
      </c>
      <c r="Q187" s="214">
        <f>IF((monthly_mortgage_schedule[[#This Row],[Year (Range)]]&gt;=$C$7)*(monthly_mortgage_schedule[[#This Row],[Year (Range)]]&lt;=$C$9),AH187,NA())</f>
        <v>1273.9861106923097</v>
      </c>
      <c r="R187" s="214">
        <f>IF((monthly_mortgage_schedule[[#This Row],[Year (Range)]]&gt;=$C$7)*(monthly_mortgage_schedule[[#This Row],[Year (Range)]]&lt;=$C$9),AO187,NA())</f>
        <v>12141.583626102194</v>
      </c>
      <c r="S187" s="214">
        <f>IF((monthly_mortgage_schedule[[#This Row],[Year (Range)]]&gt;=$C$7)*(monthly_mortgage_schedule[[#This Row],[Year (Range)]]&lt;=$C$9),AP187,NA())</f>
        <v>990</v>
      </c>
      <c r="T187" s="214">
        <f>IF((monthly_mortgage_schedule[[#This Row],[Year (Range)]]&gt;=$C$7)*(monthly_mortgage_schedule[[#This Row],[Year (Range)]]&lt;=$C$9),AR187,NA())</f>
        <v>19530.394365984073</v>
      </c>
      <c r="U187" s="214">
        <f>IF((monthly_mortgage_schedule[[#This Row],[Year (Range)]]&gt;=$C$7)*(monthly_mortgage_schedule[[#This Row],[Year (Range)]]&lt;=$C$9),AB187,NA())</f>
        <v>192121.20157155901</v>
      </c>
      <c r="V187" s="214">
        <f>IF((monthly_mortgage_schedule[[#This Row],[Year (Range)]]&gt;=$C$7)*(monthly_mortgage_schedule[[#This Row],[Year (Range)]]&lt;=$C$9),AI187,NA())</f>
        <v>149979.61794545696</v>
      </c>
      <c r="W187" s="187">
        <f t="shared" si="17"/>
        <v>349597.37052810629</v>
      </c>
      <c r="X187" s="4">
        <f t="shared" si="20"/>
        <v>1631.4543957978294</v>
      </c>
      <c r="Y187" s="4">
        <f t="shared" si="18"/>
        <v>1468.5720996655787</v>
      </c>
      <c r="Z187" s="4">
        <f>_xlfn.IFNA(INDEX(additional_mortgage_payments[],MATCH(monthly_mortgage_schedule[[#This Row],[Month]],additional_mortgage_payments[Month],0),3),0)</f>
        <v>250</v>
      </c>
      <c r="AA187" s="4">
        <f>AA186+monthly_mortgage_schedule[[#This Row],[Extra Payments Towards Equity]]</f>
        <v>30000</v>
      </c>
      <c r="AB187" s="4">
        <f>AB186+monthly_mortgage_schedule[[#This Row],[Principal With Extra Principal Payments]]+monthly_mortgage_schedule[[#This Row],[Extra Payments Towards Equity]]</f>
        <v>192121.20157155901</v>
      </c>
      <c r="AC187" s="4">
        <f>monthly_mortgage_schedule[[#This Row],[Cumulative Principal With Extra Principal Payments]]+down_payment_dollars</f>
        <v>252121.20157155901</v>
      </c>
      <c r="AD187" s="200">
        <f t="shared" si="15"/>
        <v>0</v>
      </c>
      <c r="AE18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347878.7984284407</v>
      </c>
      <c r="AF187" s="187">
        <f t="shared" si="21"/>
        <v>391294.36816523533</v>
      </c>
      <c r="AG187" s="4">
        <f>IF(monthly_mortgage_schedule[[#This Row],[Loan Balance (BOY) Without Extra Principal Payments]]&gt;0,monthly_mortgage_schedule[[#This Row],[Loan Balance (BOY) Without Extra Principal Payments]]*monthly_interest_rate,0)</f>
        <v>1826.0403847710984</v>
      </c>
      <c r="AH187" s="4">
        <f>IF(monthly_mortgage_schedule[[#This Row],[Loan Balance (BOY) Without Extra Principal Payments]]&gt;1,monthly_principal_and_interest-monthly_mortgage_schedule[[#This Row],[Interest Without Extra Principal Payments]],0)</f>
        <v>1273.9861106923097</v>
      </c>
      <c r="AI187" s="4">
        <f>AI186+monthly_mortgage_schedule[[#This Row],[Principal Without Extra Principal Payments]]</f>
        <v>149979.61794545696</v>
      </c>
      <c r="AJ187" s="4">
        <f>monthly_mortgage_schedule[[#This Row],[Cumulative Principal Without Extra Principal Payments]]+down_payment_dollars</f>
        <v>209979.61794545696</v>
      </c>
      <c r="AK187" s="200">
        <f t="shared" si="16"/>
        <v>0</v>
      </c>
      <c r="AL18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390020.38205454301</v>
      </c>
      <c r="AN187" s="196">
        <f>monthly_mortgage_schedule[[#This Row],[Extra Payments Towards Equity]]+AN186+IF(monthly_mortgage_schedule[[#This Row],[Interest With Extra Principal Payments]]&gt;0,monthly_mortgage_schedule[[#This Row],[Interest Without Extra Principal Payments]]-monthly_mortgage_schedule[[#This Row],[Interest With Extra Principal Payments]],0)</f>
        <v>42141.58362610219</v>
      </c>
      <c r="AO187" s="4">
        <f>AO186+IF(monthly_mortgage_schedule[[#This Row],[Interest With Extra Principal Payments]]&gt;0,monthly_mortgage_schedule[[#This Row],[Interest Without Extra Principal Payments]]-monthly_mortgage_schedule[[#This Row],[Interest With Extra Principal Payments]],0)</f>
        <v>12141.583626102194</v>
      </c>
      <c r="AP187" s="4">
        <f>AP186+monthly_mortgage_schedule[[#This Row],[PMI Without Extra Principal Payments]]-monthly_mortgage_schedule[[#This Row],[PMI with Additional Payments]]</f>
        <v>990</v>
      </c>
      <c r="AQ187" s="4">
        <f t="shared" si="19"/>
        <v>49530.394365984073</v>
      </c>
      <c r="AR187" s="4">
        <f>Table60[[#This Row],[Cumulative Investments]]-monthly_mortgage_schedule[[#This Row],[Cumulative Extra Payments Towards Equity]]</f>
        <v>19530.394365984073</v>
      </c>
    </row>
    <row r="188" spans="9:44" x14ac:dyDescent="0.25">
      <c r="I188">
        <v>171</v>
      </c>
      <c r="J188">
        <f>IF(MOD(ROWS($J$18:J187),12)=0,J187+1,J187)</f>
        <v>2036</v>
      </c>
      <c r="K188" s="198">
        <f>IF(M188="#N/A",NA(),monthly_mortgage_schedule[[#This Row],[Month]])</f>
        <v>171</v>
      </c>
      <c r="L188" s="198">
        <f>IF(monthly_mortgage_schedule[[#This Row],[Calendar Year]]&gt;=$C$7,monthly_mortgage_schedule[[#This Row],[Calendar Year]],NA())</f>
        <v>2036</v>
      </c>
      <c r="M188" s="199">
        <f>IF((monthly_mortgage_schedule[[#This Row],[Calendar Year]]&gt;=$C$7)*(monthly_mortgage_schedule[[#This Row],[Calendar Year]]&lt;=$C$9),monthly_mortgage_schedule[[#This Row],[Begin Year (Range)]],NA())</f>
        <v>2036</v>
      </c>
      <c r="N188" s="214">
        <f>IF((monthly_mortgage_schedule[[#This Row],[Year (Range)]]&gt;=$C$7)*(monthly_mortgage_schedule[[#This Row],[Year (Range)]]&lt;=$C$9),X188,NA())</f>
        <v>1623.4343926660567</v>
      </c>
      <c r="O188" s="214">
        <f>IF((monthly_mortgage_schedule[[#This Row],[Year (Range)]]&gt;=$C$7)*(monthly_mortgage_schedule[[#This Row],[Year (Range)]]&lt;=$C$9),Y188,NA())</f>
        <v>1476.5921027973513</v>
      </c>
      <c r="P188" s="214">
        <f>IF((monthly_mortgage_schedule[[#This Row],[Year (Range)]]&gt;=$C$7)*(monthly_mortgage_schedule[[#This Row],[Year (Range)]]&lt;=$C$9),AG188,NA())</f>
        <v>1820.0951162545341</v>
      </c>
      <c r="Q188" s="214">
        <f>IF((monthly_mortgage_schedule[[#This Row],[Year (Range)]]&gt;=$C$7)*(monthly_mortgage_schedule[[#This Row],[Year (Range)]]&lt;=$C$9),AH188,NA())</f>
        <v>1279.931379208874</v>
      </c>
      <c r="R188" s="214">
        <f>IF((monthly_mortgage_schedule[[#This Row],[Year (Range)]]&gt;=$C$7)*(monthly_mortgage_schedule[[#This Row],[Year (Range)]]&lt;=$C$9),AO188,NA())</f>
        <v>12338.244349690671</v>
      </c>
      <c r="S188" s="214">
        <f>IF((monthly_mortgage_schedule[[#This Row],[Year (Range)]]&gt;=$C$7)*(monthly_mortgage_schedule[[#This Row],[Year (Range)]]&lt;=$C$9),AP188,NA())</f>
        <v>990</v>
      </c>
      <c r="T188" s="214">
        <f>IF((monthly_mortgage_schedule[[#This Row],[Year (Range)]]&gt;=$C$7)*(monthly_mortgage_schedule[[#This Row],[Year (Range)]]&lt;=$C$9),AR188,NA())</f>
        <v>19860.596995090629</v>
      </c>
      <c r="U188" s="214">
        <f>IF((monthly_mortgage_schedule[[#This Row],[Year (Range)]]&gt;=$C$7)*(monthly_mortgage_schedule[[#This Row],[Year (Range)]]&lt;=$C$9),AB188,NA())</f>
        <v>193597.79367435636</v>
      </c>
      <c r="V188" s="214">
        <f>IF((monthly_mortgage_schedule[[#This Row],[Year (Range)]]&gt;=$C$7)*(monthly_mortgage_schedule[[#This Row],[Year (Range)]]&lt;=$C$9),AI188,NA())</f>
        <v>151259.54932466583</v>
      </c>
      <c r="W188" s="187">
        <f t="shared" si="17"/>
        <v>347878.7984284407</v>
      </c>
      <c r="X188" s="4">
        <f t="shared" si="20"/>
        <v>1623.4343926660567</v>
      </c>
      <c r="Y188" s="4">
        <f t="shared" si="18"/>
        <v>1476.5921027973513</v>
      </c>
      <c r="Z188" s="4">
        <f>_xlfn.IFNA(INDEX(additional_mortgage_payments[],MATCH(monthly_mortgage_schedule[[#This Row],[Month]],additional_mortgage_payments[Month],0),3),0)</f>
        <v>0</v>
      </c>
      <c r="AA188" s="4">
        <f>AA187+monthly_mortgage_schedule[[#This Row],[Extra Payments Towards Equity]]</f>
        <v>30000</v>
      </c>
      <c r="AB188" s="4">
        <f>AB187+monthly_mortgage_schedule[[#This Row],[Principal With Extra Principal Payments]]+monthly_mortgage_schedule[[#This Row],[Extra Payments Towards Equity]]</f>
        <v>193597.79367435636</v>
      </c>
      <c r="AC188" s="4">
        <f>monthly_mortgage_schedule[[#This Row],[Cumulative Principal With Extra Principal Payments]]+down_payment_dollars</f>
        <v>253597.79367435636</v>
      </c>
      <c r="AD188" s="200">
        <f t="shared" si="15"/>
        <v>0</v>
      </c>
      <c r="AE18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346402.20632564335</v>
      </c>
      <c r="AF188" s="187">
        <f t="shared" si="21"/>
        <v>390020.38205454301</v>
      </c>
      <c r="AG188" s="4">
        <f>IF(monthly_mortgage_schedule[[#This Row],[Loan Balance (BOY) Without Extra Principal Payments]]&gt;0,monthly_mortgage_schedule[[#This Row],[Loan Balance (BOY) Without Extra Principal Payments]]*monthly_interest_rate,0)</f>
        <v>1820.0951162545341</v>
      </c>
      <c r="AH188" s="4">
        <f>IF(monthly_mortgage_schedule[[#This Row],[Loan Balance (BOY) Without Extra Principal Payments]]&gt;1,monthly_principal_and_interest-monthly_mortgage_schedule[[#This Row],[Interest Without Extra Principal Payments]],0)</f>
        <v>1279.931379208874</v>
      </c>
      <c r="AI188" s="4">
        <f>AI187+monthly_mortgage_schedule[[#This Row],[Principal Without Extra Principal Payments]]</f>
        <v>151259.54932466583</v>
      </c>
      <c r="AJ188" s="4">
        <f>monthly_mortgage_schedule[[#This Row],[Cumulative Principal Without Extra Principal Payments]]+down_payment_dollars</f>
        <v>211259.54932466583</v>
      </c>
      <c r="AK188" s="200">
        <f t="shared" si="16"/>
        <v>0</v>
      </c>
      <c r="AL18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388740.45067533414</v>
      </c>
      <c r="AN188" s="196">
        <f>monthly_mortgage_schedule[[#This Row],[Extra Payments Towards Equity]]+AN187+IF(monthly_mortgage_schedule[[#This Row],[Interest With Extra Principal Payments]]&gt;0,monthly_mortgage_schedule[[#This Row],[Interest Without Extra Principal Payments]]-monthly_mortgage_schedule[[#This Row],[Interest With Extra Principal Payments]],0)</f>
        <v>42338.244349690671</v>
      </c>
      <c r="AO188" s="4">
        <f>AO187+IF(monthly_mortgage_schedule[[#This Row],[Interest With Extra Principal Payments]]&gt;0,monthly_mortgage_schedule[[#This Row],[Interest Without Extra Principal Payments]]-monthly_mortgage_schedule[[#This Row],[Interest With Extra Principal Payments]],0)</f>
        <v>12338.244349690671</v>
      </c>
      <c r="AP188" s="4">
        <f>AP187+monthly_mortgage_schedule[[#This Row],[PMI Without Extra Principal Payments]]-monthly_mortgage_schedule[[#This Row],[PMI with Additional Payments]]</f>
        <v>990</v>
      </c>
      <c r="AQ188" s="4">
        <f t="shared" si="19"/>
        <v>49860.596995090629</v>
      </c>
      <c r="AR188" s="4">
        <f>Table60[[#This Row],[Cumulative Investments]]-monthly_mortgage_schedule[[#This Row],[Cumulative Extra Payments Towards Equity]]</f>
        <v>19860.596995090629</v>
      </c>
    </row>
    <row r="189" spans="9:44" x14ac:dyDescent="0.25">
      <c r="I189">
        <v>172</v>
      </c>
      <c r="J189">
        <f>IF(MOD(ROWS($J$18:J188),12)=0,J188+1,J188)</f>
        <v>2036</v>
      </c>
      <c r="K189" s="198">
        <f>IF(M189="#N/A",NA(),monthly_mortgage_schedule[[#This Row],[Month]])</f>
        <v>172</v>
      </c>
      <c r="L189" s="198">
        <f>IF(monthly_mortgage_schedule[[#This Row],[Calendar Year]]&gt;=$C$7,monthly_mortgage_schedule[[#This Row],[Calendar Year]],NA())</f>
        <v>2036</v>
      </c>
      <c r="M189" s="199">
        <f>IF((monthly_mortgage_schedule[[#This Row],[Calendar Year]]&gt;=$C$7)*(monthly_mortgage_schedule[[#This Row],[Calendar Year]]&lt;=$C$9),monthly_mortgage_schedule[[#This Row],[Begin Year (Range)]],NA())</f>
        <v>2036</v>
      </c>
      <c r="N189" s="214">
        <f>IF((monthly_mortgage_schedule[[#This Row],[Year (Range)]]&gt;=$C$7)*(monthly_mortgage_schedule[[#This Row],[Year (Range)]]&lt;=$C$9),X189,NA())</f>
        <v>1616.5436295196691</v>
      </c>
      <c r="O189" s="214">
        <f>IF((monthly_mortgage_schedule[[#This Row],[Year (Range)]]&gt;=$C$7)*(monthly_mortgage_schedule[[#This Row],[Year (Range)]]&lt;=$C$9),Y189,NA())</f>
        <v>1483.4828659437389</v>
      </c>
      <c r="P189" s="214">
        <f>IF((monthly_mortgage_schedule[[#This Row],[Year (Range)]]&gt;=$C$7)*(monthly_mortgage_schedule[[#This Row],[Year (Range)]]&lt;=$C$9),AG189,NA())</f>
        <v>1814.1221031515595</v>
      </c>
      <c r="Q189" s="214">
        <f>IF((monthly_mortgage_schedule[[#This Row],[Year (Range)]]&gt;=$C$7)*(monthly_mortgage_schedule[[#This Row],[Year (Range)]]&lt;=$C$9),AH189,NA())</f>
        <v>1285.9043923118486</v>
      </c>
      <c r="R189" s="214">
        <f>IF((monthly_mortgage_schedule[[#This Row],[Year (Range)]]&gt;=$C$7)*(monthly_mortgage_schedule[[#This Row],[Year (Range)]]&lt;=$C$9),AO189,NA())</f>
        <v>12535.822823322562</v>
      </c>
      <c r="S189" s="214">
        <f>IF((monthly_mortgage_schedule[[#This Row],[Year (Range)]]&gt;=$C$7)*(monthly_mortgage_schedule[[#This Row],[Year (Range)]]&lt;=$C$9),AP189,NA())</f>
        <v>990</v>
      </c>
      <c r="T189" s="214">
        <f>IF((monthly_mortgage_schedule[[#This Row],[Year (Range)]]&gt;=$C$7)*(monthly_mortgage_schedule[[#This Row],[Year (Range)]]&lt;=$C$9),AR189,NA())</f>
        <v>20193.000975057897</v>
      </c>
      <c r="U189" s="214">
        <f>IF((monthly_mortgage_schedule[[#This Row],[Year (Range)]]&gt;=$C$7)*(monthly_mortgage_schedule[[#This Row],[Year (Range)]]&lt;=$C$9),AB189,NA())</f>
        <v>195081.27654030011</v>
      </c>
      <c r="V189" s="214">
        <f>IF((monthly_mortgage_schedule[[#This Row],[Year (Range)]]&gt;=$C$7)*(monthly_mortgage_schedule[[#This Row],[Year (Range)]]&lt;=$C$9),AI189,NA())</f>
        <v>152545.45371697767</v>
      </c>
      <c r="W189" s="187">
        <f t="shared" si="17"/>
        <v>346402.20632564335</v>
      </c>
      <c r="X189" s="4">
        <f t="shared" si="20"/>
        <v>1616.5436295196691</v>
      </c>
      <c r="Y189" s="4">
        <f t="shared" si="18"/>
        <v>1483.4828659437389</v>
      </c>
      <c r="Z189" s="4">
        <f>_xlfn.IFNA(INDEX(additional_mortgage_payments[],MATCH(monthly_mortgage_schedule[[#This Row],[Month]],additional_mortgage_payments[Month],0),3),0)</f>
        <v>0</v>
      </c>
      <c r="AA189" s="4">
        <f>AA188+monthly_mortgage_schedule[[#This Row],[Extra Payments Towards Equity]]</f>
        <v>30000</v>
      </c>
      <c r="AB189" s="4">
        <f>AB188+monthly_mortgage_schedule[[#This Row],[Principal With Extra Principal Payments]]+monthly_mortgage_schedule[[#This Row],[Extra Payments Towards Equity]]</f>
        <v>195081.27654030011</v>
      </c>
      <c r="AC189" s="4">
        <f>monthly_mortgage_schedule[[#This Row],[Cumulative Principal With Extra Principal Payments]]+down_payment_dollars</f>
        <v>255081.27654030011</v>
      </c>
      <c r="AD189" s="200">
        <f t="shared" si="15"/>
        <v>0</v>
      </c>
      <c r="AE18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344918.7234596996</v>
      </c>
      <c r="AF189" s="187">
        <f t="shared" si="21"/>
        <v>388740.45067533414</v>
      </c>
      <c r="AG189" s="4">
        <f>IF(monthly_mortgage_schedule[[#This Row],[Loan Balance (BOY) Without Extra Principal Payments]]&gt;0,monthly_mortgage_schedule[[#This Row],[Loan Balance (BOY) Without Extra Principal Payments]]*monthly_interest_rate,0)</f>
        <v>1814.1221031515595</v>
      </c>
      <c r="AH189" s="4">
        <f>IF(monthly_mortgage_schedule[[#This Row],[Loan Balance (BOY) Without Extra Principal Payments]]&gt;1,monthly_principal_and_interest-monthly_mortgage_schedule[[#This Row],[Interest Without Extra Principal Payments]],0)</f>
        <v>1285.9043923118486</v>
      </c>
      <c r="AI189" s="4">
        <f>AI188+monthly_mortgage_schedule[[#This Row],[Principal Without Extra Principal Payments]]</f>
        <v>152545.45371697767</v>
      </c>
      <c r="AJ189" s="4">
        <f>monthly_mortgage_schedule[[#This Row],[Cumulative Principal Without Extra Principal Payments]]+down_payment_dollars</f>
        <v>212545.45371697767</v>
      </c>
      <c r="AK189" s="200">
        <f t="shared" si="16"/>
        <v>0</v>
      </c>
      <c r="AL18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387454.54628302227</v>
      </c>
      <c r="AN189" s="196">
        <f>monthly_mortgage_schedule[[#This Row],[Extra Payments Towards Equity]]+AN188+IF(monthly_mortgage_schedule[[#This Row],[Interest With Extra Principal Payments]]&gt;0,monthly_mortgage_schedule[[#This Row],[Interest Without Extra Principal Payments]]-monthly_mortgage_schedule[[#This Row],[Interest With Extra Principal Payments]],0)</f>
        <v>42535.82282332256</v>
      </c>
      <c r="AO189" s="4">
        <f>AO188+IF(monthly_mortgage_schedule[[#This Row],[Interest With Extra Principal Payments]]&gt;0,monthly_mortgage_schedule[[#This Row],[Interest Without Extra Principal Payments]]-monthly_mortgage_schedule[[#This Row],[Interest With Extra Principal Payments]],0)</f>
        <v>12535.822823322562</v>
      </c>
      <c r="AP189" s="4">
        <f>AP188+monthly_mortgage_schedule[[#This Row],[PMI Without Extra Principal Payments]]-monthly_mortgage_schedule[[#This Row],[PMI with Additional Payments]]</f>
        <v>990</v>
      </c>
      <c r="AQ189" s="4">
        <f t="shared" si="19"/>
        <v>50193.000975057897</v>
      </c>
      <c r="AR189" s="4">
        <f>Table60[[#This Row],[Cumulative Investments]]-monthly_mortgage_schedule[[#This Row],[Cumulative Extra Payments Towards Equity]]</f>
        <v>20193.000975057897</v>
      </c>
    </row>
    <row r="190" spans="9:44" x14ac:dyDescent="0.25">
      <c r="I190">
        <v>173</v>
      </c>
      <c r="J190">
        <f>IF(MOD(ROWS($J$18:J189),12)=0,J189+1,J189)</f>
        <v>2036</v>
      </c>
      <c r="K190" s="198">
        <f>IF(M190="#N/A",NA(),monthly_mortgage_schedule[[#This Row],[Month]])</f>
        <v>173</v>
      </c>
      <c r="L190" s="198">
        <f>IF(monthly_mortgage_schedule[[#This Row],[Calendar Year]]&gt;=$C$7,monthly_mortgage_schedule[[#This Row],[Calendar Year]],NA())</f>
        <v>2036</v>
      </c>
      <c r="M190" s="199">
        <f>IF((monthly_mortgage_schedule[[#This Row],[Calendar Year]]&gt;=$C$7)*(monthly_mortgage_schedule[[#This Row],[Calendar Year]]&lt;=$C$9),monthly_mortgage_schedule[[#This Row],[Begin Year (Range)]],NA())</f>
        <v>2036</v>
      </c>
      <c r="N190" s="214">
        <f>IF((monthly_mortgage_schedule[[#This Row],[Year (Range)]]&gt;=$C$7)*(monthly_mortgage_schedule[[#This Row],[Year (Range)]]&lt;=$C$9),X190,NA())</f>
        <v>1609.6207094785982</v>
      </c>
      <c r="O190" s="214">
        <f>IF((monthly_mortgage_schedule[[#This Row],[Year (Range)]]&gt;=$C$7)*(monthly_mortgage_schedule[[#This Row],[Year (Range)]]&lt;=$C$9),Y190,NA())</f>
        <v>1490.4057859848099</v>
      </c>
      <c r="P190" s="214">
        <f>IF((monthly_mortgage_schedule[[#This Row],[Year (Range)]]&gt;=$C$7)*(monthly_mortgage_schedule[[#This Row],[Year (Range)]]&lt;=$C$9),AG190,NA())</f>
        <v>1808.1212159874374</v>
      </c>
      <c r="Q190" s="214">
        <f>IF((monthly_mortgage_schedule[[#This Row],[Year (Range)]]&gt;=$C$7)*(monthly_mortgage_schedule[[#This Row],[Year (Range)]]&lt;=$C$9),AH190,NA())</f>
        <v>1291.9052794759707</v>
      </c>
      <c r="R190" s="214">
        <f>IF((monthly_mortgage_schedule[[#This Row],[Year (Range)]]&gt;=$C$7)*(monthly_mortgage_schedule[[#This Row],[Year (Range)]]&lt;=$C$9),AO190,NA())</f>
        <v>12734.323329831401</v>
      </c>
      <c r="S190" s="214">
        <f>IF((monthly_mortgage_schedule[[#This Row],[Year (Range)]]&gt;=$C$7)*(monthly_mortgage_schedule[[#This Row],[Year (Range)]]&lt;=$C$9),AP190,NA())</f>
        <v>990</v>
      </c>
      <c r="T190" s="214">
        <f>IF((monthly_mortgage_schedule[[#This Row],[Year (Range)]]&gt;=$C$7)*(monthly_mortgage_schedule[[#This Row],[Year (Range)]]&lt;=$C$9),AR190,NA())</f>
        <v>20527.620981558277</v>
      </c>
      <c r="U190" s="214">
        <f>IF((monthly_mortgage_schedule[[#This Row],[Year (Range)]]&gt;=$C$7)*(monthly_mortgage_schedule[[#This Row],[Year (Range)]]&lt;=$C$9),AB190,NA())</f>
        <v>196571.68232628491</v>
      </c>
      <c r="V190" s="214">
        <f>IF((monthly_mortgage_schedule[[#This Row],[Year (Range)]]&gt;=$C$7)*(monthly_mortgage_schedule[[#This Row],[Year (Range)]]&lt;=$C$9),AI190,NA())</f>
        <v>153837.35899645364</v>
      </c>
      <c r="W190" s="187">
        <f t="shared" si="17"/>
        <v>344918.7234596996</v>
      </c>
      <c r="X190" s="4">
        <f t="shared" si="20"/>
        <v>1609.6207094785982</v>
      </c>
      <c r="Y190" s="4">
        <f t="shared" si="18"/>
        <v>1490.4057859848099</v>
      </c>
      <c r="Z190" s="4">
        <f>_xlfn.IFNA(INDEX(additional_mortgage_payments[],MATCH(monthly_mortgage_schedule[[#This Row],[Month]],additional_mortgage_payments[Month],0),3),0)</f>
        <v>0</v>
      </c>
      <c r="AA190" s="4">
        <f>AA189+monthly_mortgage_schedule[[#This Row],[Extra Payments Towards Equity]]</f>
        <v>30000</v>
      </c>
      <c r="AB190" s="4">
        <f>AB189+monthly_mortgage_schedule[[#This Row],[Principal With Extra Principal Payments]]+monthly_mortgage_schedule[[#This Row],[Extra Payments Towards Equity]]</f>
        <v>196571.68232628491</v>
      </c>
      <c r="AC190" s="4">
        <f>monthly_mortgage_schedule[[#This Row],[Cumulative Principal With Extra Principal Payments]]+down_payment_dollars</f>
        <v>256571.68232628491</v>
      </c>
      <c r="AD190" s="200">
        <f t="shared" si="15"/>
        <v>0</v>
      </c>
      <c r="AE19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343428.31767371477</v>
      </c>
      <c r="AF190" s="187">
        <f t="shared" si="21"/>
        <v>387454.54628302227</v>
      </c>
      <c r="AG190" s="4">
        <f>IF(monthly_mortgage_schedule[[#This Row],[Loan Balance (BOY) Without Extra Principal Payments]]&gt;0,monthly_mortgage_schedule[[#This Row],[Loan Balance (BOY) Without Extra Principal Payments]]*monthly_interest_rate,0)</f>
        <v>1808.1212159874374</v>
      </c>
      <c r="AH190" s="4">
        <f>IF(monthly_mortgage_schedule[[#This Row],[Loan Balance (BOY) Without Extra Principal Payments]]&gt;1,monthly_principal_and_interest-monthly_mortgage_schedule[[#This Row],[Interest Without Extra Principal Payments]],0)</f>
        <v>1291.9052794759707</v>
      </c>
      <c r="AI190" s="4">
        <f>AI189+monthly_mortgage_schedule[[#This Row],[Principal Without Extra Principal Payments]]</f>
        <v>153837.35899645364</v>
      </c>
      <c r="AJ190" s="4">
        <f>monthly_mortgage_schedule[[#This Row],[Cumulative Principal Without Extra Principal Payments]]+down_payment_dollars</f>
        <v>213837.35899645364</v>
      </c>
      <c r="AK190" s="200">
        <f t="shared" si="16"/>
        <v>0</v>
      </c>
      <c r="AL19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386162.64100354631</v>
      </c>
      <c r="AN190" s="196">
        <f>monthly_mortgage_schedule[[#This Row],[Extra Payments Towards Equity]]+AN189+IF(monthly_mortgage_schedule[[#This Row],[Interest With Extra Principal Payments]]&gt;0,monthly_mortgage_schedule[[#This Row],[Interest Without Extra Principal Payments]]-monthly_mortgage_schedule[[#This Row],[Interest With Extra Principal Payments]],0)</f>
        <v>42734.323329831401</v>
      </c>
      <c r="AO190" s="4">
        <f>AO189+IF(monthly_mortgage_schedule[[#This Row],[Interest With Extra Principal Payments]]&gt;0,monthly_mortgage_schedule[[#This Row],[Interest Without Extra Principal Payments]]-monthly_mortgage_schedule[[#This Row],[Interest With Extra Principal Payments]],0)</f>
        <v>12734.323329831401</v>
      </c>
      <c r="AP190" s="4">
        <f>AP189+monthly_mortgage_schedule[[#This Row],[PMI Without Extra Principal Payments]]-monthly_mortgage_schedule[[#This Row],[PMI with Additional Payments]]</f>
        <v>990</v>
      </c>
      <c r="AQ190" s="4">
        <f t="shared" si="19"/>
        <v>50527.620981558277</v>
      </c>
      <c r="AR190" s="4">
        <f>Table60[[#This Row],[Cumulative Investments]]-monthly_mortgage_schedule[[#This Row],[Cumulative Extra Payments Towards Equity]]</f>
        <v>20527.620981558277</v>
      </c>
    </row>
    <row r="191" spans="9:44" x14ac:dyDescent="0.25">
      <c r="I191">
        <v>174</v>
      </c>
      <c r="J191">
        <f>IF(MOD(ROWS($J$18:J190),12)=0,J190+1,J190)</f>
        <v>2036</v>
      </c>
      <c r="K191" s="198">
        <f>IF(M191="#N/A",NA(),monthly_mortgage_schedule[[#This Row],[Month]])</f>
        <v>174</v>
      </c>
      <c r="L191" s="198">
        <f>IF(monthly_mortgage_schedule[[#This Row],[Calendar Year]]&gt;=$C$7,monthly_mortgage_schedule[[#This Row],[Calendar Year]],NA())</f>
        <v>2036</v>
      </c>
      <c r="M191" s="199">
        <f>IF((monthly_mortgage_schedule[[#This Row],[Calendar Year]]&gt;=$C$7)*(monthly_mortgage_schedule[[#This Row],[Calendar Year]]&lt;=$C$9),monthly_mortgage_schedule[[#This Row],[Begin Year (Range)]],NA())</f>
        <v>2036</v>
      </c>
      <c r="N191" s="214">
        <f>IF((monthly_mortgage_schedule[[#This Row],[Year (Range)]]&gt;=$C$7)*(monthly_mortgage_schedule[[#This Row],[Year (Range)]]&lt;=$C$9),X191,NA())</f>
        <v>1602.6654824773357</v>
      </c>
      <c r="O191" s="214">
        <f>IF((monthly_mortgage_schedule[[#This Row],[Year (Range)]]&gt;=$C$7)*(monthly_mortgage_schedule[[#This Row],[Year (Range)]]&lt;=$C$9),Y191,NA())</f>
        <v>1497.3610129860724</v>
      </c>
      <c r="P191" s="214">
        <f>IF((monthly_mortgage_schedule[[#This Row],[Year (Range)]]&gt;=$C$7)*(monthly_mortgage_schedule[[#This Row],[Year (Range)]]&lt;=$C$9),AG191,NA())</f>
        <v>1802.0923246832162</v>
      </c>
      <c r="Q191" s="214">
        <f>IF((monthly_mortgage_schedule[[#This Row],[Year (Range)]]&gt;=$C$7)*(monthly_mortgage_schedule[[#This Row],[Year (Range)]]&lt;=$C$9),AH191,NA())</f>
        <v>1297.9341707801918</v>
      </c>
      <c r="R191" s="214">
        <f>IF((monthly_mortgage_schedule[[#This Row],[Year (Range)]]&gt;=$C$7)*(monthly_mortgage_schedule[[#This Row],[Year (Range)]]&lt;=$C$9),AO191,NA())</f>
        <v>12933.750172037282</v>
      </c>
      <c r="S191" s="214">
        <f>IF((monthly_mortgage_schedule[[#This Row],[Year (Range)]]&gt;=$C$7)*(monthly_mortgage_schedule[[#This Row],[Year (Range)]]&lt;=$C$9),AP191,NA())</f>
        <v>990</v>
      </c>
      <c r="T191" s="214">
        <f>IF((monthly_mortgage_schedule[[#This Row],[Year (Range)]]&gt;=$C$7)*(monthly_mortgage_schedule[[#This Row],[Year (Range)]]&lt;=$C$9),AR191,NA())</f>
        <v>20864.471788101997</v>
      </c>
      <c r="U191" s="214">
        <f>IF((monthly_mortgage_schedule[[#This Row],[Year (Range)]]&gt;=$C$7)*(monthly_mortgage_schedule[[#This Row],[Year (Range)]]&lt;=$C$9),AB191,NA())</f>
        <v>198069.04333927098</v>
      </c>
      <c r="V191" s="214">
        <f>IF((monthly_mortgage_schedule[[#This Row],[Year (Range)]]&gt;=$C$7)*(monthly_mortgage_schedule[[#This Row],[Year (Range)]]&lt;=$C$9),AI191,NA())</f>
        <v>155135.29316723382</v>
      </c>
      <c r="W191" s="187">
        <f t="shared" si="17"/>
        <v>343428.31767371477</v>
      </c>
      <c r="X191" s="4">
        <f t="shared" si="20"/>
        <v>1602.6654824773357</v>
      </c>
      <c r="Y191" s="4">
        <f t="shared" si="18"/>
        <v>1497.3610129860724</v>
      </c>
      <c r="Z191" s="4">
        <f>_xlfn.IFNA(INDEX(additional_mortgage_payments[],MATCH(monthly_mortgage_schedule[[#This Row],[Month]],additional_mortgage_payments[Month],0),3),0)</f>
        <v>0</v>
      </c>
      <c r="AA191" s="4">
        <f>AA190+monthly_mortgage_schedule[[#This Row],[Extra Payments Towards Equity]]</f>
        <v>30000</v>
      </c>
      <c r="AB191" s="4">
        <f>AB190+monthly_mortgage_schedule[[#This Row],[Principal With Extra Principal Payments]]+monthly_mortgage_schedule[[#This Row],[Extra Payments Towards Equity]]</f>
        <v>198069.04333927098</v>
      </c>
      <c r="AC191" s="4">
        <f>monthly_mortgage_schedule[[#This Row],[Cumulative Principal With Extra Principal Payments]]+down_payment_dollars</f>
        <v>258069.04333927098</v>
      </c>
      <c r="AD191" s="200">
        <f t="shared" si="15"/>
        <v>0</v>
      </c>
      <c r="AE19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341930.95666072873</v>
      </c>
      <c r="AF191" s="187">
        <f t="shared" si="21"/>
        <v>386162.64100354631</v>
      </c>
      <c r="AG191" s="4">
        <f>IF(monthly_mortgage_schedule[[#This Row],[Loan Balance (BOY) Without Extra Principal Payments]]&gt;0,monthly_mortgage_schedule[[#This Row],[Loan Balance (BOY) Without Extra Principal Payments]]*monthly_interest_rate,0)</f>
        <v>1802.0923246832162</v>
      </c>
      <c r="AH191" s="4">
        <f>IF(monthly_mortgage_schedule[[#This Row],[Loan Balance (BOY) Without Extra Principal Payments]]&gt;1,monthly_principal_and_interest-monthly_mortgage_schedule[[#This Row],[Interest Without Extra Principal Payments]],0)</f>
        <v>1297.9341707801918</v>
      </c>
      <c r="AI191" s="4">
        <f>AI190+monthly_mortgage_schedule[[#This Row],[Principal Without Extra Principal Payments]]</f>
        <v>155135.29316723382</v>
      </c>
      <c r="AJ191" s="4">
        <f>monthly_mortgage_schedule[[#This Row],[Cumulative Principal Without Extra Principal Payments]]+down_payment_dollars</f>
        <v>215135.29316723382</v>
      </c>
      <c r="AK191" s="200">
        <f t="shared" si="16"/>
        <v>0</v>
      </c>
      <c r="AL19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384864.70683276613</v>
      </c>
      <c r="AN191" s="196">
        <f>monthly_mortgage_schedule[[#This Row],[Extra Payments Towards Equity]]+AN190+IF(monthly_mortgage_schedule[[#This Row],[Interest With Extra Principal Payments]]&gt;0,monthly_mortgage_schedule[[#This Row],[Interest Without Extra Principal Payments]]-monthly_mortgage_schedule[[#This Row],[Interest With Extra Principal Payments]],0)</f>
        <v>42933.750172037282</v>
      </c>
      <c r="AO191" s="4">
        <f>AO190+IF(monthly_mortgage_schedule[[#This Row],[Interest With Extra Principal Payments]]&gt;0,monthly_mortgage_schedule[[#This Row],[Interest Without Extra Principal Payments]]-monthly_mortgage_schedule[[#This Row],[Interest With Extra Principal Payments]],0)</f>
        <v>12933.750172037282</v>
      </c>
      <c r="AP191" s="4">
        <f>AP190+monthly_mortgage_schedule[[#This Row],[PMI Without Extra Principal Payments]]-monthly_mortgage_schedule[[#This Row],[PMI with Additional Payments]]</f>
        <v>990</v>
      </c>
      <c r="AQ191" s="4">
        <f t="shared" si="19"/>
        <v>50864.471788101997</v>
      </c>
      <c r="AR191" s="4">
        <f>Table60[[#This Row],[Cumulative Investments]]-monthly_mortgage_schedule[[#This Row],[Cumulative Extra Payments Towards Equity]]</f>
        <v>20864.471788101997</v>
      </c>
    </row>
    <row r="192" spans="9:44" x14ac:dyDescent="0.25">
      <c r="I192">
        <v>175</v>
      </c>
      <c r="J192">
        <f>IF(MOD(ROWS($J$18:J191),12)=0,J191+1,J191)</f>
        <v>2036</v>
      </c>
      <c r="K192" s="198">
        <f>IF(M192="#N/A",NA(),monthly_mortgage_schedule[[#This Row],[Month]])</f>
        <v>175</v>
      </c>
      <c r="L192" s="198">
        <f>IF(monthly_mortgage_schedule[[#This Row],[Calendar Year]]&gt;=$C$7,monthly_mortgage_schedule[[#This Row],[Calendar Year]],NA())</f>
        <v>2036</v>
      </c>
      <c r="M192" s="199">
        <f>IF((monthly_mortgage_schedule[[#This Row],[Calendar Year]]&gt;=$C$7)*(monthly_mortgage_schedule[[#This Row],[Calendar Year]]&lt;=$C$9),monthly_mortgage_schedule[[#This Row],[Begin Year (Range)]],NA())</f>
        <v>2036</v>
      </c>
      <c r="N192" s="214">
        <f>IF((monthly_mortgage_schedule[[#This Row],[Year (Range)]]&gt;=$C$7)*(monthly_mortgage_schedule[[#This Row],[Year (Range)]]&lt;=$C$9),X192,NA())</f>
        <v>1595.6777977500676</v>
      </c>
      <c r="O192" s="214">
        <f>IF((monthly_mortgage_schedule[[#This Row],[Year (Range)]]&gt;=$C$7)*(monthly_mortgage_schedule[[#This Row],[Year (Range)]]&lt;=$C$9),Y192,NA())</f>
        <v>1504.3486977133405</v>
      </c>
      <c r="P192" s="214">
        <f>IF((monthly_mortgage_schedule[[#This Row],[Year (Range)]]&gt;=$C$7)*(monthly_mortgage_schedule[[#This Row],[Year (Range)]]&lt;=$C$9),AG192,NA())</f>
        <v>1796.0352985529087</v>
      </c>
      <c r="Q192" s="214">
        <f>IF((monthly_mortgage_schedule[[#This Row],[Year (Range)]]&gt;=$C$7)*(monthly_mortgage_schedule[[#This Row],[Year (Range)]]&lt;=$C$9),AH192,NA())</f>
        <v>1303.9911969104994</v>
      </c>
      <c r="R192" s="214">
        <f>IF((monthly_mortgage_schedule[[#This Row],[Year (Range)]]&gt;=$C$7)*(monthly_mortgage_schedule[[#This Row],[Year (Range)]]&lt;=$C$9),AO192,NA())</f>
        <v>13134.107672840124</v>
      </c>
      <c r="S192" s="214">
        <f>IF((monthly_mortgage_schedule[[#This Row],[Year (Range)]]&gt;=$C$7)*(monthly_mortgage_schedule[[#This Row],[Year (Range)]]&lt;=$C$9),AP192,NA())</f>
        <v>990</v>
      </c>
      <c r="T192" s="214">
        <f>IF((monthly_mortgage_schedule[[#This Row],[Year (Range)]]&gt;=$C$7)*(monthly_mortgage_schedule[[#This Row],[Year (Range)]]&lt;=$C$9),AR192,NA())</f>
        <v>21203.568266689341</v>
      </c>
      <c r="U192" s="214">
        <f>IF((monthly_mortgage_schedule[[#This Row],[Year (Range)]]&gt;=$C$7)*(monthly_mortgage_schedule[[#This Row],[Year (Range)]]&lt;=$C$9),AB192,NA())</f>
        <v>199573.39203698433</v>
      </c>
      <c r="V192" s="214">
        <f>IF((monthly_mortgage_schedule[[#This Row],[Year (Range)]]&gt;=$C$7)*(monthly_mortgage_schedule[[#This Row],[Year (Range)]]&lt;=$C$9),AI192,NA())</f>
        <v>156439.28436414432</v>
      </c>
      <c r="W192" s="187">
        <f t="shared" si="17"/>
        <v>341930.95666072873</v>
      </c>
      <c r="X192" s="4">
        <f t="shared" si="20"/>
        <v>1595.6777977500676</v>
      </c>
      <c r="Y192" s="4">
        <f t="shared" si="18"/>
        <v>1504.3486977133405</v>
      </c>
      <c r="Z192" s="4">
        <f>_xlfn.IFNA(INDEX(additional_mortgage_payments[],MATCH(monthly_mortgage_schedule[[#This Row],[Month]],additional_mortgage_payments[Month],0),3),0)</f>
        <v>0</v>
      </c>
      <c r="AA192" s="4">
        <f>AA191+monthly_mortgage_schedule[[#This Row],[Extra Payments Towards Equity]]</f>
        <v>30000</v>
      </c>
      <c r="AB192" s="4">
        <f>AB191+monthly_mortgage_schedule[[#This Row],[Principal With Extra Principal Payments]]+monthly_mortgage_schedule[[#This Row],[Extra Payments Towards Equity]]</f>
        <v>199573.39203698433</v>
      </c>
      <c r="AC192" s="4">
        <f>monthly_mortgage_schedule[[#This Row],[Cumulative Principal With Extra Principal Payments]]+down_payment_dollars</f>
        <v>259573.39203698433</v>
      </c>
      <c r="AD192" s="200">
        <f t="shared" si="15"/>
        <v>0</v>
      </c>
      <c r="AE19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340426.60796301538</v>
      </c>
      <c r="AF192" s="187">
        <f t="shared" si="21"/>
        <v>384864.70683276613</v>
      </c>
      <c r="AG192" s="4">
        <f>IF(monthly_mortgage_schedule[[#This Row],[Loan Balance (BOY) Without Extra Principal Payments]]&gt;0,monthly_mortgage_schedule[[#This Row],[Loan Balance (BOY) Without Extra Principal Payments]]*monthly_interest_rate,0)</f>
        <v>1796.0352985529087</v>
      </c>
      <c r="AH192" s="4">
        <f>IF(monthly_mortgage_schedule[[#This Row],[Loan Balance (BOY) Without Extra Principal Payments]]&gt;1,monthly_principal_and_interest-monthly_mortgage_schedule[[#This Row],[Interest Without Extra Principal Payments]],0)</f>
        <v>1303.9911969104994</v>
      </c>
      <c r="AI192" s="4">
        <f>AI191+monthly_mortgage_schedule[[#This Row],[Principal Without Extra Principal Payments]]</f>
        <v>156439.28436414432</v>
      </c>
      <c r="AJ192" s="4">
        <f>monthly_mortgage_schedule[[#This Row],[Cumulative Principal Without Extra Principal Payments]]+down_payment_dollars</f>
        <v>216439.28436414432</v>
      </c>
      <c r="AK192" s="200">
        <f t="shared" si="16"/>
        <v>0</v>
      </c>
      <c r="AL19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383560.71563585562</v>
      </c>
      <c r="AN192" s="196">
        <f>monthly_mortgage_schedule[[#This Row],[Extra Payments Towards Equity]]+AN191+IF(monthly_mortgage_schedule[[#This Row],[Interest With Extra Principal Payments]]&gt;0,monthly_mortgage_schedule[[#This Row],[Interest Without Extra Principal Payments]]-monthly_mortgage_schedule[[#This Row],[Interest With Extra Principal Payments]],0)</f>
        <v>43134.107672840124</v>
      </c>
      <c r="AO192" s="4">
        <f>AO191+IF(monthly_mortgage_schedule[[#This Row],[Interest With Extra Principal Payments]]&gt;0,monthly_mortgage_schedule[[#This Row],[Interest Without Extra Principal Payments]]-monthly_mortgage_schedule[[#This Row],[Interest With Extra Principal Payments]],0)</f>
        <v>13134.107672840124</v>
      </c>
      <c r="AP192" s="4">
        <f>AP191+monthly_mortgage_schedule[[#This Row],[PMI Without Extra Principal Payments]]-monthly_mortgage_schedule[[#This Row],[PMI with Additional Payments]]</f>
        <v>990</v>
      </c>
      <c r="AQ192" s="4">
        <f t="shared" si="19"/>
        <v>51203.568266689341</v>
      </c>
      <c r="AR192" s="4">
        <f>Table60[[#This Row],[Cumulative Investments]]-monthly_mortgage_schedule[[#This Row],[Cumulative Extra Payments Towards Equity]]</f>
        <v>21203.568266689341</v>
      </c>
    </row>
    <row r="193" spans="9:44" x14ac:dyDescent="0.25">
      <c r="I193">
        <v>176</v>
      </c>
      <c r="J193">
        <f>IF(MOD(ROWS($J$18:J192),12)=0,J192+1,J192)</f>
        <v>2036</v>
      </c>
      <c r="K193" s="198">
        <f>IF(M193="#N/A",NA(),monthly_mortgage_schedule[[#This Row],[Month]])</f>
        <v>176</v>
      </c>
      <c r="L193" s="198">
        <f>IF(monthly_mortgage_schedule[[#This Row],[Calendar Year]]&gt;=$C$7,monthly_mortgage_schedule[[#This Row],[Calendar Year]],NA())</f>
        <v>2036</v>
      </c>
      <c r="M193" s="199">
        <f>IF((monthly_mortgage_schedule[[#This Row],[Calendar Year]]&gt;=$C$7)*(monthly_mortgage_schedule[[#This Row],[Calendar Year]]&lt;=$C$9),monthly_mortgage_schedule[[#This Row],[Begin Year (Range)]],NA())</f>
        <v>2036</v>
      </c>
      <c r="N193" s="214">
        <f>IF((monthly_mortgage_schedule[[#This Row],[Year (Range)]]&gt;=$C$7)*(monthly_mortgage_schedule[[#This Row],[Year (Range)]]&lt;=$C$9),X193,NA())</f>
        <v>1588.6575038274052</v>
      </c>
      <c r="O193" s="214">
        <f>IF((monthly_mortgage_schedule[[#This Row],[Year (Range)]]&gt;=$C$7)*(monthly_mortgage_schedule[[#This Row],[Year (Range)]]&lt;=$C$9),Y193,NA())</f>
        <v>1511.3689916360029</v>
      </c>
      <c r="P193" s="214">
        <f>IF((monthly_mortgage_schedule[[#This Row],[Year (Range)]]&gt;=$C$7)*(monthly_mortgage_schedule[[#This Row],[Year (Range)]]&lt;=$C$9),AG193,NA())</f>
        <v>1789.9500063006597</v>
      </c>
      <c r="Q193" s="214">
        <f>IF((monthly_mortgage_schedule[[#This Row],[Year (Range)]]&gt;=$C$7)*(monthly_mortgage_schedule[[#This Row],[Year (Range)]]&lt;=$C$9),AH193,NA())</f>
        <v>1310.0764891627484</v>
      </c>
      <c r="R193" s="214">
        <f>IF((monthly_mortgage_schedule[[#This Row],[Year (Range)]]&gt;=$C$7)*(monthly_mortgage_schedule[[#This Row],[Year (Range)]]&lt;=$C$9),AO193,NA())</f>
        <v>13335.400175313378</v>
      </c>
      <c r="S193" s="214">
        <f>IF((monthly_mortgage_schedule[[#This Row],[Year (Range)]]&gt;=$C$7)*(monthly_mortgage_schedule[[#This Row],[Year (Range)]]&lt;=$C$9),AP193,NA())</f>
        <v>990</v>
      </c>
      <c r="T193" s="214">
        <f>IF((monthly_mortgage_schedule[[#This Row],[Year (Range)]]&gt;=$C$7)*(monthly_mortgage_schedule[[#This Row],[Year (Range)]]&lt;=$C$9),AR193,NA())</f>
        <v>21544.925388467265</v>
      </c>
      <c r="U193" s="214">
        <f>IF((monthly_mortgage_schedule[[#This Row],[Year (Range)]]&gt;=$C$7)*(monthly_mortgage_schedule[[#This Row],[Year (Range)]]&lt;=$C$9),AB193,NA())</f>
        <v>201084.76102862033</v>
      </c>
      <c r="V193" s="214">
        <f>IF((monthly_mortgage_schedule[[#This Row],[Year (Range)]]&gt;=$C$7)*(monthly_mortgage_schedule[[#This Row],[Year (Range)]]&lt;=$C$9),AI193,NA())</f>
        <v>157749.36085330707</v>
      </c>
      <c r="W193" s="187">
        <f t="shared" si="17"/>
        <v>340426.60796301538</v>
      </c>
      <c r="X193" s="4">
        <f t="shared" si="20"/>
        <v>1588.6575038274052</v>
      </c>
      <c r="Y193" s="4">
        <f t="shared" si="18"/>
        <v>1511.3689916360029</v>
      </c>
      <c r="Z193" s="4">
        <f>_xlfn.IFNA(INDEX(additional_mortgage_payments[],MATCH(monthly_mortgage_schedule[[#This Row],[Month]],additional_mortgage_payments[Month],0),3),0)</f>
        <v>0</v>
      </c>
      <c r="AA193" s="4">
        <f>AA192+monthly_mortgage_schedule[[#This Row],[Extra Payments Towards Equity]]</f>
        <v>30000</v>
      </c>
      <c r="AB193" s="4">
        <f>AB192+monthly_mortgage_schedule[[#This Row],[Principal With Extra Principal Payments]]+monthly_mortgage_schedule[[#This Row],[Extra Payments Towards Equity]]</f>
        <v>201084.76102862033</v>
      </c>
      <c r="AC193" s="4">
        <f>monthly_mortgage_schedule[[#This Row],[Cumulative Principal With Extra Principal Payments]]+down_payment_dollars</f>
        <v>261084.76102862033</v>
      </c>
      <c r="AD193" s="200">
        <f t="shared" si="15"/>
        <v>0</v>
      </c>
      <c r="AE19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338915.23897137935</v>
      </c>
      <c r="AF193" s="187">
        <f t="shared" si="21"/>
        <v>383560.71563585562</v>
      </c>
      <c r="AG193" s="4">
        <f>IF(monthly_mortgage_schedule[[#This Row],[Loan Balance (BOY) Without Extra Principal Payments]]&gt;0,monthly_mortgage_schedule[[#This Row],[Loan Balance (BOY) Without Extra Principal Payments]]*monthly_interest_rate,0)</f>
        <v>1789.9500063006597</v>
      </c>
      <c r="AH193" s="4">
        <f>IF(monthly_mortgage_schedule[[#This Row],[Loan Balance (BOY) Without Extra Principal Payments]]&gt;1,monthly_principal_and_interest-monthly_mortgage_schedule[[#This Row],[Interest Without Extra Principal Payments]],0)</f>
        <v>1310.0764891627484</v>
      </c>
      <c r="AI193" s="4">
        <f>AI192+monthly_mortgage_schedule[[#This Row],[Principal Without Extra Principal Payments]]</f>
        <v>157749.36085330707</v>
      </c>
      <c r="AJ193" s="4">
        <f>monthly_mortgage_schedule[[#This Row],[Cumulative Principal Without Extra Principal Payments]]+down_payment_dollars</f>
        <v>217749.36085330707</v>
      </c>
      <c r="AK193" s="200">
        <f t="shared" si="16"/>
        <v>0</v>
      </c>
      <c r="AL19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382250.63914669288</v>
      </c>
      <c r="AN193" s="196">
        <f>monthly_mortgage_schedule[[#This Row],[Extra Payments Towards Equity]]+AN192+IF(monthly_mortgage_schedule[[#This Row],[Interest With Extra Principal Payments]]&gt;0,monthly_mortgage_schedule[[#This Row],[Interest Without Extra Principal Payments]]-monthly_mortgage_schedule[[#This Row],[Interest With Extra Principal Payments]],0)</f>
        <v>43335.400175313378</v>
      </c>
      <c r="AO193" s="4">
        <f>AO192+IF(monthly_mortgage_schedule[[#This Row],[Interest With Extra Principal Payments]]&gt;0,monthly_mortgage_schedule[[#This Row],[Interest Without Extra Principal Payments]]-monthly_mortgage_schedule[[#This Row],[Interest With Extra Principal Payments]],0)</f>
        <v>13335.400175313378</v>
      </c>
      <c r="AP193" s="4">
        <f>AP192+monthly_mortgage_schedule[[#This Row],[PMI Without Extra Principal Payments]]-monthly_mortgage_schedule[[#This Row],[PMI with Additional Payments]]</f>
        <v>990</v>
      </c>
      <c r="AQ193" s="4">
        <f t="shared" si="19"/>
        <v>51544.925388467265</v>
      </c>
      <c r="AR193" s="4">
        <f>Table60[[#This Row],[Cumulative Investments]]-monthly_mortgage_schedule[[#This Row],[Cumulative Extra Payments Towards Equity]]</f>
        <v>21544.925388467265</v>
      </c>
    </row>
    <row r="194" spans="9:44" x14ac:dyDescent="0.25">
      <c r="I194">
        <v>177</v>
      </c>
      <c r="J194">
        <f>IF(MOD(ROWS($J$18:J193),12)=0,J193+1,J193)</f>
        <v>2036</v>
      </c>
      <c r="K194" s="198">
        <f>IF(M194="#N/A",NA(),monthly_mortgage_schedule[[#This Row],[Month]])</f>
        <v>177</v>
      </c>
      <c r="L194" s="198">
        <f>IF(monthly_mortgage_schedule[[#This Row],[Calendar Year]]&gt;=$C$7,monthly_mortgage_schedule[[#This Row],[Calendar Year]],NA())</f>
        <v>2036</v>
      </c>
      <c r="M194" s="199">
        <f>IF((monthly_mortgage_schedule[[#This Row],[Calendar Year]]&gt;=$C$7)*(monthly_mortgage_schedule[[#This Row],[Calendar Year]]&lt;=$C$9),monthly_mortgage_schedule[[#This Row],[Begin Year (Range)]],NA())</f>
        <v>2036</v>
      </c>
      <c r="N194" s="214">
        <f>IF((monthly_mortgage_schedule[[#This Row],[Year (Range)]]&gt;=$C$7)*(monthly_mortgage_schedule[[#This Row],[Year (Range)]]&lt;=$C$9),X194,NA())</f>
        <v>1581.6044485331038</v>
      </c>
      <c r="O194" s="214">
        <f>IF((monthly_mortgage_schedule[[#This Row],[Year (Range)]]&gt;=$C$7)*(monthly_mortgage_schedule[[#This Row],[Year (Range)]]&lt;=$C$9),Y194,NA())</f>
        <v>1518.4220469303043</v>
      </c>
      <c r="P194" s="214">
        <f>IF((monthly_mortgage_schedule[[#This Row],[Year (Range)]]&gt;=$C$7)*(monthly_mortgage_schedule[[#This Row],[Year (Range)]]&lt;=$C$9),AG194,NA())</f>
        <v>1783.8363160179003</v>
      </c>
      <c r="Q194" s="214">
        <f>IF((monthly_mortgage_schedule[[#This Row],[Year (Range)]]&gt;=$C$7)*(monthly_mortgage_schedule[[#This Row],[Year (Range)]]&lt;=$C$9),AH194,NA())</f>
        <v>1316.1901794455077</v>
      </c>
      <c r="R194" s="214">
        <f>IF((monthly_mortgage_schedule[[#This Row],[Year (Range)]]&gt;=$C$7)*(monthly_mortgage_schedule[[#This Row],[Year (Range)]]&lt;=$C$9),AO194,NA())</f>
        <v>13537.632042798174</v>
      </c>
      <c r="S194" s="214">
        <f>IF((monthly_mortgage_schedule[[#This Row],[Year (Range)]]&gt;=$C$7)*(monthly_mortgage_schedule[[#This Row],[Year (Range)]]&lt;=$C$9),AP194,NA())</f>
        <v>990</v>
      </c>
      <c r="T194" s="214">
        <f>IF((monthly_mortgage_schedule[[#This Row],[Year (Range)]]&gt;=$C$7)*(monthly_mortgage_schedule[[#This Row],[Year (Range)]]&lt;=$C$9),AR194,NA())</f>
        <v>21888.558224390377</v>
      </c>
      <c r="U194" s="214">
        <f>IF((monthly_mortgage_schedule[[#This Row],[Year (Range)]]&gt;=$C$7)*(monthly_mortgage_schedule[[#This Row],[Year (Range)]]&lt;=$C$9),AB194,NA())</f>
        <v>202603.18307555062</v>
      </c>
      <c r="V194" s="214">
        <f>IF((monthly_mortgage_schedule[[#This Row],[Year (Range)]]&gt;=$C$7)*(monthly_mortgage_schedule[[#This Row],[Year (Range)]]&lt;=$C$9),AI194,NA())</f>
        <v>159065.55103275258</v>
      </c>
      <c r="W194" s="187">
        <f t="shared" si="17"/>
        <v>338915.23897137935</v>
      </c>
      <c r="X194" s="4">
        <f t="shared" si="20"/>
        <v>1581.6044485331038</v>
      </c>
      <c r="Y194" s="4">
        <f t="shared" si="18"/>
        <v>1518.4220469303043</v>
      </c>
      <c r="Z194" s="4">
        <f>_xlfn.IFNA(INDEX(additional_mortgage_payments[],MATCH(monthly_mortgage_schedule[[#This Row],[Month]],additional_mortgage_payments[Month],0),3),0)</f>
        <v>0</v>
      </c>
      <c r="AA194" s="4">
        <f>AA193+monthly_mortgage_schedule[[#This Row],[Extra Payments Towards Equity]]</f>
        <v>30000</v>
      </c>
      <c r="AB194" s="4">
        <f>AB193+monthly_mortgage_schedule[[#This Row],[Principal With Extra Principal Payments]]+monthly_mortgage_schedule[[#This Row],[Extra Payments Towards Equity]]</f>
        <v>202603.18307555062</v>
      </c>
      <c r="AC194" s="4">
        <f>monthly_mortgage_schedule[[#This Row],[Cumulative Principal With Extra Principal Payments]]+down_payment_dollars</f>
        <v>262603.18307555059</v>
      </c>
      <c r="AD194" s="200">
        <f t="shared" si="15"/>
        <v>0</v>
      </c>
      <c r="AE19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337396.81692444906</v>
      </c>
      <c r="AF194" s="187">
        <f t="shared" si="21"/>
        <v>382250.63914669288</v>
      </c>
      <c r="AG194" s="4">
        <f>IF(monthly_mortgage_schedule[[#This Row],[Loan Balance (BOY) Without Extra Principal Payments]]&gt;0,monthly_mortgage_schedule[[#This Row],[Loan Balance (BOY) Without Extra Principal Payments]]*monthly_interest_rate,0)</f>
        <v>1783.8363160179003</v>
      </c>
      <c r="AH194" s="4">
        <f>IF(monthly_mortgage_schedule[[#This Row],[Loan Balance (BOY) Without Extra Principal Payments]]&gt;1,monthly_principal_and_interest-monthly_mortgage_schedule[[#This Row],[Interest Without Extra Principal Payments]],0)</f>
        <v>1316.1901794455077</v>
      </c>
      <c r="AI194" s="4">
        <f>AI193+monthly_mortgage_schedule[[#This Row],[Principal Without Extra Principal Payments]]</f>
        <v>159065.55103275258</v>
      </c>
      <c r="AJ194" s="4">
        <f>monthly_mortgage_schedule[[#This Row],[Cumulative Principal Without Extra Principal Payments]]+down_payment_dollars</f>
        <v>219065.55103275258</v>
      </c>
      <c r="AK194" s="200">
        <f t="shared" si="16"/>
        <v>0</v>
      </c>
      <c r="AL19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380934.44896724739</v>
      </c>
      <c r="AN194" s="196">
        <f>monthly_mortgage_schedule[[#This Row],[Extra Payments Towards Equity]]+AN193+IF(monthly_mortgage_schedule[[#This Row],[Interest With Extra Principal Payments]]&gt;0,monthly_mortgage_schedule[[#This Row],[Interest Without Extra Principal Payments]]-monthly_mortgage_schedule[[#This Row],[Interest With Extra Principal Payments]],0)</f>
        <v>43537.632042798177</v>
      </c>
      <c r="AO194" s="4">
        <f>AO193+IF(monthly_mortgage_schedule[[#This Row],[Interest With Extra Principal Payments]]&gt;0,monthly_mortgage_schedule[[#This Row],[Interest Without Extra Principal Payments]]-monthly_mortgage_schedule[[#This Row],[Interest With Extra Principal Payments]],0)</f>
        <v>13537.632042798174</v>
      </c>
      <c r="AP194" s="4">
        <f>AP193+monthly_mortgage_schedule[[#This Row],[PMI Without Extra Principal Payments]]-monthly_mortgage_schedule[[#This Row],[PMI with Additional Payments]]</f>
        <v>990</v>
      </c>
      <c r="AQ194" s="4">
        <f t="shared" si="19"/>
        <v>51888.558224390377</v>
      </c>
      <c r="AR194" s="4">
        <f>Table60[[#This Row],[Cumulative Investments]]-monthly_mortgage_schedule[[#This Row],[Cumulative Extra Payments Towards Equity]]</f>
        <v>21888.558224390377</v>
      </c>
    </row>
    <row r="195" spans="9:44" x14ac:dyDescent="0.25">
      <c r="I195">
        <v>178</v>
      </c>
      <c r="J195">
        <f>IF(MOD(ROWS($J$18:J194),12)=0,J194+1,J194)</f>
        <v>2036</v>
      </c>
      <c r="K195" s="198">
        <f>IF(M195="#N/A",NA(),monthly_mortgage_schedule[[#This Row],[Month]])</f>
        <v>178</v>
      </c>
      <c r="L195" s="198">
        <f>IF(monthly_mortgage_schedule[[#This Row],[Calendar Year]]&gt;=$C$7,monthly_mortgage_schedule[[#This Row],[Calendar Year]],NA())</f>
        <v>2036</v>
      </c>
      <c r="M195" s="199">
        <f>IF((monthly_mortgage_schedule[[#This Row],[Calendar Year]]&gt;=$C$7)*(monthly_mortgage_schedule[[#This Row],[Calendar Year]]&lt;=$C$9),monthly_mortgage_schedule[[#This Row],[Begin Year (Range)]],NA())</f>
        <v>2036</v>
      </c>
      <c r="N195" s="214">
        <f>IF((monthly_mortgage_schedule[[#This Row],[Year (Range)]]&gt;=$C$7)*(monthly_mortgage_schedule[[#This Row],[Year (Range)]]&lt;=$C$9),X195,NA())</f>
        <v>1574.5184789807624</v>
      </c>
      <c r="O195" s="214">
        <f>IF((monthly_mortgage_schedule[[#This Row],[Year (Range)]]&gt;=$C$7)*(monthly_mortgage_schedule[[#This Row],[Year (Range)]]&lt;=$C$9),Y195,NA())</f>
        <v>1525.5080164826456</v>
      </c>
      <c r="P195" s="214">
        <f>IF((monthly_mortgage_schedule[[#This Row],[Year (Range)]]&gt;=$C$7)*(monthly_mortgage_schedule[[#This Row],[Year (Range)]]&lt;=$C$9),AG195,NA())</f>
        <v>1777.6940951804879</v>
      </c>
      <c r="Q195" s="214">
        <f>IF((monthly_mortgage_schedule[[#This Row],[Year (Range)]]&gt;=$C$7)*(monthly_mortgage_schedule[[#This Row],[Year (Range)]]&lt;=$C$9),AH195,NA())</f>
        <v>1322.3324002829202</v>
      </c>
      <c r="R195" s="214">
        <f>IF((monthly_mortgage_schedule[[#This Row],[Year (Range)]]&gt;=$C$7)*(monthly_mortgage_schedule[[#This Row],[Year (Range)]]&lt;=$C$9),AO195,NA())</f>
        <v>13740.807658997899</v>
      </c>
      <c r="S195" s="214">
        <f>IF((monthly_mortgage_schedule[[#This Row],[Year (Range)]]&gt;=$C$7)*(monthly_mortgage_schedule[[#This Row],[Year (Range)]]&lt;=$C$9),AP195,NA())</f>
        <v>990</v>
      </c>
      <c r="T195" s="214">
        <f>IF((monthly_mortgage_schedule[[#This Row],[Year (Range)]]&gt;=$C$7)*(monthly_mortgage_schedule[[#This Row],[Year (Range)]]&lt;=$C$9),AR195,NA())</f>
        <v>22234.481945886313</v>
      </c>
      <c r="U195" s="214">
        <f>IF((monthly_mortgage_schedule[[#This Row],[Year (Range)]]&gt;=$C$7)*(monthly_mortgage_schedule[[#This Row],[Year (Range)]]&lt;=$C$9),AB195,NA())</f>
        <v>204128.69109203326</v>
      </c>
      <c r="V195" s="214">
        <f>IF((monthly_mortgage_schedule[[#This Row],[Year (Range)]]&gt;=$C$7)*(monthly_mortgage_schedule[[#This Row],[Year (Range)]]&lt;=$C$9),AI195,NA())</f>
        <v>160387.88343303552</v>
      </c>
      <c r="W195" s="187">
        <f t="shared" si="17"/>
        <v>337396.81692444906</v>
      </c>
      <c r="X195" s="4">
        <f t="shared" si="20"/>
        <v>1574.5184789807624</v>
      </c>
      <c r="Y195" s="4">
        <f t="shared" si="18"/>
        <v>1525.5080164826456</v>
      </c>
      <c r="Z195" s="4">
        <f>_xlfn.IFNA(INDEX(additional_mortgage_payments[],MATCH(monthly_mortgage_schedule[[#This Row],[Month]],additional_mortgage_payments[Month],0),3),0)</f>
        <v>0</v>
      </c>
      <c r="AA195" s="4">
        <f>AA194+monthly_mortgage_schedule[[#This Row],[Extra Payments Towards Equity]]</f>
        <v>30000</v>
      </c>
      <c r="AB195" s="4">
        <f>AB194+monthly_mortgage_schedule[[#This Row],[Principal With Extra Principal Payments]]+monthly_mortgage_schedule[[#This Row],[Extra Payments Towards Equity]]</f>
        <v>204128.69109203326</v>
      </c>
      <c r="AC195" s="4">
        <f>monthly_mortgage_schedule[[#This Row],[Cumulative Principal With Extra Principal Payments]]+down_payment_dollars</f>
        <v>264128.69109203329</v>
      </c>
      <c r="AD195" s="200">
        <f t="shared" si="15"/>
        <v>0</v>
      </c>
      <c r="AE19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335871.30890796642</v>
      </c>
      <c r="AF195" s="187">
        <f t="shared" si="21"/>
        <v>380934.44896724739</v>
      </c>
      <c r="AG195" s="4">
        <f>IF(monthly_mortgage_schedule[[#This Row],[Loan Balance (BOY) Without Extra Principal Payments]]&gt;0,monthly_mortgage_schedule[[#This Row],[Loan Balance (BOY) Without Extra Principal Payments]]*monthly_interest_rate,0)</f>
        <v>1777.6940951804879</v>
      </c>
      <c r="AH195" s="4">
        <f>IF(monthly_mortgage_schedule[[#This Row],[Loan Balance (BOY) Without Extra Principal Payments]]&gt;1,monthly_principal_and_interest-monthly_mortgage_schedule[[#This Row],[Interest Without Extra Principal Payments]],0)</f>
        <v>1322.3324002829202</v>
      </c>
      <c r="AI195" s="4">
        <f>AI194+monthly_mortgage_schedule[[#This Row],[Principal Without Extra Principal Payments]]</f>
        <v>160387.88343303552</v>
      </c>
      <c r="AJ195" s="4">
        <f>monthly_mortgage_schedule[[#This Row],[Cumulative Principal Without Extra Principal Payments]]+down_payment_dollars</f>
        <v>220387.88343303552</v>
      </c>
      <c r="AK195" s="200">
        <f t="shared" si="16"/>
        <v>0</v>
      </c>
      <c r="AL19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379612.11656696448</v>
      </c>
      <c r="AN195" s="196">
        <f>monthly_mortgage_schedule[[#This Row],[Extra Payments Towards Equity]]+AN194+IF(monthly_mortgage_schedule[[#This Row],[Interest With Extra Principal Payments]]&gt;0,monthly_mortgage_schedule[[#This Row],[Interest Without Extra Principal Payments]]-monthly_mortgage_schedule[[#This Row],[Interest With Extra Principal Payments]],0)</f>
        <v>43740.807658997903</v>
      </c>
      <c r="AO195" s="4">
        <f>AO194+IF(monthly_mortgage_schedule[[#This Row],[Interest With Extra Principal Payments]]&gt;0,monthly_mortgage_schedule[[#This Row],[Interest Without Extra Principal Payments]]-monthly_mortgage_schedule[[#This Row],[Interest With Extra Principal Payments]],0)</f>
        <v>13740.807658997899</v>
      </c>
      <c r="AP195" s="4">
        <f>AP194+monthly_mortgage_schedule[[#This Row],[PMI Without Extra Principal Payments]]-monthly_mortgage_schedule[[#This Row],[PMI with Additional Payments]]</f>
        <v>990</v>
      </c>
      <c r="AQ195" s="4">
        <f t="shared" si="19"/>
        <v>52234.481945886313</v>
      </c>
      <c r="AR195" s="4">
        <f>Table60[[#This Row],[Cumulative Investments]]-monthly_mortgage_schedule[[#This Row],[Cumulative Extra Payments Towards Equity]]</f>
        <v>22234.481945886313</v>
      </c>
    </row>
    <row r="196" spans="9:44" x14ac:dyDescent="0.25">
      <c r="I196">
        <v>179</v>
      </c>
      <c r="J196">
        <f>IF(MOD(ROWS($J$18:J195),12)=0,J195+1,J195)</f>
        <v>2036</v>
      </c>
      <c r="K196" s="198">
        <f>IF(M196="#N/A",NA(),monthly_mortgage_schedule[[#This Row],[Month]])</f>
        <v>179</v>
      </c>
      <c r="L196" s="198">
        <f>IF(monthly_mortgage_schedule[[#This Row],[Calendar Year]]&gt;=$C$7,monthly_mortgage_schedule[[#This Row],[Calendar Year]],NA())</f>
        <v>2036</v>
      </c>
      <c r="M196" s="199">
        <f>IF((monthly_mortgage_schedule[[#This Row],[Calendar Year]]&gt;=$C$7)*(monthly_mortgage_schedule[[#This Row],[Calendar Year]]&lt;=$C$9),monthly_mortgage_schedule[[#This Row],[Begin Year (Range)]],NA())</f>
        <v>2036</v>
      </c>
      <c r="N196" s="214">
        <f>IF((monthly_mortgage_schedule[[#This Row],[Year (Range)]]&gt;=$C$7)*(monthly_mortgage_schedule[[#This Row],[Year (Range)]]&lt;=$C$9),X196,NA())</f>
        <v>1567.3994415705101</v>
      </c>
      <c r="O196" s="214">
        <f>IF((monthly_mortgage_schedule[[#This Row],[Year (Range)]]&gt;=$C$7)*(monthly_mortgage_schedule[[#This Row],[Year (Range)]]&lt;=$C$9),Y196,NA())</f>
        <v>1532.6270538928979</v>
      </c>
      <c r="P196" s="214">
        <f>IF((monthly_mortgage_schedule[[#This Row],[Year (Range)]]&gt;=$C$7)*(monthly_mortgage_schedule[[#This Row],[Year (Range)]]&lt;=$C$9),AG196,NA())</f>
        <v>1771.5232106458343</v>
      </c>
      <c r="Q196" s="214">
        <f>IF((monthly_mortgage_schedule[[#This Row],[Year (Range)]]&gt;=$C$7)*(monthly_mortgage_schedule[[#This Row],[Year (Range)]]&lt;=$C$9),AH196,NA())</f>
        <v>1328.5032848175738</v>
      </c>
      <c r="R196" s="214">
        <f>IF((monthly_mortgage_schedule[[#This Row],[Year (Range)]]&gt;=$C$7)*(monthly_mortgage_schedule[[#This Row],[Year (Range)]]&lt;=$C$9),AO196,NA())</f>
        <v>13944.931428073223</v>
      </c>
      <c r="S196" s="214">
        <f>IF((monthly_mortgage_schedule[[#This Row],[Year (Range)]]&gt;=$C$7)*(monthly_mortgage_schedule[[#This Row],[Year (Range)]]&lt;=$C$9),AP196,NA())</f>
        <v>990</v>
      </c>
      <c r="T196" s="214">
        <f>IF((monthly_mortgage_schedule[[#This Row],[Year (Range)]]&gt;=$C$7)*(monthly_mortgage_schedule[[#This Row],[Year (Range)]]&lt;=$C$9),AR196,NA())</f>
        <v>22582.711825525548</v>
      </c>
      <c r="U196" s="214">
        <f>IF((monthly_mortgage_schedule[[#This Row],[Year (Range)]]&gt;=$C$7)*(monthly_mortgage_schedule[[#This Row],[Year (Range)]]&lt;=$C$9),AB196,NA())</f>
        <v>205661.31814592617</v>
      </c>
      <c r="V196" s="214">
        <f>IF((monthly_mortgage_schedule[[#This Row],[Year (Range)]]&gt;=$C$7)*(monthly_mortgage_schedule[[#This Row],[Year (Range)]]&lt;=$C$9),AI196,NA())</f>
        <v>161716.38671785308</v>
      </c>
      <c r="W196" s="187">
        <f t="shared" si="17"/>
        <v>335871.30890796642</v>
      </c>
      <c r="X196" s="4">
        <f t="shared" si="20"/>
        <v>1567.3994415705101</v>
      </c>
      <c r="Y196" s="4">
        <f t="shared" si="18"/>
        <v>1532.6270538928979</v>
      </c>
      <c r="Z196" s="4">
        <f>_xlfn.IFNA(INDEX(additional_mortgage_payments[],MATCH(monthly_mortgage_schedule[[#This Row],[Month]],additional_mortgage_payments[Month],0),3),0)</f>
        <v>0</v>
      </c>
      <c r="AA196" s="4">
        <f>AA195+monthly_mortgage_schedule[[#This Row],[Extra Payments Towards Equity]]</f>
        <v>30000</v>
      </c>
      <c r="AB196" s="4">
        <f>AB195+monthly_mortgage_schedule[[#This Row],[Principal With Extra Principal Payments]]+monthly_mortgage_schedule[[#This Row],[Extra Payments Towards Equity]]</f>
        <v>205661.31814592617</v>
      </c>
      <c r="AC196" s="4">
        <f>monthly_mortgage_schedule[[#This Row],[Cumulative Principal With Extra Principal Payments]]+down_payment_dollars</f>
        <v>265661.31814592617</v>
      </c>
      <c r="AD196" s="200">
        <f t="shared" si="15"/>
        <v>0</v>
      </c>
      <c r="AE19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334338.68185407354</v>
      </c>
      <c r="AF196" s="187">
        <f t="shared" si="21"/>
        <v>379612.11656696448</v>
      </c>
      <c r="AG196" s="4">
        <f>IF(monthly_mortgage_schedule[[#This Row],[Loan Balance (BOY) Without Extra Principal Payments]]&gt;0,monthly_mortgage_schedule[[#This Row],[Loan Balance (BOY) Without Extra Principal Payments]]*monthly_interest_rate,0)</f>
        <v>1771.5232106458343</v>
      </c>
      <c r="AH196" s="4">
        <f>IF(monthly_mortgage_schedule[[#This Row],[Loan Balance (BOY) Without Extra Principal Payments]]&gt;1,monthly_principal_and_interest-monthly_mortgage_schedule[[#This Row],[Interest Without Extra Principal Payments]],0)</f>
        <v>1328.5032848175738</v>
      </c>
      <c r="AI196" s="4">
        <f>AI195+monthly_mortgage_schedule[[#This Row],[Principal Without Extra Principal Payments]]</f>
        <v>161716.38671785308</v>
      </c>
      <c r="AJ196" s="4">
        <f>monthly_mortgage_schedule[[#This Row],[Cumulative Principal Without Extra Principal Payments]]+down_payment_dollars</f>
        <v>221716.38671785308</v>
      </c>
      <c r="AK196" s="200">
        <f t="shared" si="16"/>
        <v>0</v>
      </c>
      <c r="AL19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378283.61328214692</v>
      </c>
      <c r="AN196" s="196">
        <f>monthly_mortgage_schedule[[#This Row],[Extra Payments Towards Equity]]+AN195+IF(monthly_mortgage_schedule[[#This Row],[Interest With Extra Principal Payments]]&gt;0,monthly_mortgage_schedule[[#This Row],[Interest Without Extra Principal Payments]]-monthly_mortgage_schedule[[#This Row],[Interest With Extra Principal Payments]],0)</f>
        <v>43944.931428073229</v>
      </c>
      <c r="AO196" s="4">
        <f>AO195+IF(monthly_mortgage_schedule[[#This Row],[Interest With Extra Principal Payments]]&gt;0,monthly_mortgage_schedule[[#This Row],[Interest Without Extra Principal Payments]]-monthly_mortgage_schedule[[#This Row],[Interest With Extra Principal Payments]],0)</f>
        <v>13944.931428073223</v>
      </c>
      <c r="AP196" s="4">
        <f>AP195+monthly_mortgage_schedule[[#This Row],[PMI Without Extra Principal Payments]]-monthly_mortgage_schedule[[#This Row],[PMI with Additional Payments]]</f>
        <v>990</v>
      </c>
      <c r="AQ196" s="4">
        <f t="shared" si="19"/>
        <v>52582.711825525548</v>
      </c>
      <c r="AR196" s="4">
        <f>Table60[[#This Row],[Cumulative Investments]]-monthly_mortgage_schedule[[#This Row],[Cumulative Extra Payments Towards Equity]]</f>
        <v>22582.711825525548</v>
      </c>
    </row>
    <row r="197" spans="9:44" x14ac:dyDescent="0.25">
      <c r="I197">
        <v>180</v>
      </c>
      <c r="J197">
        <f>IF(MOD(ROWS($J$18:J196),12)=0,J196+1,J196)</f>
        <v>2036</v>
      </c>
      <c r="K197" s="198">
        <f>IF(M197="#N/A",NA(),monthly_mortgage_schedule[[#This Row],[Month]])</f>
        <v>180</v>
      </c>
      <c r="L197" s="198">
        <f>IF(monthly_mortgage_schedule[[#This Row],[Calendar Year]]&gt;=$C$7,monthly_mortgage_schedule[[#This Row],[Calendar Year]],NA())</f>
        <v>2036</v>
      </c>
      <c r="M197" s="199">
        <f>IF((monthly_mortgage_schedule[[#This Row],[Calendar Year]]&gt;=$C$7)*(monthly_mortgage_schedule[[#This Row],[Calendar Year]]&lt;=$C$9),monthly_mortgage_schedule[[#This Row],[Begin Year (Range)]],NA())</f>
        <v>2036</v>
      </c>
      <c r="N197" s="214">
        <f>IF((monthly_mortgage_schedule[[#This Row],[Year (Range)]]&gt;=$C$7)*(monthly_mortgage_schedule[[#This Row],[Year (Range)]]&lt;=$C$9),X197,NA())</f>
        <v>1560.2471819856767</v>
      </c>
      <c r="O197" s="214">
        <f>IF((monthly_mortgage_schedule[[#This Row],[Year (Range)]]&gt;=$C$7)*(monthly_mortgage_schedule[[#This Row],[Year (Range)]]&lt;=$C$9),Y197,NA())</f>
        <v>1539.7793134777314</v>
      </c>
      <c r="P197" s="214">
        <f>IF((monthly_mortgage_schedule[[#This Row],[Year (Range)]]&gt;=$C$7)*(monthly_mortgage_schedule[[#This Row],[Year (Range)]]&lt;=$C$9),AG197,NA())</f>
        <v>1765.3235286500192</v>
      </c>
      <c r="Q197" s="214">
        <f>IF((monthly_mortgage_schedule[[#This Row],[Year (Range)]]&gt;=$C$7)*(monthly_mortgage_schedule[[#This Row],[Year (Range)]]&lt;=$C$9),AH197,NA())</f>
        <v>1334.7029668133889</v>
      </c>
      <c r="R197" s="214">
        <f>IF((monthly_mortgage_schedule[[#This Row],[Year (Range)]]&gt;=$C$7)*(monthly_mortgage_schedule[[#This Row],[Year (Range)]]&lt;=$C$9),AO197,NA())</f>
        <v>14150.007774737565</v>
      </c>
      <c r="S197" s="214">
        <f>IF((monthly_mortgage_schedule[[#This Row],[Year (Range)]]&gt;=$C$7)*(monthly_mortgage_schedule[[#This Row],[Year (Range)]]&lt;=$C$9),AP197,NA())</f>
        <v>990</v>
      </c>
      <c r="T197" s="214">
        <f>IF((monthly_mortgage_schedule[[#This Row],[Year (Range)]]&gt;=$C$7)*(monthly_mortgage_schedule[[#This Row],[Year (Range)]]&lt;=$C$9),AR197,NA())</f>
        <v>22936.596571029047</v>
      </c>
      <c r="U197" s="214">
        <f>IF((monthly_mortgage_schedule[[#This Row],[Year (Range)]]&gt;=$C$7)*(monthly_mortgage_schedule[[#This Row],[Year (Range)]]&lt;=$C$9),AB197,NA())</f>
        <v>207701.09745940391</v>
      </c>
      <c r="V197" s="214">
        <f>IF((monthly_mortgage_schedule[[#This Row],[Year (Range)]]&gt;=$C$7)*(monthly_mortgage_schedule[[#This Row],[Year (Range)]]&lt;=$C$9),AI197,NA())</f>
        <v>163051.08968466645</v>
      </c>
      <c r="W197" s="187">
        <f t="shared" si="17"/>
        <v>334338.68185407354</v>
      </c>
      <c r="X197" s="4">
        <f t="shared" si="20"/>
        <v>1560.2471819856767</v>
      </c>
      <c r="Y197" s="4">
        <f t="shared" si="18"/>
        <v>1539.7793134777314</v>
      </c>
      <c r="Z197" s="4">
        <f>_xlfn.IFNA(INDEX(additional_mortgage_payments[],MATCH(monthly_mortgage_schedule[[#This Row],[Month]],additional_mortgage_payments[Month],0),3),0)</f>
        <v>500</v>
      </c>
      <c r="AA197" s="4">
        <f>AA196+monthly_mortgage_schedule[[#This Row],[Extra Payments Towards Equity]]</f>
        <v>30500</v>
      </c>
      <c r="AB197" s="4">
        <f>AB196+monthly_mortgage_schedule[[#This Row],[Principal With Extra Principal Payments]]+monthly_mortgage_schedule[[#This Row],[Extra Payments Towards Equity]]</f>
        <v>207701.09745940391</v>
      </c>
      <c r="AC197" s="4">
        <f>monthly_mortgage_schedule[[#This Row],[Cumulative Principal With Extra Principal Payments]]+down_payment_dollars</f>
        <v>267701.09745940391</v>
      </c>
      <c r="AD197" s="200">
        <f t="shared" si="15"/>
        <v>0</v>
      </c>
      <c r="AE19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332298.90254059579</v>
      </c>
      <c r="AF197" s="187">
        <f t="shared" si="21"/>
        <v>378283.61328214692</v>
      </c>
      <c r="AG197" s="4">
        <f>IF(monthly_mortgage_schedule[[#This Row],[Loan Balance (BOY) Without Extra Principal Payments]]&gt;0,monthly_mortgage_schedule[[#This Row],[Loan Balance (BOY) Without Extra Principal Payments]]*monthly_interest_rate,0)</f>
        <v>1765.3235286500192</v>
      </c>
      <c r="AH197" s="4">
        <f>IF(monthly_mortgage_schedule[[#This Row],[Loan Balance (BOY) Without Extra Principal Payments]]&gt;1,monthly_principal_and_interest-monthly_mortgage_schedule[[#This Row],[Interest Without Extra Principal Payments]],0)</f>
        <v>1334.7029668133889</v>
      </c>
      <c r="AI197" s="4">
        <f>AI196+monthly_mortgage_schedule[[#This Row],[Principal Without Extra Principal Payments]]</f>
        <v>163051.08968466645</v>
      </c>
      <c r="AJ197" s="4">
        <f>monthly_mortgage_schedule[[#This Row],[Cumulative Principal Without Extra Principal Payments]]+down_payment_dollars</f>
        <v>223051.08968466645</v>
      </c>
      <c r="AK197" s="200">
        <f t="shared" si="16"/>
        <v>0</v>
      </c>
      <c r="AL19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376948.91031533352</v>
      </c>
      <c r="AN197" s="196">
        <f>monthly_mortgage_schedule[[#This Row],[Extra Payments Towards Equity]]+AN196+IF(monthly_mortgage_schedule[[#This Row],[Interest With Extra Principal Payments]]&gt;0,monthly_mortgage_schedule[[#This Row],[Interest Without Extra Principal Payments]]-monthly_mortgage_schedule[[#This Row],[Interest With Extra Principal Payments]],0)</f>
        <v>44650.007774737569</v>
      </c>
      <c r="AO197" s="4">
        <f>AO196+IF(monthly_mortgage_schedule[[#This Row],[Interest With Extra Principal Payments]]&gt;0,monthly_mortgage_schedule[[#This Row],[Interest Without Extra Principal Payments]]-monthly_mortgage_schedule[[#This Row],[Interest With Extra Principal Payments]],0)</f>
        <v>14150.007774737565</v>
      </c>
      <c r="AP197" s="4">
        <f>AP196+monthly_mortgage_schedule[[#This Row],[PMI Without Extra Principal Payments]]-monthly_mortgage_schedule[[#This Row],[PMI with Additional Payments]]</f>
        <v>990</v>
      </c>
      <c r="AQ197" s="4">
        <f t="shared" si="19"/>
        <v>53436.596571029047</v>
      </c>
      <c r="AR197" s="4">
        <f>Table60[[#This Row],[Cumulative Investments]]-monthly_mortgage_schedule[[#This Row],[Cumulative Extra Payments Towards Equity]]</f>
        <v>22936.596571029047</v>
      </c>
    </row>
    <row r="198" spans="9:44" x14ac:dyDescent="0.25">
      <c r="I198">
        <v>181</v>
      </c>
      <c r="J198">
        <f>IF(MOD(ROWS($J$18:J197),12)=0,J197+1,J197)</f>
        <v>2037</v>
      </c>
      <c r="K198" s="198">
        <f>IF(M198="#N/A",NA(),monthly_mortgage_schedule[[#This Row],[Month]])</f>
        <v>181</v>
      </c>
      <c r="L198" s="198">
        <f>IF(monthly_mortgage_schedule[[#This Row],[Calendar Year]]&gt;=$C$7,monthly_mortgage_schedule[[#This Row],[Calendar Year]],NA())</f>
        <v>2037</v>
      </c>
      <c r="M198" s="199">
        <f>IF((monthly_mortgage_schedule[[#This Row],[Calendar Year]]&gt;=$C$7)*(monthly_mortgage_schedule[[#This Row],[Calendar Year]]&lt;=$C$9),monthly_mortgage_schedule[[#This Row],[Begin Year (Range)]],NA())</f>
        <v>2037</v>
      </c>
      <c r="N198" s="214">
        <f>IF((monthly_mortgage_schedule[[#This Row],[Year (Range)]]&gt;=$C$7)*(monthly_mortgage_schedule[[#This Row],[Year (Range)]]&lt;=$C$9),X198,NA())</f>
        <v>1550.7282118561138</v>
      </c>
      <c r="O198" s="214">
        <f>IF((monthly_mortgage_schedule[[#This Row],[Year (Range)]]&gt;=$C$7)*(monthly_mortgage_schedule[[#This Row],[Year (Range)]]&lt;=$C$9),Y198,NA())</f>
        <v>1549.2982836072943</v>
      </c>
      <c r="P198" s="214">
        <f>IF((monthly_mortgage_schedule[[#This Row],[Year (Range)]]&gt;=$C$7)*(monthly_mortgage_schedule[[#This Row],[Year (Range)]]&lt;=$C$9),AG198,NA())</f>
        <v>1759.0949148048899</v>
      </c>
      <c r="Q198" s="214">
        <f>IF((monthly_mortgage_schedule[[#This Row],[Year (Range)]]&gt;=$C$7)*(monthly_mortgage_schedule[[#This Row],[Year (Range)]]&lt;=$C$9),AH198,NA())</f>
        <v>1340.9315806585182</v>
      </c>
      <c r="R198" s="214">
        <f>IF((monthly_mortgage_schedule[[#This Row],[Year (Range)]]&gt;=$C$7)*(monthly_mortgage_schedule[[#This Row],[Year (Range)]]&lt;=$C$9),AO198,NA())</f>
        <v>14358.374477686342</v>
      </c>
      <c r="S198" s="214">
        <f>IF((monthly_mortgage_schedule[[#This Row],[Year (Range)]]&gt;=$C$7)*(monthly_mortgage_schedule[[#This Row],[Year (Range)]]&lt;=$C$9),AP198,NA())</f>
        <v>990</v>
      </c>
      <c r="T198" s="214">
        <f>IF((monthly_mortgage_schedule[[#This Row],[Year (Range)]]&gt;=$C$7)*(monthly_mortgage_schedule[[#This Row],[Year (Range)]]&lt;=$C$9),AR198,NA())</f>
        <v>23292.840548169239</v>
      </c>
      <c r="U198" s="214">
        <f>IF((monthly_mortgage_schedule[[#This Row],[Year (Range)]]&gt;=$C$7)*(monthly_mortgage_schedule[[#This Row],[Year (Range)]]&lt;=$C$9),AB198,NA())</f>
        <v>209250.39574301121</v>
      </c>
      <c r="V198" s="214">
        <f>IF((monthly_mortgage_schedule[[#This Row],[Year (Range)]]&gt;=$C$7)*(monthly_mortgage_schedule[[#This Row],[Year (Range)]]&lt;=$C$9),AI198,NA())</f>
        <v>164392.02126532496</v>
      </c>
      <c r="W198" s="187">
        <f t="shared" si="17"/>
        <v>332298.90254059579</v>
      </c>
      <c r="X198" s="4">
        <f t="shared" si="20"/>
        <v>1550.7282118561138</v>
      </c>
      <c r="Y198" s="4">
        <f t="shared" si="18"/>
        <v>1549.2982836072943</v>
      </c>
      <c r="Z198" s="4">
        <f>_xlfn.IFNA(INDEX(additional_mortgage_payments[],MATCH(monthly_mortgage_schedule[[#This Row],[Month]],additional_mortgage_payments[Month],0),3),0)</f>
        <v>0</v>
      </c>
      <c r="AA198" s="4">
        <f>AA197+monthly_mortgage_schedule[[#This Row],[Extra Payments Towards Equity]]</f>
        <v>30500</v>
      </c>
      <c r="AB198" s="4">
        <f>AB197+monthly_mortgage_schedule[[#This Row],[Principal With Extra Principal Payments]]+monthly_mortgage_schedule[[#This Row],[Extra Payments Towards Equity]]</f>
        <v>209250.39574301121</v>
      </c>
      <c r="AC198" s="4">
        <f>monthly_mortgage_schedule[[#This Row],[Cumulative Principal With Extra Principal Payments]]+down_payment_dollars</f>
        <v>269250.39574301121</v>
      </c>
      <c r="AD198" s="200">
        <f t="shared" si="15"/>
        <v>0</v>
      </c>
      <c r="AE19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330749.6042569885</v>
      </c>
      <c r="AF198" s="187">
        <f t="shared" si="21"/>
        <v>376948.91031533352</v>
      </c>
      <c r="AG198" s="4">
        <f>IF(monthly_mortgage_schedule[[#This Row],[Loan Balance (BOY) Without Extra Principal Payments]]&gt;0,monthly_mortgage_schedule[[#This Row],[Loan Balance (BOY) Without Extra Principal Payments]]*monthly_interest_rate,0)</f>
        <v>1759.0949148048899</v>
      </c>
      <c r="AH198" s="4">
        <f>IF(monthly_mortgage_schedule[[#This Row],[Loan Balance (BOY) Without Extra Principal Payments]]&gt;1,monthly_principal_and_interest-monthly_mortgage_schedule[[#This Row],[Interest Without Extra Principal Payments]],0)</f>
        <v>1340.9315806585182</v>
      </c>
      <c r="AI198" s="4">
        <f>AI197+monthly_mortgage_schedule[[#This Row],[Principal Without Extra Principal Payments]]</f>
        <v>164392.02126532496</v>
      </c>
      <c r="AJ198" s="4">
        <f>monthly_mortgage_schedule[[#This Row],[Cumulative Principal Without Extra Principal Payments]]+down_payment_dollars</f>
        <v>224392.02126532496</v>
      </c>
      <c r="AK198" s="200">
        <f t="shared" si="16"/>
        <v>0</v>
      </c>
      <c r="AL19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375607.97873467498</v>
      </c>
      <c r="AN198" s="196">
        <f>monthly_mortgage_schedule[[#This Row],[Extra Payments Towards Equity]]+AN197+IF(monthly_mortgage_schedule[[#This Row],[Interest With Extra Principal Payments]]&gt;0,monthly_mortgage_schedule[[#This Row],[Interest Without Extra Principal Payments]]-monthly_mortgage_schedule[[#This Row],[Interest With Extra Principal Payments]],0)</f>
        <v>44858.374477686346</v>
      </c>
      <c r="AO198" s="4">
        <f>AO197+IF(monthly_mortgage_schedule[[#This Row],[Interest With Extra Principal Payments]]&gt;0,monthly_mortgage_schedule[[#This Row],[Interest Without Extra Principal Payments]]-monthly_mortgage_schedule[[#This Row],[Interest With Extra Principal Payments]],0)</f>
        <v>14358.374477686342</v>
      </c>
      <c r="AP198" s="4">
        <f>AP197+monthly_mortgage_schedule[[#This Row],[PMI Without Extra Principal Payments]]-monthly_mortgage_schedule[[#This Row],[PMI with Additional Payments]]</f>
        <v>990</v>
      </c>
      <c r="AQ198" s="4">
        <f t="shared" si="19"/>
        <v>53792.840548169239</v>
      </c>
      <c r="AR198" s="4">
        <f>Table60[[#This Row],[Cumulative Investments]]-monthly_mortgage_schedule[[#This Row],[Cumulative Extra Payments Towards Equity]]</f>
        <v>23292.840548169239</v>
      </c>
    </row>
    <row r="199" spans="9:44" x14ac:dyDescent="0.25">
      <c r="I199">
        <v>182</v>
      </c>
      <c r="J199">
        <f>IF(MOD(ROWS($J$18:J198),12)=0,J198+1,J198)</f>
        <v>2037</v>
      </c>
      <c r="K199" s="198">
        <f>IF(M199="#N/A",NA(),monthly_mortgage_schedule[[#This Row],[Month]])</f>
        <v>182</v>
      </c>
      <c r="L199" s="198">
        <f>IF(monthly_mortgage_schedule[[#This Row],[Calendar Year]]&gt;=$C$7,monthly_mortgage_schedule[[#This Row],[Calendar Year]],NA())</f>
        <v>2037</v>
      </c>
      <c r="M199" s="199">
        <f>IF((monthly_mortgage_schedule[[#This Row],[Calendar Year]]&gt;=$C$7)*(monthly_mortgage_schedule[[#This Row],[Calendar Year]]&lt;=$C$9),monthly_mortgage_schedule[[#This Row],[Begin Year (Range)]],NA())</f>
        <v>2037</v>
      </c>
      <c r="N199" s="214">
        <f>IF((monthly_mortgage_schedule[[#This Row],[Year (Range)]]&gt;=$C$7)*(monthly_mortgage_schedule[[#This Row],[Year (Range)]]&lt;=$C$9),X199,NA())</f>
        <v>1543.4981531992798</v>
      </c>
      <c r="O199" s="214">
        <f>IF((monthly_mortgage_schedule[[#This Row],[Year (Range)]]&gt;=$C$7)*(monthly_mortgage_schedule[[#This Row],[Year (Range)]]&lt;=$C$9),Y199,NA())</f>
        <v>1556.5283422641282</v>
      </c>
      <c r="P199" s="214">
        <f>IF((monthly_mortgage_schedule[[#This Row],[Year (Range)]]&gt;=$C$7)*(monthly_mortgage_schedule[[#This Row],[Year (Range)]]&lt;=$C$9),AG199,NA())</f>
        <v>1752.8372340951501</v>
      </c>
      <c r="Q199" s="214">
        <f>IF((monthly_mortgage_schedule[[#This Row],[Year (Range)]]&gt;=$C$7)*(monthly_mortgage_schedule[[#This Row],[Year (Range)]]&lt;=$C$9),AH199,NA())</f>
        <v>1347.189261368258</v>
      </c>
      <c r="R199" s="214">
        <f>IF((monthly_mortgage_schedule[[#This Row],[Year (Range)]]&gt;=$C$7)*(monthly_mortgage_schedule[[#This Row],[Year (Range)]]&lt;=$C$9),AO199,NA())</f>
        <v>14567.713558582212</v>
      </c>
      <c r="S199" s="214">
        <f>IF((monthly_mortgage_schedule[[#This Row],[Year (Range)]]&gt;=$C$7)*(monthly_mortgage_schedule[[#This Row],[Year (Range)]]&lt;=$C$9),AP199,NA())</f>
        <v>990</v>
      </c>
      <c r="T199" s="214">
        <f>IF((monthly_mortgage_schedule[[#This Row],[Year (Range)]]&gt;=$C$7)*(monthly_mortgage_schedule[[#This Row],[Year (Range)]]&lt;=$C$9),AR199,NA())</f>
        <v>23651.459485157029</v>
      </c>
      <c r="U199" s="214">
        <f>IF((monthly_mortgage_schedule[[#This Row],[Year (Range)]]&gt;=$C$7)*(monthly_mortgage_schedule[[#This Row],[Year (Range)]]&lt;=$C$9),AB199,NA())</f>
        <v>210806.92408527533</v>
      </c>
      <c r="V199" s="214">
        <f>IF((monthly_mortgage_schedule[[#This Row],[Year (Range)]]&gt;=$C$7)*(monthly_mortgage_schedule[[#This Row],[Year (Range)]]&lt;=$C$9),AI199,NA())</f>
        <v>165739.21052669323</v>
      </c>
      <c r="W199" s="187">
        <f t="shared" si="17"/>
        <v>330749.6042569885</v>
      </c>
      <c r="X199" s="4">
        <f t="shared" si="20"/>
        <v>1543.4981531992798</v>
      </c>
      <c r="Y199" s="4">
        <f t="shared" si="18"/>
        <v>1556.5283422641282</v>
      </c>
      <c r="Z199" s="4">
        <f>_xlfn.IFNA(INDEX(additional_mortgage_payments[],MATCH(monthly_mortgage_schedule[[#This Row],[Month]],additional_mortgage_payments[Month],0),3),0)</f>
        <v>0</v>
      </c>
      <c r="AA199" s="4">
        <f>AA198+monthly_mortgage_schedule[[#This Row],[Extra Payments Towards Equity]]</f>
        <v>30500</v>
      </c>
      <c r="AB199" s="4">
        <f>AB198+monthly_mortgage_schedule[[#This Row],[Principal With Extra Principal Payments]]+monthly_mortgage_schedule[[#This Row],[Extra Payments Towards Equity]]</f>
        <v>210806.92408527533</v>
      </c>
      <c r="AC199" s="4">
        <f>monthly_mortgage_schedule[[#This Row],[Cumulative Principal With Extra Principal Payments]]+down_payment_dollars</f>
        <v>270806.92408527533</v>
      </c>
      <c r="AD199" s="200">
        <f t="shared" si="15"/>
        <v>0</v>
      </c>
      <c r="AE19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329193.07591472438</v>
      </c>
      <c r="AF199" s="187">
        <f t="shared" si="21"/>
        <v>375607.97873467498</v>
      </c>
      <c r="AG199" s="4">
        <f>IF(monthly_mortgage_schedule[[#This Row],[Loan Balance (BOY) Without Extra Principal Payments]]&gt;0,monthly_mortgage_schedule[[#This Row],[Loan Balance (BOY) Without Extra Principal Payments]]*monthly_interest_rate,0)</f>
        <v>1752.8372340951501</v>
      </c>
      <c r="AH199" s="4">
        <f>IF(monthly_mortgage_schedule[[#This Row],[Loan Balance (BOY) Without Extra Principal Payments]]&gt;1,monthly_principal_and_interest-monthly_mortgage_schedule[[#This Row],[Interest Without Extra Principal Payments]],0)</f>
        <v>1347.189261368258</v>
      </c>
      <c r="AI199" s="4">
        <f>AI198+monthly_mortgage_schedule[[#This Row],[Principal Without Extra Principal Payments]]</f>
        <v>165739.21052669323</v>
      </c>
      <c r="AJ199" s="4">
        <f>monthly_mortgage_schedule[[#This Row],[Cumulative Principal Without Extra Principal Payments]]+down_payment_dollars</f>
        <v>225739.21052669323</v>
      </c>
      <c r="AK199" s="200">
        <f t="shared" si="16"/>
        <v>0</v>
      </c>
      <c r="AL19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374260.78947330674</v>
      </c>
      <c r="AN199" s="196">
        <f>monthly_mortgage_schedule[[#This Row],[Extra Payments Towards Equity]]+AN198+IF(monthly_mortgage_schedule[[#This Row],[Interest With Extra Principal Payments]]&gt;0,monthly_mortgage_schedule[[#This Row],[Interest Without Extra Principal Payments]]-monthly_mortgage_schedule[[#This Row],[Interest With Extra Principal Payments]],0)</f>
        <v>45067.713558582218</v>
      </c>
      <c r="AO199" s="4">
        <f>AO198+IF(monthly_mortgage_schedule[[#This Row],[Interest With Extra Principal Payments]]&gt;0,monthly_mortgage_schedule[[#This Row],[Interest Without Extra Principal Payments]]-monthly_mortgage_schedule[[#This Row],[Interest With Extra Principal Payments]],0)</f>
        <v>14567.713558582212</v>
      </c>
      <c r="AP199" s="4">
        <f>AP198+monthly_mortgage_schedule[[#This Row],[PMI Without Extra Principal Payments]]-monthly_mortgage_schedule[[#This Row],[PMI with Additional Payments]]</f>
        <v>990</v>
      </c>
      <c r="AQ199" s="4">
        <f t="shared" si="19"/>
        <v>54151.459485157029</v>
      </c>
      <c r="AR199" s="4">
        <f>Table60[[#This Row],[Cumulative Investments]]-monthly_mortgage_schedule[[#This Row],[Cumulative Extra Payments Towards Equity]]</f>
        <v>23651.459485157029</v>
      </c>
    </row>
    <row r="200" spans="9:44" x14ac:dyDescent="0.25">
      <c r="I200">
        <v>183</v>
      </c>
      <c r="J200">
        <f>IF(MOD(ROWS($J$18:J199),12)=0,J199+1,J199)</f>
        <v>2037</v>
      </c>
      <c r="K200" s="198">
        <f>IF(M200="#N/A",NA(),monthly_mortgage_schedule[[#This Row],[Month]])</f>
        <v>183</v>
      </c>
      <c r="L200" s="198">
        <f>IF(monthly_mortgage_schedule[[#This Row],[Calendar Year]]&gt;=$C$7,monthly_mortgage_schedule[[#This Row],[Calendar Year]],NA())</f>
        <v>2037</v>
      </c>
      <c r="M200" s="199">
        <f>IF((monthly_mortgage_schedule[[#This Row],[Calendar Year]]&gt;=$C$7)*(monthly_mortgage_schedule[[#This Row],[Calendar Year]]&lt;=$C$9),monthly_mortgage_schedule[[#This Row],[Begin Year (Range)]],NA())</f>
        <v>2037</v>
      </c>
      <c r="N200" s="214">
        <f>IF((monthly_mortgage_schedule[[#This Row],[Year (Range)]]&gt;=$C$7)*(monthly_mortgage_schedule[[#This Row],[Year (Range)]]&lt;=$C$9),X200,NA())</f>
        <v>1536.234354268714</v>
      </c>
      <c r="O200" s="214">
        <f>IF((monthly_mortgage_schedule[[#This Row],[Year (Range)]]&gt;=$C$7)*(monthly_mortgage_schedule[[#This Row],[Year (Range)]]&lt;=$C$9),Y200,NA())</f>
        <v>1563.7921411946941</v>
      </c>
      <c r="P200" s="214">
        <f>IF((monthly_mortgage_schedule[[#This Row],[Year (Range)]]&gt;=$C$7)*(monthly_mortgage_schedule[[#This Row],[Year (Range)]]&lt;=$C$9),AG200,NA())</f>
        <v>1746.5503508754316</v>
      </c>
      <c r="Q200" s="214">
        <f>IF((monthly_mortgage_schedule[[#This Row],[Year (Range)]]&gt;=$C$7)*(monthly_mortgage_schedule[[#This Row],[Year (Range)]]&lt;=$C$9),AH200,NA())</f>
        <v>1353.4761445879765</v>
      </c>
      <c r="R200" s="214">
        <f>IF((monthly_mortgage_schedule[[#This Row],[Year (Range)]]&gt;=$C$7)*(monthly_mortgage_schedule[[#This Row],[Year (Range)]]&lt;=$C$9),AO200,NA())</f>
        <v>14778.02955518893</v>
      </c>
      <c r="S200" s="214">
        <f>IF((monthly_mortgage_schedule[[#This Row],[Year (Range)]]&gt;=$C$7)*(monthly_mortgage_schedule[[#This Row],[Year (Range)]]&lt;=$C$9),AP200,NA())</f>
        <v>990</v>
      </c>
      <c r="T200" s="214">
        <f>IF((monthly_mortgage_schedule[[#This Row],[Year (Range)]]&gt;=$C$7)*(monthly_mortgage_schedule[[#This Row],[Year (Range)]]&lt;=$C$9),AR200,NA())</f>
        <v>24012.469215058074</v>
      </c>
      <c r="U200" s="214">
        <f>IF((monthly_mortgage_schedule[[#This Row],[Year (Range)]]&gt;=$C$7)*(monthly_mortgage_schedule[[#This Row],[Year (Range)]]&lt;=$C$9),AB200,NA())</f>
        <v>212370.71622647002</v>
      </c>
      <c r="V200" s="214">
        <f>IF((monthly_mortgage_schedule[[#This Row],[Year (Range)]]&gt;=$C$7)*(monthly_mortgage_schedule[[#This Row],[Year (Range)]]&lt;=$C$9),AI200,NA())</f>
        <v>167092.6866712812</v>
      </c>
      <c r="W200" s="187">
        <f t="shared" si="17"/>
        <v>329193.07591472438</v>
      </c>
      <c r="X200" s="4">
        <f t="shared" si="20"/>
        <v>1536.234354268714</v>
      </c>
      <c r="Y200" s="4">
        <f t="shared" si="18"/>
        <v>1563.7921411946941</v>
      </c>
      <c r="Z200" s="4">
        <f>_xlfn.IFNA(INDEX(additional_mortgage_payments[],MATCH(monthly_mortgage_schedule[[#This Row],[Month]],additional_mortgage_payments[Month],0),3),0)</f>
        <v>0</v>
      </c>
      <c r="AA200" s="4">
        <f>AA199+monthly_mortgage_schedule[[#This Row],[Extra Payments Towards Equity]]</f>
        <v>30500</v>
      </c>
      <c r="AB200" s="4">
        <f>AB199+monthly_mortgage_schedule[[#This Row],[Principal With Extra Principal Payments]]+monthly_mortgage_schedule[[#This Row],[Extra Payments Towards Equity]]</f>
        <v>212370.71622647002</v>
      </c>
      <c r="AC200" s="4">
        <f>monthly_mortgage_schedule[[#This Row],[Cumulative Principal With Extra Principal Payments]]+down_payment_dollars</f>
        <v>272370.71622647002</v>
      </c>
      <c r="AD200" s="200">
        <f t="shared" si="15"/>
        <v>0</v>
      </c>
      <c r="AE20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327629.28377352969</v>
      </c>
      <c r="AF200" s="187">
        <f t="shared" si="21"/>
        <v>374260.78947330674</v>
      </c>
      <c r="AG200" s="4">
        <f>IF(monthly_mortgage_schedule[[#This Row],[Loan Balance (BOY) Without Extra Principal Payments]]&gt;0,monthly_mortgage_schedule[[#This Row],[Loan Balance (BOY) Without Extra Principal Payments]]*monthly_interest_rate,0)</f>
        <v>1746.5503508754316</v>
      </c>
      <c r="AH200" s="4">
        <f>IF(monthly_mortgage_schedule[[#This Row],[Loan Balance (BOY) Without Extra Principal Payments]]&gt;1,monthly_principal_and_interest-monthly_mortgage_schedule[[#This Row],[Interest Without Extra Principal Payments]],0)</f>
        <v>1353.4761445879765</v>
      </c>
      <c r="AI200" s="4">
        <f>AI199+monthly_mortgage_schedule[[#This Row],[Principal Without Extra Principal Payments]]</f>
        <v>167092.6866712812</v>
      </c>
      <c r="AJ200" s="4">
        <f>monthly_mortgage_schedule[[#This Row],[Cumulative Principal Without Extra Principal Payments]]+down_payment_dollars</f>
        <v>227092.6866712812</v>
      </c>
      <c r="AK200" s="200">
        <f t="shared" si="16"/>
        <v>0</v>
      </c>
      <c r="AL20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372907.31332871877</v>
      </c>
      <c r="AN200" s="196">
        <f>monthly_mortgage_schedule[[#This Row],[Extra Payments Towards Equity]]+AN199+IF(monthly_mortgage_schedule[[#This Row],[Interest With Extra Principal Payments]]&gt;0,monthly_mortgage_schedule[[#This Row],[Interest Without Extra Principal Payments]]-monthly_mortgage_schedule[[#This Row],[Interest With Extra Principal Payments]],0)</f>
        <v>45278.029555188936</v>
      </c>
      <c r="AO200" s="4">
        <f>AO199+IF(monthly_mortgage_schedule[[#This Row],[Interest With Extra Principal Payments]]&gt;0,monthly_mortgage_schedule[[#This Row],[Interest Without Extra Principal Payments]]-monthly_mortgage_schedule[[#This Row],[Interest With Extra Principal Payments]],0)</f>
        <v>14778.02955518893</v>
      </c>
      <c r="AP200" s="4">
        <f>AP199+monthly_mortgage_schedule[[#This Row],[PMI Without Extra Principal Payments]]-monthly_mortgage_schedule[[#This Row],[PMI with Additional Payments]]</f>
        <v>990</v>
      </c>
      <c r="AQ200" s="4">
        <f t="shared" si="19"/>
        <v>54512.469215058074</v>
      </c>
      <c r="AR200" s="4">
        <f>Table60[[#This Row],[Cumulative Investments]]-monthly_mortgage_schedule[[#This Row],[Cumulative Extra Payments Towards Equity]]</f>
        <v>24012.469215058074</v>
      </c>
    </row>
    <row r="201" spans="9:44" x14ac:dyDescent="0.25">
      <c r="I201">
        <v>184</v>
      </c>
      <c r="J201">
        <f>IF(MOD(ROWS($J$18:J200),12)=0,J200+1,J200)</f>
        <v>2037</v>
      </c>
      <c r="K201" s="198">
        <f>IF(M201="#N/A",NA(),monthly_mortgage_schedule[[#This Row],[Month]])</f>
        <v>184</v>
      </c>
      <c r="L201" s="198">
        <f>IF(monthly_mortgage_schedule[[#This Row],[Calendar Year]]&gt;=$C$7,monthly_mortgage_schedule[[#This Row],[Calendar Year]],NA())</f>
        <v>2037</v>
      </c>
      <c r="M201" s="199">
        <f>IF((monthly_mortgage_schedule[[#This Row],[Calendar Year]]&gt;=$C$7)*(monthly_mortgage_schedule[[#This Row],[Calendar Year]]&lt;=$C$9),monthly_mortgage_schedule[[#This Row],[Begin Year (Range)]],NA())</f>
        <v>2037</v>
      </c>
      <c r="N201" s="214">
        <f>IF((monthly_mortgage_schedule[[#This Row],[Year (Range)]]&gt;=$C$7)*(monthly_mortgage_schedule[[#This Row],[Year (Range)]]&lt;=$C$9),X201,NA())</f>
        <v>1528.9366576098053</v>
      </c>
      <c r="O201" s="214">
        <f>IF((monthly_mortgage_schedule[[#This Row],[Year (Range)]]&gt;=$C$7)*(monthly_mortgage_schedule[[#This Row],[Year (Range)]]&lt;=$C$9),Y201,NA())</f>
        <v>1571.0898378536028</v>
      </c>
      <c r="P201" s="214">
        <f>IF((monthly_mortgage_schedule[[#This Row],[Year (Range)]]&gt;=$C$7)*(monthly_mortgage_schedule[[#This Row],[Year (Range)]]&lt;=$C$9),AG201,NA())</f>
        <v>1740.2341288673545</v>
      </c>
      <c r="Q201" s="214">
        <f>IF((monthly_mortgage_schedule[[#This Row],[Year (Range)]]&gt;=$C$7)*(monthly_mortgage_schedule[[#This Row],[Year (Range)]]&lt;=$C$9),AH201,NA())</f>
        <v>1359.7923665960536</v>
      </c>
      <c r="R201" s="214">
        <f>IF((monthly_mortgage_schedule[[#This Row],[Year (Range)]]&gt;=$C$7)*(monthly_mortgage_schedule[[#This Row],[Year (Range)]]&lt;=$C$9),AO201,NA())</f>
        <v>14989.327026446479</v>
      </c>
      <c r="S201" s="214">
        <f>IF((monthly_mortgage_schedule[[#This Row],[Year (Range)]]&gt;=$C$7)*(monthly_mortgage_schedule[[#This Row],[Year (Range)]]&lt;=$C$9),AP201,NA())</f>
        <v>990</v>
      </c>
      <c r="T201" s="214">
        <f>IF((monthly_mortgage_schedule[[#This Row],[Year (Range)]]&gt;=$C$7)*(monthly_mortgage_schedule[[#This Row],[Year (Range)]]&lt;=$C$9),AR201,NA())</f>
        <v>24375.885676491787</v>
      </c>
      <c r="U201" s="214">
        <f>IF((monthly_mortgage_schedule[[#This Row],[Year (Range)]]&gt;=$C$7)*(monthly_mortgage_schedule[[#This Row],[Year (Range)]]&lt;=$C$9),AB201,NA())</f>
        <v>213941.80606432361</v>
      </c>
      <c r="V201" s="214">
        <f>IF((monthly_mortgage_schedule[[#This Row],[Year (Range)]]&gt;=$C$7)*(monthly_mortgage_schedule[[#This Row],[Year (Range)]]&lt;=$C$9),AI201,NA())</f>
        <v>168452.47903787726</v>
      </c>
      <c r="W201" s="187">
        <f t="shared" si="17"/>
        <v>327629.28377352969</v>
      </c>
      <c r="X201" s="4">
        <f t="shared" si="20"/>
        <v>1528.9366576098053</v>
      </c>
      <c r="Y201" s="4">
        <f t="shared" si="18"/>
        <v>1571.0898378536028</v>
      </c>
      <c r="Z201" s="4">
        <f>_xlfn.IFNA(INDEX(additional_mortgage_payments[],MATCH(monthly_mortgage_schedule[[#This Row],[Month]],additional_mortgage_payments[Month],0),3),0)</f>
        <v>0</v>
      </c>
      <c r="AA201" s="4">
        <f>AA200+monthly_mortgage_schedule[[#This Row],[Extra Payments Towards Equity]]</f>
        <v>30500</v>
      </c>
      <c r="AB201" s="4">
        <f>AB200+monthly_mortgage_schedule[[#This Row],[Principal With Extra Principal Payments]]+monthly_mortgage_schedule[[#This Row],[Extra Payments Towards Equity]]</f>
        <v>213941.80606432361</v>
      </c>
      <c r="AC201" s="4">
        <f>monthly_mortgage_schedule[[#This Row],[Cumulative Principal With Extra Principal Payments]]+down_payment_dollars</f>
        <v>273941.80606432364</v>
      </c>
      <c r="AD201" s="200">
        <f t="shared" si="15"/>
        <v>0</v>
      </c>
      <c r="AE20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326058.19393567607</v>
      </c>
      <c r="AF201" s="187">
        <f t="shared" si="21"/>
        <v>372907.31332871877</v>
      </c>
      <c r="AG201" s="4">
        <f>IF(monthly_mortgage_schedule[[#This Row],[Loan Balance (BOY) Without Extra Principal Payments]]&gt;0,monthly_mortgage_schedule[[#This Row],[Loan Balance (BOY) Without Extra Principal Payments]]*monthly_interest_rate,0)</f>
        <v>1740.2341288673545</v>
      </c>
      <c r="AH201" s="4">
        <f>IF(monthly_mortgage_schedule[[#This Row],[Loan Balance (BOY) Without Extra Principal Payments]]&gt;1,monthly_principal_and_interest-monthly_mortgage_schedule[[#This Row],[Interest Without Extra Principal Payments]],0)</f>
        <v>1359.7923665960536</v>
      </c>
      <c r="AI201" s="4">
        <f>AI200+monthly_mortgage_schedule[[#This Row],[Principal Without Extra Principal Payments]]</f>
        <v>168452.47903787726</v>
      </c>
      <c r="AJ201" s="4">
        <f>monthly_mortgage_schedule[[#This Row],[Cumulative Principal Without Extra Principal Payments]]+down_payment_dollars</f>
        <v>228452.47903787726</v>
      </c>
      <c r="AK201" s="200">
        <f t="shared" si="16"/>
        <v>0</v>
      </c>
      <c r="AL20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371547.52096212271</v>
      </c>
      <c r="AN201" s="196">
        <f>monthly_mortgage_schedule[[#This Row],[Extra Payments Towards Equity]]+AN200+IF(monthly_mortgage_schedule[[#This Row],[Interest With Extra Principal Payments]]&gt;0,monthly_mortgage_schedule[[#This Row],[Interest Without Extra Principal Payments]]-monthly_mortgage_schedule[[#This Row],[Interest With Extra Principal Payments]],0)</f>
        <v>45489.327026446488</v>
      </c>
      <c r="AO201" s="4">
        <f>AO200+IF(monthly_mortgage_schedule[[#This Row],[Interest With Extra Principal Payments]]&gt;0,monthly_mortgage_schedule[[#This Row],[Interest Without Extra Principal Payments]]-monthly_mortgage_schedule[[#This Row],[Interest With Extra Principal Payments]],0)</f>
        <v>14989.327026446479</v>
      </c>
      <c r="AP201" s="4">
        <f>AP200+monthly_mortgage_schedule[[#This Row],[PMI Without Extra Principal Payments]]-monthly_mortgage_schedule[[#This Row],[PMI with Additional Payments]]</f>
        <v>990</v>
      </c>
      <c r="AQ201" s="4">
        <f t="shared" si="19"/>
        <v>54875.885676491787</v>
      </c>
      <c r="AR201" s="4">
        <f>Table60[[#This Row],[Cumulative Investments]]-monthly_mortgage_schedule[[#This Row],[Cumulative Extra Payments Towards Equity]]</f>
        <v>24375.885676491787</v>
      </c>
    </row>
    <row r="202" spans="9:44" x14ac:dyDescent="0.25">
      <c r="I202">
        <v>185</v>
      </c>
      <c r="J202">
        <f>IF(MOD(ROWS($J$18:J201),12)=0,J201+1,J201)</f>
        <v>2037</v>
      </c>
      <c r="K202" s="198">
        <f>IF(M202="#N/A",NA(),monthly_mortgage_schedule[[#This Row],[Month]])</f>
        <v>185</v>
      </c>
      <c r="L202" s="198">
        <f>IF(monthly_mortgage_schedule[[#This Row],[Calendar Year]]&gt;=$C$7,monthly_mortgage_schedule[[#This Row],[Calendar Year]],NA())</f>
        <v>2037</v>
      </c>
      <c r="M202" s="199">
        <f>IF((monthly_mortgage_schedule[[#This Row],[Calendar Year]]&gt;=$C$7)*(monthly_mortgage_schedule[[#This Row],[Calendar Year]]&lt;=$C$9),monthly_mortgage_schedule[[#This Row],[Begin Year (Range)]],NA())</f>
        <v>2037</v>
      </c>
      <c r="N202" s="214">
        <f>IF((monthly_mortgage_schedule[[#This Row],[Year (Range)]]&gt;=$C$7)*(monthly_mortgage_schedule[[#This Row],[Year (Range)]]&lt;=$C$9),X202,NA())</f>
        <v>1521.6049050331551</v>
      </c>
      <c r="O202" s="214">
        <f>IF((monthly_mortgage_schedule[[#This Row],[Year (Range)]]&gt;=$C$7)*(monthly_mortgage_schedule[[#This Row],[Year (Range)]]&lt;=$C$9),Y202,NA())</f>
        <v>1578.421590430253</v>
      </c>
      <c r="P202" s="214">
        <f>IF((monthly_mortgage_schedule[[#This Row],[Year (Range)]]&gt;=$C$7)*(monthly_mortgage_schedule[[#This Row],[Year (Range)]]&lt;=$C$9),AG202,NA())</f>
        <v>1733.8884311565728</v>
      </c>
      <c r="Q202" s="214">
        <f>IF((monthly_mortgage_schedule[[#This Row],[Year (Range)]]&gt;=$C$7)*(monthly_mortgage_schedule[[#This Row],[Year (Range)]]&lt;=$C$9),AH202,NA())</f>
        <v>1366.1380643068353</v>
      </c>
      <c r="R202" s="214">
        <f>IF((monthly_mortgage_schedule[[#This Row],[Year (Range)]]&gt;=$C$7)*(monthly_mortgage_schedule[[#This Row],[Year (Range)]]&lt;=$C$9),AO202,NA())</f>
        <v>15201.610552569897</v>
      </c>
      <c r="S202" s="214">
        <f>IF((monthly_mortgage_schedule[[#This Row],[Year (Range)]]&gt;=$C$7)*(monthly_mortgage_schedule[[#This Row],[Year (Range)]]&lt;=$C$9),AP202,NA())</f>
        <v>990</v>
      </c>
      <c r="T202" s="214">
        <f>IF((monthly_mortgage_schedule[[#This Row],[Year (Range)]]&gt;=$C$7)*(monthly_mortgage_schedule[[#This Row],[Year (Range)]]&lt;=$C$9),AR202,NA())</f>
        <v>24741.724914335064</v>
      </c>
      <c r="U202" s="214">
        <f>IF((monthly_mortgage_schedule[[#This Row],[Year (Range)]]&gt;=$C$7)*(monthly_mortgage_schedule[[#This Row],[Year (Range)]]&lt;=$C$9),AB202,NA())</f>
        <v>215520.22765475386</v>
      </c>
      <c r="V202" s="214">
        <f>IF((monthly_mortgage_schedule[[#This Row],[Year (Range)]]&gt;=$C$7)*(monthly_mortgage_schedule[[#This Row],[Year (Range)]]&lt;=$C$9),AI202,NA())</f>
        <v>169818.6171021841</v>
      </c>
      <c r="W202" s="187">
        <f t="shared" si="17"/>
        <v>326058.19393567607</v>
      </c>
      <c r="X202" s="4">
        <f t="shared" si="20"/>
        <v>1521.6049050331551</v>
      </c>
      <c r="Y202" s="4">
        <f t="shared" si="18"/>
        <v>1578.421590430253</v>
      </c>
      <c r="Z202" s="4">
        <f>_xlfn.IFNA(INDEX(additional_mortgage_payments[],MATCH(monthly_mortgage_schedule[[#This Row],[Month]],additional_mortgage_payments[Month],0),3),0)</f>
        <v>0</v>
      </c>
      <c r="AA202" s="4">
        <f>AA201+monthly_mortgage_schedule[[#This Row],[Extra Payments Towards Equity]]</f>
        <v>30500</v>
      </c>
      <c r="AB202" s="4">
        <f>AB201+monthly_mortgage_schedule[[#This Row],[Principal With Extra Principal Payments]]+monthly_mortgage_schedule[[#This Row],[Extra Payments Towards Equity]]</f>
        <v>215520.22765475386</v>
      </c>
      <c r="AC202" s="4">
        <f>monthly_mortgage_schedule[[#This Row],[Cumulative Principal With Extra Principal Payments]]+down_payment_dollars</f>
        <v>275520.22765475383</v>
      </c>
      <c r="AD202" s="200">
        <f t="shared" si="15"/>
        <v>0</v>
      </c>
      <c r="AE20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324479.77234524582</v>
      </c>
      <c r="AF202" s="187">
        <f t="shared" si="21"/>
        <v>371547.52096212271</v>
      </c>
      <c r="AG202" s="4">
        <f>IF(monthly_mortgage_schedule[[#This Row],[Loan Balance (BOY) Without Extra Principal Payments]]&gt;0,monthly_mortgage_schedule[[#This Row],[Loan Balance (BOY) Without Extra Principal Payments]]*monthly_interest_rate,0)</f>
        <v>1733.8884311565728</v>
      </c>
      <c r="AH202" s="4">
        <f>IF(monthly_mortgage_schedule[[#This Row],[Loan Balance (BOY) Without Extra Principal Payments]]&gt;1,monthly_principal_and_interest-monthly_mortgage_schedule[[#This Row],[Interest Without Extra Principal Payments]],0)</f>
        <v>1366.1380643068353</v>
      </c>
      <c r="AI202" s="4">
        <f>AI201+monthly_mortgage_schedule[[#This Row],[Principal Without Extra Principal Payments]]</f>
        <v>169818.6171021841</v>
      </c>
      <c r="AJ202" s="4">
        <f>monthly_mortgage_schedule[[#This Row],[Cumulative Principal Without Extra Principal Payments]]+down_payment_dollars</f>
        <v>229818.6171021841</v>
      </c>
      <c r="AK202" s="200">
        <f t="shared" si="16"/>
        <v>0</v>
      </c>
      <c r="AL20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370181.3828978159</v>
      </c>
      <c r="AN202" s="196">
        <f>monthly_mortgage_schedule[[#This Row],[Extra Payments Towards Equity]]+AN201+IF(monthly_mortgage_schedule[[#This Row],[Interest With Extra Principal Payments]]&gt;0,monthly_mortgage_schedule[[#This Row],[Interest Without Extra Principal Payments]]-monthly_mortgage_schedule[[#This Row],[Interest With Extra Principal Payments]],0)</f>
        <v>45701.610552569909</v>
      </c>
      <c r="AO202" s="4">
        <f>AO201+IF(monthly_mortgage_schedule[[#This Row],[Interest With Extra Principal Payments]]&gt;0,monthly_mortgage_schedule[[#This Row],[Interest Without Extra Principal Payments]]-monthly_mortgage_schedule[[#This Row],[Interest With Extra Principal Payments]],0)</f>
        <v>15201.610552569897</v>
      </c>
      <c r="AP202" s="4">
        <f>AP201+monthly_mortgage_schedule[[#This Row],[PMI Without Extra Principal Payments]]-monthly_mortgage_schedule[[#This Row],[PMI with Additional Payments]]</f>
        <v>990</v>
      </c>
      <c r="AQ202" s="4">
        <f t="shared" si="19"/>
        <v>55241.724914335064</v>
      </c>
      <c r="AR202" s="4">
        <f>Table60[[#This Row],[Cumulative Investments]]-monthly_mortgage_schedule[[#This Row],[Cumulative Extra Payments Towards Equity]]</f>
        <v>24741.724914335064</v>
      </c>
    </row>
    <row r="203" spans="9:44" x14ac:dyDescent="0.25">
      <c r="I203">
        <v>186</v>
      </c>
      <c r="J203">
        <f>IF(MOD(ROWS($J$18:J202),12)=0,J202+1,J202)</f>
        <v>2037</v>
      </c>
      <c r="K203" s="198">
        <f>IF(M203="#N/A",NA(),monthly_mortgage_schedule[[#This Row],[Month]])</f>
        <v>186</v>
      </c>
      <c r="L203" s="198">
        <f>IF(monthly_mortgage_schedule[[#This Row],[Calendar Year]]&gt;=$C$7,monthly_mortgage_schedule[[#This Row],[Calendar Year]],NA())</f>
        <v>2037</v>
      </c>
      <c r="M203" s="199">
        <f>IF((monthly_mortgage_schedule[[#This Row],[Calendar Year]]&gt;=$C$7)*(monthly_mortgage_schedule[[#This Row],[Calendar Year]]&lt;=$C$9),monthly_mortgage_schedule[[#This Row],[Begin Year (Range)]],NA())</f>
        <v>2037</v>
      </c>
      <c r="N203" s="214">
        <f>IF((monthly_mortgage_schedule[[#This Row],[Year (Range)]]&gt;=$C$7)*(monthly_mortgage_schedule[[#This Row],[Year (Range)]]&lt;=$C$9),X203,NA())</f>
        <v>1514.2389376111473</v>
      </c>
      <c r="O203" s="214">
        <f>IF((monthly_mortgage_schedule[[#This Row],[Year (Range)]]&gt;=$C$7)*(monthly_mortgage_schedule[[#This Row],[Year (Range)]]&lt;=$C$9),Y203,NA())</f>
        <v>1585.7875578522608</v>
      </c>
      <c r="P203" s="214">
        <f>IF((monthly_mortgage_schedule[[#This Row],[Year (Range)]]&gt;=$C$7)*(monthly_mortgage_schedule[[#This Row],[Year (Range)]]&lt;=$C$9),AG203,NA())</f>
        <v>1727.5131201898078</v>
      </c>
      <c r="Q203" s="214">
        <f>IF((monthly_mortgage_schedule[[#This Row],[Year (Range)]]&gt;=$C$7)*(monthly_mortgage_schedule[[#This Row],[Year (Range)]]&lt;=$C$9),AH203,NA())</f>
        <v>1372.5133752736003</v>
      </c>
      <c r="R203" s="214">
        <f>IF((monthly_mortgage_schedule[[#This Row],[Year (Range)]]&gt;=$C$7)*(monthly_mortgage_schedule[[#This Row],[Year (Range)]]&lt;=$C$9),AO203,NA())</f>
        <v>15414.884735148557</v>
      </c>
      <c r="S203" s="214">
        <f>IF((monthly_mortgage_schedule[[#This Row],[Year (Range)]]&gt;=$C$7)*(monthly_mortgage_schedule[[#This Row],[Year (Range)]]&lt;=$C$9),AP203,NA())</f>
        <v>990</v>
      </c>
      <c r="T203" s="214">
        <f>IF((monthly_mortgage_schedule[[#This Row],[Year (Range)]]&gt;=$C$7)*(monthly_mortgage_schedule[[#This Row],[Year (Range)]]&lt;=$C$9),AR203,NA())</f>
        <v>25110.00308043063</v>
      </c>
      <c r="U203" s="214">
        <f>IF((monthly_mortgage_schedule[[#This Row],[Year (Range)]]&gt;=$C$7)*(monthly_mortgage_schedule[[#This Row],[Year (Range)]]&lt;=$C$9),AB203,NA())</f>
        <v>217106.01521260611</v>
      </c>
      <c r="V203" s="214">
        <f>IF((monthly_mortgage_schedule[[#This Row],[Year (Range)]]&gt;=$C$7)*(monthly_mortgage_schedule[[#This Row],[Year (Range)]]&lt;=$C$9),AI203,NA())</f>
        <v>171191.13047745771</v>
      </c>
      <c r="W203" s="187">
        <f t="shared" si="17"/>
        <v>324479.77234524582</v>
      </c>
      <c r="X203" s="4">
        <f t="shared" si="20"/>
        <v>1514.2389376111473</v>
      </c>
      <c r="Y203" s="4">
        <f t="shared" si="18"/>
        <v>1585.7875578522608</v>
      </c>
      <c r="Z203" s="4">
        <f>_xlfn.IFNA(INDEX(additional_mortgage_payments[],MATCH(monthly_mortgage_schedule[[#This Row],[Month]],additional_mortgage_payments[Month],0),3),0)</f>
        <v>0</v>
      </c>
      <c r="AA203" s="4">
        <f>AA202+monthly_mortgage_schedule[[#This Row],[Extra Payments Towards Equity]]</f>
        <v>30500</v>
      </c>
      <c r="AB203" s="4">
        <f>AB202+monthly_mortgage_schedule[[#This Row],[Principal With Extra Principal Payments]]+monthly_mortgage_schedule[[#This Row],[Extra Payments Towards Equity]]</f>
        <v>217106.01521260611</v>
      </c>
      <c r="AC203" s="4">
        <f>monthly_mortgage_schedule[[#This Row],[Cumulative Principal With Extra Principal Payments]]+down_payment_dollars</f>
        <v>277106.01521260611</v>
      </c>
      <c r="AD203" s="200">
        <f t="shared" si="15"/>
        <v>0</v>
      </c>
      <c r="AE20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322893.98478739354</v>
      </c>
      <c r="AF203" s="187">
        <f t="shared" si="21"/>
        <v>370181.3828978159</v>
      </c>
      <c r="AG203" s="4">
        <f>IF(monthly_mortgage_schedule[[#This Row],[Loan Balance (BOY) Without Extra Principal Payments]]&gt;0,monthly_mortgage_schedule[[#This Row],[Loan Balance (BOY) Without Extra Principal Payments]]*monthly_interest_rate,0)</f>
        <v>1727.5131201898078</v>
      </c>
      <c r="AH203" s="4">
        <f>IF(monthly_mortgage_schedule[[#This Row],[Loan Balance (BOY) Without Extra Principal Payments]]&gt;1,monthly_principal_and_interest-monthly_mortgage_schedule[[#This Row],[Interest Without Extra Principal Payments]],0)</f>
        <v>1372.5133752736003</v>
      </c>
      <c r="AI203" s="4">
        <f>AI202+monthly_mortgage_schedule[[#This Row],[Principal Without Extra Principal Payments]]</f>
        <v>171191.13047745771</v>
      </c>
      <c r="AJ203" s="4">
        <f>monthly_mortgage_schedule[[#This Row],[Cumulative Principal Without Extra Principal Payments]]+down_payment_dollars</f>
        <v>231191.13047745771</v>
      </c>
      <c r="AK203" s="200">
        <f t="shared" si="16"/>
        <v>0</v>
      </c>
      <c r="AL20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368808.86952254229</v>
      </c>
      <c r="AN203" s="196">
        <f>monthly_mortgage_schedule[[#This Row],[Extra Payments Towards Equity]]+AN202+IF(monthly_mortgage_schedule[[#This Row],[Interest With Extra Principal Payments]]&gt;0,monthly_mortgage_schedule[[#This Row],[Interest Without Extra Principal Payments]]-monthly_mortgage_schedule[[#This Row],[Interest With Extra Principal Payments]],0)</f>
        <v>45914.884735148567</v>
      </c>
      <c r="AO203" s="4">
        <f>AO202+IF(monthly_mortgage_schedule[[#This Row],[Interest With Extra Principal Payments]]&gt;0,monthly_mortgage_schedule[[#This Row],[Interest Without Extra Principal Payments]]-monthly_mortgage_schedule[[#This Row],[Interest With Extra Principal Payments]],0)</f>
        <v>15414.884735148557</v>
      </c>
      <c r="AP203" s="4">
        <f>AP202+monthly_mortgage_schedule[[#This Row],[PMI Without Extra Principal Payments]]-monthly_mortgage_schedule[[#This Row],[PMI with Additional Payments]]</f>
        <v>990</v>
      </c>
      <c r="AQ203" s="4">
        <f t="shared" si="19"/>
        <v>55610.00308043063</v>
      </c>
      <c r="AR203" s="4">
        <f>Table60[[#This Row],[Cumulative Investments]]-monthly_mortgage_schedule[[#This Row],[Cumulative Extra Payments Towards Equity]]</f>
        <v>25110.00308043063</v>
      </c>
    </row>
    <row r="204" spans="9:44" x14ac:dyDescent="0.25">
      <c r="I204">
        <v>187</v>
      </c>
      <c r="J204">
        <f>IF(MOD(ROWS($J$18:J203),12)=0,J203+1,J203)</f>
        <v>2037</v>
      </c>
      <c r="K204" s="198">
        <f>IF(M204="#N/A",NA(),monthly_mortgage_schedule[[#This Row],[Month]])</f>
        <v>187</v>
      </c>
      <c r="L204" s="198">
        <f>IF(monthly_mortgage_schedule[[#This Row],[Calendar Year]]&gt;=$C$7,monthly_mortgage_schedule[[#This Row],[Calendar Year]],NA())</f>
        <v>2037</v>
      </c>
      <c r="M204" s="199">
        <f>IF((monthly_mortgage_schedule[[#This Row],[Calendar Year]]&gt;=$C$7)*(monthly_mortgage_schedule[[#This Row],[Calendar Year]]&lt;=$C$9),monthly_mortgage_schedule[[#This Row],[Begin Year (Range)]],NA())</f>
        <v>2037</v>
      </c>
      <c r="N204" s="214">
        <f>IF((monthly_mortgage_schedule[[#This Row],[Year (Range)]]&gt;=$C$7)*(monthly_mortgage_schedule[[#This Row],[Year (Range)]]&lt;=$C$9),X204,NA())</f>
        <v>1506.8385956745033</v>
      </c>
      <c r="O204" s="214">
        <f>IF((monthly_mortgage_schedule[[#This Row],[Year (Range)]]&gt;=$C$7)*(monthly_mortgage_schedule[[#This Row],[Year (Range)]]&lt;=$C$9),Y204,NA())</f>
        <v>1593.1878997889048</v>
      </c>
      <c r="P204" s="214">
        <f>IF((monthly_mortgage_schedule[[#This Row],[Year (Range)]]&gt;=$C$7)*(monthly_mortgage_schedule[[#This Row],[Year (Range)]]&lt;=$C$9),AG204,NA())</f>
        <v>1721.1080577718642</v>
      </c>
      <c r="Q204" s="214">
        <f>IF((monthly_mortgage_schedule[[#This Row],[Year (Range)]]&gt;=$C$7)*(monthly_mortgage_schedule[[#This Row],[Year (Range)]]&lt;=$C$9),AH204,NA())</f>
        <v>1378.9184376915439</v>
      </c>
      <c r="R204" s="214">
        <f>IF((monthly_mortgage_schedule[[#This Row],[Year (Range)]]&gt;=$C$7)*(monthly_mortgage_schedule[[#This Row],[Year (Range)]]&lt;=$C$9),AO204,NA())</f>
        <v>15629.154197245918</v>
      </c>
      <c r="S204" s="214">
        <f>IF((monthly_mortgage_schedule[[#This Row],[Year (Range)]]&gt;=$C$7)*(monthly_mortgage_schedule[[#This Row],[Year (Range)]]&lt;=$C$9),AP204,NA())</f>
        <v>990</v>
      </c>
      <c r="T204" s="214">
        <f>IF((monthly_mortgage_schedule[[#This Row],[Year (Range)]]&gt;=$C$7)*(monthly_mortgage_schedule[[#This Row],[Year (Range)]]&lt;=$C$9),AR204,NA())</f>
        <v>25480.736434300161</v>
      </c>
      <c r="U204" s="214">
        <f>IF((monthly_mortgage_schedule[[#This Row],[Year (Range)]]&gt;=$C$7)*(monthly_mortgage_schedule[[#This Row],[Year (Range)]]&lt;=$C$9),AB204,NA())</f>
        <v>218699.20311239501</v>
      </c>
      <c r="V204" s="214">
        <f>IF((monthly_mortgage_schedule[[#This Row],[Year (Range)]]&gt;=$C$7)*(monthly_mortgage_schedule[[#This Row],[Year (Range)]]&lt;=$C$9),AI204,NA())</f>
        <v>172570.04891514927</v>
      </c>
      <c r="W204" s="187">
        <f t="shared" si="17"/>
        <v>322893.98478739354</v>
      </c>
      <c r="X204" s="4">
        <f t="shared" si="20"/>
        <v>1506.8385956745033</v>
      </c>
      <c r="Y204" s="4">
        <f t="shared" si="18"/>
        <v>1593.1878997889048</v>
      </c>
      <c r="Z204" s="4">
        <f>_xlfn.IFNA(INDEX(additional_mortgage_payments[],MATCH(monthly_mortgage_schedule[[#This Row],[Month]],additional_mortgage_payments[Month],0),3),0)</f>
        <v>0</v>
      </c>
      <c r="AA204" s="4">
        <f>AA203+monthly_mortgage_schedule[[#This Row],[Extra Payments Towards Equity]]</f>
        <v>30500</v>
      </c>
      <c r="AB204" s="4">
        <f>AB203+monthly_mortgage_schedule[[#This Row],[Principal With Extra Principal Payments]]+monthly_mortgage_schedule[[#This Row],[Extra Payments Towards Equity]]</f>
        <v>218699.20311239501</v>
      </c>
      <c r="AC204" s="4">
        <f>monthly_mortgage_schedule[[#This Row],[Cumulative Principal With Extra Principal Payments]]+down_payment_dollars</f>
        <v>278699.20311239501</v>
      </c>
      <c r="AD204" s="200">
        <f t="shared" si="15"/>
        <v>0</v>
      </c>
      <c r="AE20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321300.79688760464</v>
      </c>
      <c r="AF204" s="187">
        <f t="shared" si="21"/>
        <v>368808.86952254229</v>
      </c>
      <c r="AG204" s="4">
        <f>IF(monthly_mortgage_schedule[[#This Row],[Loan Balance (BOY) Without Extra Principal Payments]]&gt;0,monthly_mortgage_schedule[[#This Row],[Loan Balance (BOY) Without Extra Principal Payments]]*monthly_interest_rate,0)</f>
        <v>1721.1080577718642</v>
      </c>
      <c r="AH204" s="4">
        <f>IF(monthly_mortgage_schedule[[#This Row],[Loan Balance (BOY) Without Extra Principal Payments]]&gt;1,monthly_principal_and_interest-monthly_mortgage_schedule[[#This Row],[Interest Without Extra Principal Payments]],0)</f>
        <v>1378.9184376915439</v>
      </c>
      <c r="AI204" s="4">
        <f>AI203+monthly_mortgage_schedule[[#This Row],[Principal Without Extra Principal Payments]]</f>
        <v>172570.04891514927</v>
      </c>
      <c r="AJ204" s="4">
        <f>monthly_mortgage_schedule[[#This Row],[Cumulative Principal Without Extra Principal Payments]]+down_payment_dollars</f>
        <v>232570.04891514927</v>
      </c>
      <c r="AK204" s="200">
        <f t="shared" si="16"/>
        <v>0</v>
      </c>
      <c r="AL20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367429.95108485076</v>
      </c>
      <c r="AN204" s="196">
        <f>monthly_mortgage_schedule[[#This Row],[Extra Payments Towards Equity]]+AN203+IF(monthly_mortgage_schedule[[#This Row],[Interest With Extra Principal Payments]]&gt;0,monthly_mortgage_schedule[[#This Row],[Interest Without Extra Principal Payments]]-monthly_mortgage_schedule[[#This Row],[Interest With Extra Principal Payments]],0)</f>
        <v>46129.154197245931</v>
      </c>
      <c r="AO204" s="4">
        <f>AO203+IF(monthly_mortgage_schedule[[#This Row],[Interest With Extra Principal Payments]]&gt;0,monthly_mortgage_schedule[[#This Row],[Interest Without Extra Principal Payments]]-monthly_mortgage_schedule[[#This Row],[Interest With Extra Principal Payments]],0)</f>
        <v>15629.154197245918</v>
      </c>
      <c r="AP204" s="4">
        <f>AP203+monthly_mortgage_schedule[[#This Row],[PMI Without Extra Principal Payments]]-monthly_mortgage_schedule[[#This Row],[PMI with Additional Payments]]</f>
        <v>990</v>
      </c>
      <c r="AQ204" s="4">
        <f t="shared" si="19"/>
        <v>55980.736434300161</v>
      </c>
      <c r="AR204" s="4">
        <f>Table60[[#This Row],[Cumulative Investments]]-monthly_mortgage_schedule[[#This Row],[Cumulative Extra Payments Towards Equity]]</f>
        <v>25480.736434300161</v>
      </c>
    </row>
    <row r="205" spans="9:44" x14ac:dyDescent="0.25">
      <c r="I205">
        <v>188</v>
      </c>
      <c r="J205">
        <f>IF(MOD(ROWS($J$18:J204),12)=0,J204+1,J204)</f>
        <v>2037</v>
      </c>
      <c r="K205" s="198">
        <f>IF(M205="#N/A",NA(),monthly_mortgage_schedule[[#This Row],[Month]])</f>
        <v>188</v>
      </c>
      <c r="L205" s="198">
        <f>IF(monthly_mortgage_schedule[[#This Row],[Calendar Year]]&gt;=$C$7,monthly_mortgage_schedule[[#This Row],[Calendar Year]],NA())</f>
        <v>2037</v>
      </c>
      <c r="M205" s="199">
        <f>IF((monthly_mortgage_schedule[[#This Row],[Calendar Year]]&gt;=$C$7)*(monthly_mortgage_schedule[[#This Row],[Calendar Year]]&lt;=$C$9),monthly_mortgage_schedule[[#This Row],[Begin Year (Range)]],NA())</f>
        <v>2037</v>
      </c>
      <c r="N205" s="214">
        <f>IF((monthly_mortgage_schedule[[#This Row],[Year (Range)]]&gt;=$C$7)*(monthly_mortgage_schedule[[#This Row],[Year (Range)]]&lt;=$C$9),X205,NA())</f>
        <v>1499.4037188088218</v>
      </c>
      <c r="O205" s="214">
        <f>IF((monthly_mortgage_schedule[[#This Row],[Year (Range)]]&gt;=$C$7)*(monthly_mortgage_schedule[[#This Row],[Year (Range)]]&lt;=$C$9),Y205,NA())</f>
        <v>1600.6227766545862</v>
      </c>
      <c r="P205" s="214">
        <f>IF((monthly_mortgage_schedule[[#This Row],[Year (Range)]]&gt;=$C$7)*(monthly_mortgage_schedule[[#This Row],[Year (Range)]]&lt;=$C$9),AG205,NA())</f>
        <v>1714.673105062637</v>
      </c>
      <c r="Q205" s="214">
        <f>IF((monthly_mortgage_schedule[[#This Row],[Year (Range)]]&gt;=$C$7)*(monthly_mortgage_schedule[[#This Row],[Year (Range)]]&lt;=$C$9),AH205,NA())</f>
        <v>1385.3533904007711</v>
      </c>
      <c r="R205" s="214">
        <f>IF((monthly_mortgage_schedule[[#This Row],[Year (Range)]]&gt;=$C$7)*(monthly_mortgage_schedule[[#This Row],[Year (Range)]]&lt;=$C$9),AO205,NA())</f>
        <v>15844.423583499733</v>
      </c>
      <c r="S205" s="214">
        <f>IF((monthly_mortgage_schedule[[#This Row],[Year (Range)]]&gt;=$C$7)*(monthly_mortgage_schedule[[#This Row],[Year (Range)]]&lt;=$C$9),AP205,NA())</f>
        <v>990</v>
      </c>
      <c r="T205" s="214">
        <f>IF((monthly_mortgage_schedule[[#This Row],[Year (Range)]]&gt;=$C$7)*(monthly_mortgage_schedule[[#This Row],[Year (Range)]]&lt;=$C$9),AR205,NA())</f>
        <v>25853.941343862156</v>
      </c>
      <c r="U205" s="214">
        <f>IF((monthly_mortgage_schedule[[#This Row],[Year (Range)]]&gt;=$C$7)*(monthly_mortgage_schedule[[#This Row],[Year (Range)]]&lt;=$C$9),AB205,NA())</f>
        <v>220299.82588904959</v>
      </c>
      <c r="V205" s="214">
        <f>IF((monthly_mortgage_schedule[[#This Row],[Year (Range)]]&gt;=$C$7)*(monthly_mortgage_schedule[[#This Row],[Year (Range)]]&lt;=$C$9),AI205,NA())</f>
        <v>173955.40230555003</v>
      </c>
      <c r="W205" s="187">
        <f t="shared" si="17"/>
        <v>321300.79688760464</v>
      </c>
      <c r="X205" s="4">
        <f t="shared" si="20"/>
        <v>1499.4037188088218</v>
      </c>
      <c r="Y205" s="4">
        <f t="shared" si="18"/>
        <v>1600.6227766545862</v>
      </c>
      <c r="Z205" s="4">
        <f>_xlfn.IFNA(INDEX(additional_mortgage_payments[],MATCH(monthly_mortgage_schedule[[#This Row],[Month]],additional_mortgage_payments[Month],0),3),0)</f>
        <v>0</v>
      </c>
      <c r="AA205" s="4">
        <f>AA204+monthly_mortgage_schedule[[#This Row],[Extra Payments Towards Equity]]</f>
        <v>30500</v>
      </c>
      <c r="AB205" s="4">
        <f>AB204+monthly_mortgage_schedule[[#This Row],[Principal With Extra Principal Payments]]+monthly_mortgage_schedule[[#This Row],[Extra Payments Towards Equity]]</f>
        <v>220299.82588904959</v>
      </c>
      <c r="AC205" s="4">
        <f>monthly_mortgage_schedule[[#This Row],[Cumulative Principal With Extra Principal Payments]]+down_payment_dollars</f>
        <v>280299.82588904956</v>
      </c>
      <c r="AD205" s="200">
        <f t="shared" si="15"/>
        <v>0</v>
      </c>
      <c r="AE20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319700.17411095003</v>
      </c>
      <c r="AF205" s="187">
        <f t="shared" si="21"/>
        <v>367429.95108485076</v>
      </c>
      <c r="AG205" s="4">
        <f>IF(monthly_mortgage_schedule[[#This Row],[Loan Balance (BOY) Without Extra Principal Payments]]&gt;0,monthly_mortgage_schedule[[#This Row],[Loan Balance (BOY) Without Extra Principal Payments]]*monthly_interest_rate,0)</f>
        <v>1714.673105062637</v>
      </c>
      <c r="AH205" s="4">
        <f>IF(monthly_mortgage_schedule[[#This Row],[Loan Balance (BOY) Without Extra Principal Payments]]&gt;1,monthly_principal_and_interest-monthly_mortgage_schedule[[#This Row],[Interest Without Extra Principal Payments]],0)</f>
        <v>1385.3533904007711</v>
      </c>
      <c r="AI205" s="4">
        <f>AI204+monthly_mortgage_schedule[[#This Row],[Principal Without Extra Principal Payments]]</f>
        <v>173955.40230555003</v>
      </c>
      <c r="AJ205" s="4">
        <f>monthly_mortgage_schedule[[#This Row],[Cumulative Principal Without Extra Principal Payments]]+down_payment_dollars</f>
        <v>233955.40230555003</v>
      </c>
      <c r="AK205" s="200">
        <f t="shared" si="16"/>
        <v>0</v>
      </c>
      <c r="AL20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366044.59769445</v>
      </c>
      <c r="AN205" s="196">
        <f>monthly_mortgage_schedule[[#This Row],[Extra Payments Towards Equity]]+AN204+IF(monthly_mortgage_schedule[[#This Row],[Interest With Extra Principal Payments]]&gt;0,monthly_mortgage_schedule[[#This Row],[Interest Without Extra Principal Payments]]-monthly_mortgage_schedule[[#This Row],[Interest With Extra Principal Payments]],0)</f>
        <v>46344.423583499745</v>
      </c>
      <c r="AO205" s="4">
        <f>AO204+IF(monthly_mortgage_schedule[[#This Row],[Interest With Extra Principal Payments]]&gt;0,monthly_mortgage_schedule[[#This Row],[Interest Without Extra Principal Payments]]-monthly_mortgage_schedule[[#This Row],[Interest With Extra Principal Payments]],0)</f>
        <v>15844.423583499733</v>
      </c>
      <c r="AP205" s="4">
        <f>AP204+monthly_mortgage_schedule[[#This Row],[PMI Without Extra Principal Payments]]-monthly_mortgage_schedule[[#This Row],[PMI with Additional Payments]]</f>
        <v>990</v>
      </c>
      <c r="AQ205" s="4">
        <f t="shared" si="19"/>
        <v>56353.941343862156</v>
      </c>
      <c r="AR205" s="4">
        <f>Table60[[#This Row],[Cumulative Investments]]-monthly_mortgage_schedule[[#This Row],[Cumulative Extra Payments Towards Equity]]</f>
        <v>25853.941343862156</v>
      </c>
    </row>
    <row r="206" spans="9:44" x14ac:dyDescent="0.25">
      <c r="I206">
        <v>189</v>
      </c>
      <c r="J206">
        <f>IF(MOD(ROWS($J$18:J205),12)=0,J205+1,J205)</f>
        <v>2037</v>
      </c>
      <c r="K206" s="198">
        <f>IF(M206="#N/A",NA(),monthly_mortgage_schedule[[#This Row],[Month]])</f>
        <v>189</v>
      </c>
      <c r="L206" s="198">
        <f>IF(monthly_mortgage_schedule[[#This Row],[Calendar Year]]&gt;=$C$7,monthly_mortgage_schedule[[#This Row],[Calendar Year]],NA())</f>
        <v>2037</v>
      </c>
      <c r="M206" s="199">
        <f>IF((monthly_mortgage_schedule[[#This Row],[Calendar Year]]&gt;=$C$7)*(monthly_mortgage_schedule[[#This Row],[Calendar Year]]&lt;=$C$9),monthly_mortgage_schedule[[#This Row],[Begin Year (Range)]],NA())</f>
        <v>2037</v>
      </c>
      <c r="N206" s="214">
        <f>IF((monthly_mortgage_schedule[[#This Row],[Year (Range)]]&gt;=$C$7)*(monthly_mortgage_schedule[[#This Row],[Year (Range)]]&lt;=$C$9),X206,NA())</f>
        <v>1491.9341458511003</v>
      </c>
      <c r="O206" s="214">
        <f>IF((monthly_mortgage_schedule[[#This Row],[Year (Range)]]&gt;=$C$7)*(monthly_mortgage_schedule[[#This Row],[Year (Range)]]&lt;=$C$9),Y206,NA())</f>
        <v>1608.0923496123078</v>
      </c>
      <c r="P206" s="214">
        <f>IF((monthly_mortgage_schedule[[#This Row],[Year (Range)]]&gt;=$C$7)*(monthly_mortgage_schedule[[#This Row],[Year (Range)]]&lt;=$C$9),AG206,NA())</f>
        <v>1708.2081225741001</v>
      </c>
      <c r="Q206" s="214">
        <f>IF((monthly_mortgage_schedule[[#This Row],[Year (Range)]]&gt;=$C$7)*(monthly_mortgage_schedule[[#This Row],[Year (Range)]]&lt;=$C$9),AH206,NA())</f>
        <v>1391.818372889308</v>
      </c>
      <c r="R206" s="214">
        <f>IF((monthly_mortgage_schedule[[#This Row],[Year (Range)]]&gt;=$C$7)*(monthly_mortgage_schedule[[#This Row],[Year (Range)]]&lt;=$C$9),AO206,NA())</f>
        <v>16060.697560222732</v>
      </c>
      <c r="S206" s="214">
        <f>IF((monthly_mortgage_schedule[[#This Row],[Year (Range)]]&gt;=$C$7)*(monthly_mortgage_schedule[[#This Row],[Year (Range)]]&lt;=$C$9),AP206,NA())</f>
        <v>990</v>
      </c>
      <c r="T206" s="214">
        <f>IF((monthly_mortgage_schedule[[#This Row],[Year (Range)]]&gt;=$C$7)*(monthly_mortgage_schedule[[#This Row],[Year (Range)]]&lt;=$C$9),AR206,NA())</f>
        <v>26229.634286154564</v>
      </c>
      <c r="U206" s="214">
        <f>IF((monthly_mortgage_schedule[[#This Row],[Year (Range)]]&gt;=$C$7)*(monthly_mortgage_schedule[[#This Row],[Year (Range)]]&lt;=$C$9),AB206,NA())</f>
        <v>221907.91823866189</v>
      </c>
      <c r="V206" s="214">
        <f>IF((monthly_mortgage_schedule[[#This Row],[Year (Range)]]&gt;=$C$7)*(monthly_mortgage_schedule[[#This Row],[Year (Range)]]&lt;=$C$9),AI206,NA())</f>
        <v>175347.22067843933</v>
      </c>
      <c r="W206" s="187">
        <f t="shared" si="17"/>
        <v>319700.17411095003</v>
      </c>
      <c r="X206" s="4">
        <f t="shared" si="20"/>
        <v>1491.9341458511003</v>
      </c>
      <c r="Y206" s="4">
        <f t="shared" si="18"/>
        <v>1608.0923496123078</v>
      </c>
      <c r="Z206" s="4">
        <f>_xlfn.IFNA(INDEX(additional_mortgage_payments[],MATCH(monthly_mortgage_schedule[[#This Row],[Month]],additional_mortgage_payments[Month],0),3),0)</f>
        <v>0</v>
      </c>
      <c r="AA206" s="4">
        <f>AA205+monthly_mortgage_schedule[[#This Row],[Extra Payments Towards Equity]]</f>
        <v>30500</v>
      </c>
      <c r="AB206" s="4">
        <f>AB205+monthly_mortgage_schedule[[#This Row],[Principal With Extra Principal Payments]]+monthly_mortgage_schedule[[#This Row],[Extra Payments Towards Equity]]</f>
        <v>221907.91823866189</v>
      </c>
      <c r="AC206" s="4">
        <f>monthly_mortgage_schedule[[#This Row],[Cumulative Principal With Extra Principal Payments]]+down_payment_dollars</f>
        <v>281907.91823866189</v>
      </c>
      <c r="AD206" s="200">
        <f t="shared" si="15"/>
        <v>0</v>
      </c>
      <c r="AE20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318092.0817613377</v>
      </c>
      <c r="AF206" s="187">
        <f t="shared" si="21"/>
        <v>366044.59769445</v>
      </c>
      <c r="AG206" s="4">
        <f>IF(monthly_mortgage_schedule[[#This Row],[Loan Balance (BOY) Without Extra Principal Payments]]&gt;0,monthly_mortgage_schedule[[#This Row],[Loan Balance (BOY) Without Extra Principal Payments]]*monthly_interest_rate,0)</f>
        <v>1708.2081225741001</v>
      </c>
      <c r="AH206" s="4">
        <f>IF(monthly_mortgage_schedule[[#This Row],[Loan Balance (BOY) Without Extra Principal Payments]]&gt;1,monthly_principal_and_interest-monthly_mortgage_schedule[[#This Row],[Interest Without Extra Principal Payments]],0)</f>
        <v>1391.818372889308</v>
      </c>
      <c r="AI206" s="4">
        <f>AI205+monthly_mortgage_schedule[[#This Row],[Principal Without Extra Principal Payments]]</f>
        <v>175347.22067843933</v>
      </c>
      <c r="AJ206" s="4">
        <f>monthly_mortgage_schedule[[#This Row],[Cumulative Principal Without Extra Principal Payments]]+down_payment_dollars</f>
        <v>235347.22067843933</v>
      </c>
      <c r="AK206" s="200">
        <f t="shared" si="16"/>
        <v>0</v>
      </c>
      <c r="AL20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364652.77932156069</v>
      </c>
      <c r="AN206" s="196">
        <f>monthly_mortgage_schedule[[#This Row],[Extra Payments Towards Equity]]+AN205+IF(monthly_mortgage_schedule[[#This Row],[Interest With Extra Principal Payments]]&gt;0,monthly_mortgage_schedule[[#This Row],[Interest Without Extra Principal Payments]]-monthly_mortgage_schedule[[#This Row],[Interest With Extra Principal Payments]],0)</f>
        <v>46560.697560222747</v>
      </c>
      <c r="AO206" s="4">
        <f>AO205+IF(monthly_mortgage_schedule[[#This Row],[Interest With Extra Principal Payments]]&gt;0,monthly_mortgage_schedule[[#This Row],[Interest Without Extra Principal Payments]]-monthly_mortgage_schedule[[#This Row],[Interest With Extra Principal Payments]],0)</f>
        <v>16060.697560222732</v>
      </c>
      <c r="AP206" s="4">
        <f>AP205+monthly_mortgage_schedule[[#This Row],[PMI Without Extra Principal Payments]]-monthly_mortgage_schedule[[#This Row],[PMI with Additional Payments]]</f>
        <v>990</v>
      </c>
      <c r="AQ206" s="4">
        <f t="shared" si="19"/>
        <v>56729.634286154564</v>
      </c>
      <c r="AR206" s="4">
        <f>Table60[[#This Row],[Cumulative Investments]]-monthly_mortgage_schedule[[#This Row],[Cumulative Extra Payments Towards Equity]]</f>
        <v>26229.634286154564</v>
      </c>
    </row>
    <row r="207" spans="9:44" x14ac:dyDescent="0.25">
      <c r="I207">
        <v>190</v>
      </c>
      <c r="J207">
        <f>IF(MOD(ROWS($J$18:J206),12)=0,J206+1,J206)</f>
        <v>2037</v>
      </c>
      <c r="K207" s="198">
        <f>IF(M207="#N/A",NA(),monthly_mortgage_schedule[[#This Row],[Month]])</f>
        <v>190</v>
      </c>
      <c r="L207" s="198">
        <f>IF(monthly_mortgage_schedule[[#This Row],[Calendar Year]]&gt;=$C$7,monthly_mortgage_schedule[[#This Row],[Calendar Year]],NA())</f>
        <v>2037</v>
      </c>
      <c r="M207" s="199">
        <f>IF((monthly_mortgage_schedule[[#This Row],[Calendar Year]]&gt;=$C$7)*(monthly_mortgage_schedule[[#This Row],[Calendar Year]]&lt;=$C$9),monthly_mortgage_schedule[[#This Row],[Begin Year (Range)]],NA())</f>
        <v>2037</v>
      </c>
      <c r="N207" s="214">
        <f>IF((monthly_mortgage_schedule[[#This Row],[Year (Range)]]&gt;=$C$7)*(monthly_mortgage_schedule[[#This Row],[Year (Range)]]&lt;=$C$9),X207,NA())</f>
        <v>1484.4297148862427</v>
      </c>
      <c r="O207" s="214">
        <f>IF((monthly_mortgage_schedule[[#This Row],[Year (Range)]]&gt;=$C$7)*(monthly_mortgage_schedule[[#This Row],[Year (Range)]]&lt;=$C$9),Y207,NA())</f>
        <v>1615.5967805771654</v>
      </c>
      <c r="P207" s="214">
        <f>IF((monthly_mortgage_schedule[[#This Row],[Year (Range)]]&gt;=$C$7)*(monthly_mortgage_schedule[[#This Row],[Year (Range)]]&lt;=$C$9),AG207,NA())</f>
        <v>1701.7129701672834</v>
      </c>
      <c r="Q207" s="214">
        <f>IF((monthly_mortgage_schedule[[#This Row],[Year (Range)]]&gt;=$C$7)*(monthly_mortgage_schedule[[#This Row],[Year (Range)]]&lt;=$C$9),AH207,NA())</f>
        <v>1398.3135252961247</v>
      </c>
      <c r="R207" s="214">
        <f>IF((monthly_mortgage_schedule[[#This Row],[Year (Range)]]&gt;=$C$7)*(monthly_mortgage_schedule[[#This Row],[Year (Range)]]&lt;=$C$9),AO207,NA())</f>
        <v>16277.980815503774</v>
      </c>
      <c r="S207" s="214">
        <f>IF((monthly_mortgage_schedule[[#This Row],[Year (Range)]]&gt;=$C$7)*(monthly_mortgage_schedule[[#This Row],[Year (Range)]]&lt;=$C$9),AP207,NA())</f>
        <v>990</v>
      </c>
      <c r="T207" s="214">
        <f>IF((monthly_mortgage_schedule[[#This Row],[Year (Range)]]&gt;=$C$7)*(monthly_mortgage_schedule[[#This Row],[Year (Range)]]&lt;=$C$9),AR207,NA())</f>
        <v>26611.16518139559</v>
      </c>
      <c r="U207" s="214">
        <f>IF((monthly_mortgage_schedule[[#This Row],[Year (Range)]]&gt;=$C$7)*(monthly_mortgage_schedule[[#This Row],[Year (Range)]]&lt;=$C$9),AB207,NA())</f>
        <v>224023.51501923907</v>
      </c>
      <c r="V207" s="214">
        <f>IF((monthly_mortgage_schedule[[#This Row],[Year (Range)]]&gt;=$C$7)*(monthly_mortgage_schedule[[#This Row],[Year (Range)]]&lt;=$C$9),AI207,NA())</f>
        <v>176745.53420373547</v>
      </c>
      <c r="W207" s="187">
        <f t="shared" si="17"/>
        <v>318092.0817613377</v>
      </c>
      <c r="X207" s="4">
        <f t="shared" si="20"/>
        <v>1484.4297148862427</v>
      </c>
      <c r="Y207" s="4">
        <f t="shared" si="18"/>
        <v>1615.5967805771654</v>
      </c>
      <c r="Z207" s="4">
        <f>_xlfn.IFNA(INDEX(additional_mortgage_payments[],MATCH(monthly_mortgage_schedule[[#This Row],[Month]],additional_mortgage_payments[Month],0),3),0)</f>
        <v>500</v>
      </c>
      <c r="AA207" s="4">
        <f>AA206+monthly_mortgage_schedule[[#This Row],[Extra Payments Towards Equity]]</f>
        <v>31000</v>
      </c>
      <c r="AB207" s="4">
        <f>AB206+monthly_mortgage_schedule[[#This Row],[Principal With Extra Principal Payments]]+monthly_mortgage_schedule[[#This Row],[Extra Payments Towards Equity]]</f>
        <v>224023.51501923907</v>
      </c>
      <c r="AC207" s="4">
        <f>monthly_mortgage_schedule[[#This Row],[Cumulative Principal With Extra Principal Payments]]+down_payment_dollars</f>
        <v>284023.51501923904</v>
      </c>
      <c r="AD207" s="200">
        <f t="shared" si="15"/>
        <v>0</v>
      </c>
      <c r="AE20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315976.48498076055</v>
      </c>
      <c r="AF207" s="187">
        <f t="shared" si="21"/>
        <v>364652.77932156069</v>
      </c>
      <c r="AG207" s="4">
        <f>IF(monthly_mortgage_schedule[[#This Row],[Loan Balance (BOY) Without Extra Principal Payments]]&gt;0,monthly_mortgage_schedule[[#This Row],[Loan Balance (BOY) Without Extra Principal Payments]]*monthly_interest_rate,0)</f>
        <v>1701.7129701672834</v>
      </c>
      <c r="AH207" s="4">
        <f>IF(monthly_mortgage_schedule[[#This Row],[Loan Balance (BOY) Without Extra Principal Payments]]&gt;1,monthly_principal_and_interest-monthly_mortgage_schedule[[#This Row],[Interest Without Extra Principal Payments]],0)</f>
        <v>1398.3135252961247</v>
      </c>
      <c r="AI207" s="4">
        <f>AI206+monthly_mortgage_schedule[[#This Row],[Principal Without Extra Principal Payments]]</f>
        <v>176745.53420373547</v>
      </c>
      <c r="AJ207" s="4">
        <f>monthly_mortgage_schedule[[#This Row],[Cumulative Principal Without Extra Principal Payments]]+down_payment_dollars</f>
        <v>236745.53420373547</v>
      </c>
      <c r="AK207" s="200">
        <f t="shared" si="16"/>
        <v>0</v>
      </c>
      <c r="AL20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363254.46579626459</v>
      </c>
      <c r="AN207" s="196">
        <f>monthly_mortgage_schedule[[#This Row],[Extra Payments Towards Equity]]+AN206+IF(monthly_mortgage_schedule[[#This Row],[Interest With Extra Principal Payments]]&gt;0,monthly_mortgage_schedule[[#This Row],[Interest Without Extra Principal Payments]]-monthly_mortgage_schedule[[#This Row],[Interest With Extra Principal Payments]],0)</f>
        <v>47277.98081550379</v>
      </c>
      <c r="AO207" s="4">
        <f>AO206+IF(monthly_mortgage_schedule[[#This Row],[Interest With Extra Principal Payments]]&gt;0,monthly_mortgage_schedule[[#This Row],[Interest Without Extra Principal Payments]]-monthly_mortgage_schedule[[#This Row],[Interest With Extra Principal Payments]],0)</f>
        <v>16277.980815503774</v>
      </c>
      <c r="AP207" s="4">
        <f>AP206+monthly_mortgage_schedule[[#This Row],[PMI Without Extra Principal Payments]]-monthly_mortgage_schedule[[#This Row],[PMI with Additional Payments]]</f>
        <v>990</v>
      </c>
      <c r="AQ207" s="4">
        <f t="shared" si="19"/>
        <v>57611.16518139559</v>
      </c>
      <c r="AR207" s="4">
        <f>Table60[[#This Row],[Cumulative Investments]]-monthly_mortgage_schedule[[#This Row],[Cumulative Extra Payments Towards Equity]]</f>
        <v>26611.16518139559</v>
      </c>
    </row>
    <row r="208" spans="9:44" x14ac:dyDescent="0.25">
      <c r="I208">
        <v>191</v>
      </c>
      <c r="J208">
        <f>IF(MOD(ROWS($J$18:J207),12)=0,J207+1,J207)</f>
        <v>2037</v>
      </c>
      <c r="K208" s="198">
        <f>IF(M208="#N/A",NA(),monthly_mortgage_schedule[[#This Row],[Month]])</f>
        <v>191</v>
      </c>
      <c r="L208" s="198">
        <f>IF(monthly_mortgage_schedule[[#This Row],[Calendar Year]]&gt;=$C$7,monthly_mortgage_schedule[[#This Row],[Calendar Year]],NA())</f>
        <v>2037</v>
      </c>
      <c r="M208" s="199">
        <f>IF((monthly_mortgage_schedule[[#This Row],[Calendar Year]]&gt;=$C$7)*(monthly_mortgage_schedule[[#This Row],[Calendar Year]]&lt;=$C$9),monthly_mortgage_schedule[[#This Row],[Begin Year (Range)]],NA())</f>
        <v>2037</v>
      </c>
      <c r="N208" s="214">
        <f>IF((monthly_mortgage_schedule[[#This Row],[Year (Range)]]&gt;=$C$7)*(monthly_mortgage_schedule[[#This Row],[Year (Range)]]&lt;=$C$9),X208,NA())</f>
        <v>1474.556929910216</v>
      </c>
      <c r="O208" s="214">
        <f>IF((monthly_mortgage_schedule[[#This Row],[Year (Range)]]&gt;=$C$7)*(monthly_mortgage_schedule[[#This Row],[Year (Range)]]&lt;=$C$9),Y208,NA())</f>
        <v>1625.4695655531921</v>
      </c>
      <c r="P208" s="214">
        <f>IF((monthly_mortgage_schedule[[#This Row],[Year (Range)]]&gt;=$C$7)*(monthly_mortgage_schedule[[#This Row],[Year (Range)]]&lt;=$C$9),AG208,NA())</f>
        <v>1695.1875070492349</v>
      </c>
      <c r="Q208" s="214">
        <f>IF((monthly_mortgage_schedule[[#This Row],[Year (Range)]]&gt;=$C$7)*(monthly_mortgage_schedule[[#This Row],[Year (Range)]]&lt;=$C$9),AH208,NA())</f>
        <v>1404.8389884141732</v>
      </c>
      <c r="R208" s="214">
        <f>IF((monthly_mortgage_schedule[[#This Row],[Year (Range)]]&gt;=$C$7)*(monthly_mortgage_schedule[[#This Row],[Year (Range)]]&lt;=$C$9),AO208,NA())</f>
        <v>16498.611392642793</v>
      </c>
      <c r="S208" s="214">
        <f>IF((monthly_mortgage_schedule[[#This Row],[Year (Range)]]&gt;=$C$7)*(monthly_mortgage_schedule[[#This Row],[Year (Range)]]&lt;=$C$9),AP208,NA())</f>
        <v>990</v>
      </c>
      <c r="T208" s="214">
        <f>IF((monthly_mortgage_schedule[[#This Row],[Year (Range)]]&gt;=$C$7)*(monthly_mortgage_schedule[[#This Row],[Year (Range)]]&lt;=$C$9),AR208,NA())</f>
        <v>26995.239615938226</v>
      </c>
      <c r="U208" s="214">
        <f>IF((monthly_mortgage_schedule[[#This Row],[Year (Range)]]&gt;=$C$7)*(monthly_mortgage_schedule[[#This Row],[Year (Range)]]&lt;=$C$9),AB208,NA())</f>
        <v>225648.98458479226</v>
      </c>
      <c r="V208" s="214">
        <f>IF((monthly_mortgage_schedule[[#This Row],[Year (Range)]]&gt;=$C$7)*(monthly_mortgage_schedule[[#This Row],[Year (Range)]]&lt;=$C$9),AI208,NA())</f>
        <v>178150.37319214965</v>
      </c>
      <c r="W208" s="187">
        <f t="shared" si="17"/>
        <v>315976.48498076055</v>
      </c>
      <c r="X208" s="4">
        <f t="shared" si="20"/>
        <v>1474.556929910216</v>
      </c>
      <c r="Y208" s="4">
        <f t="shared" si="18"/>
        <v>1625.4695655531921</v>
      </c>
      <c r="Z208" s="4">
        <f>_xlfn.IFNA(INDEX(additional_mortgage_payments[],MATCH(monthly_mortgage_schedule[[#This Row],[Month]],additional_mortgage_payments[Month],0),3),0)</f>
        <v>0</v>
      </c>
      <c r="AA208" s="4">
        <f>AA207+monthly_mortgage_schedule[[#This Row],[Extra Payments Towards Equity]]</f>
        <v>31000</v>
      </c>
      <c r="AB208" s="4">
        <f>AB207+monthly_mortgage_schedule[[#This Row],[Principal With Extra Principal Payments]]+monthly_mortgage_schedule[[#This Row],[Extra Payments Towards Equity]]</f>
        <v>225648.98458479226</v>
      </c>
      <c r="AC208" s="4">
        <f>monthly_mortgage_schedule[[#This Row],[Cumulative Principal With Extra Principal Payments]]+down_payment_dollars</f>
        <v>285648.98458479228</v>
      </c>
      <c r="AD208" s="200">
        <f t="shared" si="15"/>
        <v>0</v>
      </c>
      <c r="AE20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314351.01541520737</v>
      </c>
      <c r="AF208" s="187">
        <f t="shared" si="21"/>
        <v>363254.46579626459</v>
      </c>
      <c r="AG208" s="4">
        <f>IF(monthly_mortgage_schedule[[#This Row],[Loan Balance (BOY) Without Extra Principal Payments]]&gt;0,monthly_mortgage_schedule[[#This Row],[Loan Balance (BOY) Without Extra Principal Payments]]*monthly_interest_rate,0)</f>
        <v>1695.1875070492349</v>
      </c>
      <c r="AH208" s="4">
        <f>IF(monthly_mortgage_schedule[[#This Row],[Loan Balance (BOY) Without Extra Principal Payments]]&gt;1,monthly_principal_and_interest-monthly_mortgage_schedule[[#This Row],[Interest Without Extra Principal Payments]],0)</f>
        <v>1404.8389884141732</v>
      </c>
      <c r="AI208" s="4">
        <f>AI207+monthly_mortgage_schedule[[#This Row],[Principal Without Extra Principal Payments]]</f>
        <v>178150.37319214965</v>
      </c>
      <c r="AJ208" s="4">
        <f>monthly_mortgage_schedule[[#This Row],[Cumulative Principal Without Extra Principal Payments]]+down_payment_dollars</f>
        <v>238150.37319214965</v>
      </c>
      <c r="AK208" s="200">
        <f t="shared" si="16"/>
        <v>0</v>
      </c>
      <c r="AL20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361849.62680785044</v>
      </c>
      <c r="AN208" s="196">
        <f>monthly_mortgage_schedule[[#This Row],[Extra Payments Towards Equity]]+AN207+IF(monthly_mortgage_schedule[[#This Row],[Interest With Extra Principal Payments]]&gt;0,monthly_mortgage_schedule[[#This Row],[Interest Without Extra Principal Payments]]-monthly_mortgage_schedule[[#This Row],[Interest With Extra Principal Payments]],0)</f>
        <v>47498.611392642808</v>
      </c>
      <c r="AO208" s="4">
        <f>AO207+IF(monthly_mortgage_schedule[[#This Row],[Interest With Extra Principal Payments]]&gt;0,monthly_mortgage_schedule[[#This Row],[Interest Without Extra Principal Payments]]-monthly_mortgage_schedule[[#This Row],[Interest With Extra Principal Payments]],0)</f>
        <v>16498.611392642793</v>
      </c>
      <c r="AP208" s="4">
        <f>AP207+monthly_mortgage_schedule[[#This Row],[PMI Without Extra Principal Payments]]-monthly_mortgage_schedule[[#This Row],[PMI with Additional Payments]]</f>
        <v>990</v>
      </c>
      <c r="AQ208" s="4">
        <f t="shared" si="19"/>
        <v>57995.239615938226</v>
      </c>
      <c r="AR208" s="4">
        <f>Table60[[#This Row],[Cumulative Investments]]-monthly_mortgage_schedule[[#This Row],[Cumulative Extra Payments Towards Equity]]</f>
        <v>26995.239615938226</v>
      </c>
    </row>
    <row r="209" spans="9:44" x14ac:dyDescent="0.25">
      <c r="I209">
        <v>192</v>
      </c>
      <c r="J209">
        <f>IF(MOD(ROWS($J$18:J208),12)=0,J208+1,J208)</f>
        <v>2037</v>
      </c>
      <c r="K209" s="198">
        <f>IF(M209="#N/A",NA(),monthly_mortgage_schedule[[#This Row],[Month]])</f>
        <v>192</v>
      </c>
      <c r="L209" s="198">
        <f>IF(monthly_mortgage_schedule[[#This Row],[Calendar Year]]&gt;=$C$7,monthly_mortgage_schedule[[#This Row],[Calendar Year]],NA())</f>
        <v>2037</v>
      </c>
      <c r="M209" s="199">
        <f>IF((monthly_mortgage_schedule[[#This Row],[Calendar Year]]&gt;=$C$7)*(monthly_mortgage_schedule[[#This Row],[Calendar Year]]&lt;=$C$9),monthly_mortgage_schedule[[#This Row],[Begin Year (Range)]],NA())</f>
        <v>2037</v>
      </c>
      <c r="N209" s="214">
        <f>IF((monthly_mortgage_schedule[[#This Row],[Year (Range)]]&gt;=$C$7)*(monthly_mortgage_schedule[[#This Row],[Year (Range)]]&lt;=$C$9),X209,NA())</f>
        <v>1466.9714052709678</v>
      </c>
      <c r="O209" s="214">
        <f>IF((monthly_mortgage_schedule[[#This Row],[Year (Range)]]&gt;=$C$7)*(monthly_mortgage_schedule[[#This Row],[Year (Range)]]&lt;=$C$9),Y209,NA())</f>
        <v>1633.0550901924403</v>
      </c>
      <c r="P209" s="214">
        <f>IF((monthly_mortgage_schedule[[#This Row],[Year (Range)]]&gt;=$C$7)*(monthly_mortgage_schedule[[#This Row],[Year (Range)]]&lt;=$C$9),AG209,NA())</f>
        <v>1688.6315917699687</v>
      </c>
      <c r="Q209" s="214">
        <f>IF((monthly_mortgage_schedule[[#This Row],[Year (Range)]]&gt;=$C$7)*(monthly_mortgage_schedule[[#This Row],[Year (Range)]]&lt;=$C$9),AH209,NA())</f>
        <v>1411.3949036934393</v>
      </c>
      <c r="R209" s="214">
        <f>IF((monthly_mortgage_schedule[[#This Row],[Year (Range)]]&gt;=$C$7)*(monthly_mortgage_schedule[[#This Row],[Year (Range)]]&lt;=$C$9),AO209,NA())</f>
        <v>16720.271579141794</v>
      </c>
      <c r="S209" s="214">
        <f>IF((monthly_mortgage_schedule[[#This Row],[Year (Range)]]&gt;=$C$7)*(monthly_mortgage_schedule[[#This Row],[Year (Range)]]&lt;=$C$9),AP209,NA())</f>
        <v>990</v>
      </c>
      <c r="T209" s="214">
        <f>IF((monthly_mortgage_schedule[[#This Row],[Year (Range)]]&gt;=$C$7)*(monthly_mortgage_schedule[[#This Row],[Year (Range)]]&lt;=$C$9),AR209,NA())</f>
        <v>27381.874546711144</v>
      </c>
      <c r="U209" s="214">
        <f>IF((monthly_mortgage_schedule[[#This Row],[Year (Range)]]&gt;=$C$7)*(monthly_mortgage_schedule[[#This Row],[Year (Range)]]&lt;=$C$9),AB209,NA())</f>
        <v>227282.0396749847</v>
      </c>
      <c r="V209" s="214">
        <f>IF((monthly_mortgage_schedule[[#This Row],[Year (Range)]]&gt;=$C$7)*(monthly_mortgage_schedule[[#This Row],[Year (Range)]]&lt;=$C$9),AI209,NA())</f>
        <v>179561.76809584309</v>
      </c>
      <c r="W209" s="187">
        <f t="shared" si="17"/>
        <v>314351.01541520737</v>
      </c>
      <c r="X209" s="4">
        <f t="shared" si="20"/>
        <v>1466.9714052709678</v>
      </c>
      <c r="Y209" s="4">
        <f t="shared" si="18"/>
        <v>1633.0550901924403</v>
      </c>
      <c r="Z209" s="4">
        <f>_xlfn.IFNA(INDEX(additional_mortgage_payments[],MATCH(monthly_mortgage_schedule[[#This Row],[Month]],additional_mortgage_payments[Month],0),3),0)</f>
        <v>0</v>
      </c>
      <c r="AA209" s="4">
        <f>AA208+monthly_mortgage_schedule[[#This Row],[Extra Payments Towards Equity]]</f>
        <v>31000</v>
      </c>
      <c r="AB209" s="4">
        <f>AB208+monthly_mortgage_schedule[[#This Row],[Principal With Extra Principal Payments]]+monthly_mortgage_schedule[[#This Row],[Extra Payments Towards Equity]]</f>
        <v>227282.0396749847</v>
      </c>
      <c r="AC209" s="4">
        <f>monthly_mortgage_schedule[[#This Row],[Cumulative Principal With Extra Principal Payments]]+down_payment_dollars</f>
        <v>287282.0396749847</v>
      </c>
      <c r="AD209" s="200">
        <f t="shared" si="15"/>
        <v>0</v>
      </c>
      <c r="AE20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312717.96032501495</v>
      </c>
      <c r="AF209" s="187">
        <f t="shared" si="21"/>
        <v>361849.62680785044</v>
      </c>
      <c r="AG209" s="4">
        <f>IF(monthly_mortgage_schedule[[#This Row],[Loan Balance (BOY) Without Extra Principal Payments]]&gt;0,monthly_mortgage_schedule[[#This Row],[Loan Balance (BOY) Without Extra Principal Payments]]*monthly_interest_rate,0)</f>
        <v>1688.6315917699687</v>
      </c>
      <c r="AH209" s="4">
        <f>IF(monthly_mortgage_schedule[[#This Row],[Loan Balance (BOY) Without Extra Principal Payments]]&gt;1,monthly_principal_and_interest-monthly_mortgage_schedule[[#This Row],[Interest Without Extra Principal Payments]],0)</f>
        <v>1411.3949036934393</v>
      </c>
      <c r="AI209" s="4">
        <f>AI208+monthly_mortgage_schedule[[#This Row],[Principal Without Extra Principal Payments]]</f>
        <v>179561.76809584309</v>
      </c>
      <c r="AJ209" s="4">
        <f>monthly_mortgage_schedule[[#This Row],[Cumulative Principal Without Extra Principal Payments]]+down_payment_dollars</f>
        <v>239561.76809584309</v>
      </c>
      <c r="AK209" s="200">
        <f t="shared" si="16"/>
        <v>0</v>
      </c>
      <c r="AL20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360438.23190415697</v>
      </c>
      <c r="AN209" s="196">
        <f>monthly_mortgage_schedule[[#This Row],[Extra Payments Towards Equity]]+AN208+IF(monthly_mortgage_schedule[[#This Row],[Interest With Extra Principal Payments]]&gt;0,monthly_mortgage_schedule[[#This Row],[Interest Without Extra Principal Payments]]-monthly_mortgage_schedule[[#This Row],[Interest With Extra Principal Payments]],0)</f>
        <v>47720.271579141809</v>
      </c>
      <c r="AO209" s="4">
        <f>AO208+IF(monthly_mortgage_schedule[[#This Row],[Interest With Extra Principal Payments]]&gt;0,monthly_mortgage_schedule[[#This Row],[Interest Without Extra Principal Payments]]-monthly_mortgage_schedule[[#This Row],[Interest With Extra Principal Payments]],0)</f>
        <v>16720.271579141794</v>
      </c>
      <c r="AP209" s="4">
        <f>AP208+monthly_mortgage_schedule[[#This Row],[PMI Without Extra Principal Payments]]-monthly_mortgage_schedule[[#This Row],[PMI with Additional Payments]]</f>
        <v>990</v>
      </c>
      <c r="AQ209" s="4">
        <f t="shared" si="19"/>
        <v>58381.874546711144</v>
      </c>
      <c r="AR209" s="4">
        <f>Table60[[#This Row],[Cumulative Investments]]-monthly_mortgage_schedule[[#This Row],[Cumulative Extra Payments Towards Equity]]</f>
        <v>27381.874546711144</v>
      </c>
    </row>
    <row r="210" spans="9:44" x14ac:dyDescent="0.25">
      <c r="I210">
        <v>193</v>
      </c>
      <c r="J210">
        <f>IF(MOD(ROWS($J$18:J209),12)=0,J209+1,J209)</f>
        <v>2038</v>
      </c>
      <c r="K210" s="198">
        <f>IF(M210="#N/A",NA(),monthly_mortgage_schedule[[#This Row],[Month]])</f>
        <v>193</v>
      </c>
      <c r="L210" s="198">
        <f>IF(monthly_mortgage_schedule[[#This Row],[Calendar Year]]&gt;=$C$7,monthly_mortgage_schedule[[#This Row],[Calendar Year]],NA())</f>
        <v>2038</v>
      </c>
      <c r="M210" s="199">
        <f>IF((monthly_mortgage_schedule[[#This Row],[Calendar Year]]&gt;=$C$7)*(monthly_mortgage_schedule[[#This Row],[Calendar Year]]&lt;=$C$9),monthly_mortgage_schedule[[#This Row],[Begin Year (Range)]],NA())</f>
        <v>2038</v>
      </c>
      <c r="N210" s="214">
        <f>IF((monthly_mortgage_schedule[[#This Row],[Year (Range)]]&gt;=$C$7)*(monthly_mortgage_schedule[[#This Row],[Year (Range)]]&lt;=$C$9),X210,NA())</f>
        <v>1459.3504815167366</v>
      </c>
      <c r="O210" s="214">
        <f>IF((monthly_mortgage_schedule[[#This Row],[Year (Range)]]&gt;=$C$7)*(monthly_mortgage_schedule[[#This Row],[Year (Range)]]&lt;=$C$9),Y210,NA())</f>
        <v>1640.6760139466714</v>
      </c>
      <c r="P210" s="214">
        <f>IF((monthly_mortgage_schedule[[#This Row],[Year (Range)]]&gt;=$C$7)*(monthly_mortgage_schedule[[#This Row],[Year (Range)]]&lt;=$C$9),AG210,NA())</f>
        <v>1682.0450822193993</v>
      </c>
      <c r="Q210" s="214">
        <f>IF((monthly_mortgage_schedule[[#This Row],[Year (Range)]]&gt;=$C$7)*(monthly_mortgage_schedule[[#This Row],[Year (Range)]]&lt;=$C$9),AH210,NA())</f>
        <v>1417.9814132440088</v>
      </c>
      <c r="R210" s="214">
        <f>IF((monthly_mortgage_schedule[[#This Row],[Year (Range)]]&gt;=$C$7)*(monthly_mortgage_schedule[[#This Row],[Year (Range)]]&lt;=$C$9),AO210,NA())</f>
        <v>16942.966179844458</v>
      </c>
      <c r="S210" s="214">
        <f>IF((monthly_mortgage_schedule[[#This Row],[Year (Range)]]&gt;=$C$7)*(monthly_mortgage_schedule[[#This Row],[Year (Range)]]&lt;=$C$9),AP210,NA())</f>
        <v>990</v>
      </c>
      <c r="T210" s="214">
        <f>IF((monthly_mortgage_schedule[[#This Row],[Year (Range)]]&gt;=$C$7)*(monthly_mortgage_schedule[[#This Row],[Year (Range)]]&lt;=$C$9),AR210,NA())</f>
        <v>27771.087043689215</v>
      </c>
      <c r="U210" s="214">
        <f>IF((monthly_mortgage_schedule[[#This Row],[Year (Range)]]&gt;=$C$7)*(monthly_mortgage_schedule[[#This Row],[Year (Range)]]&lt;=$C$9),AB210,NA())</f>
        <v>228922.71568893138</v>
      </c>
      <c r="V210" s="214">
        <f>IF((monthly_mortgage_schedule[[#This Row],[Year (Range)]]&gt;=$C$7)*(monthly_mortgage_schedule[[#This Row],[Year (Range)]]&lt;=$C$9),AI210,NA())</f>
        <v>180979.74950908709</v>
      </c>
      <c r="W210" s="187">
        <f t="shared" si="17"/>
        <v>312717.96032501495</v>
      </c>
      <c r="X210" s="4">
        <f t="shared" si="20"/>
        <v>1459.3504815167366</v>
      </c>
      <c r="Y210" s="4">
        <f t="shared" si="18"/>
        <v>1640.6760139466714</v>
      </c>
      <c r="Z210" s="4">
        <f>_xlfn.IFNA(INDEX(additional_mortgage_payments[],MATCH(monthly_mortgage_schedule[[#This Row],[Month]],additional_mortgage_payments[Month],0),3),0)</f>
        <v>0</v>
      </c>
      <c r="AA210" s="4">
        <f>AA209+monthly_mortgage_schedule[[#This Row],[Extra Payments Towards Equity]]</f>
        <v>31000</v>
      </c>
      <c r="AB210" s="4">
        <f>AB209+monthly_mortgage_schedule[[#This Row],[Principal With Extra Principal Payments]]+monthly_mortgage_schedule[[#This Row],[Extra Payments Towards Equity]]</f>
        <v>228922.71568893138</v>
      </c>
      <c r="AC210" s="4">
        <f>monthly_mortgage_schedule[[#This Row],[Cumulative Principal With Extra Principal Payments]]+down_payment_dollars</f>
        <v>288922.71568893141</v>
      </c>
      <c r="AD210" s="200">
        <f t="shared" ref="AD210:AD273" si="22">IF((AC210)/purchase_price&lt;pmi_until_percentage_equity,(annual_pmi/12),0)</f>
        <v>0</v>
      </c>
      <c r="AE21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311077.2843110683</v>
      </c>
      <c r="AF210" s="187">
        <f t="shared" si="21"/>
        <v>360438.23190415697</v>
      </c>
      <c r="AG210" s="4">
        <f>IF(monthly_mortgage_schedule[[#This Row],[Loan Balance (BOY) Without Extra Principal Payments]]&gt;0,monthly_mortgage_schedule[[#This Row],[Loan Balance (BOY) Without Extra Principal Payments]]*monthly_interest_rate,0)</f>
        <v>1682.0450822193993</v>
      </c>
      <c r="AH210" s="4">
        <f>IF(monthly_mortgage_schedule[[#This Row],[Loan Balance (BOY) Without Extra Principal Payments]]&gt;1,monthly_principal_and_interest-monthly_mortgage_schedule[[#This Row],[Interest Without Extra Principal Payments]],0)</f>
        <v>1417.9814132440088</v>
      </c>
      <c r="AI210" s="4">
        <f>AI209+monthly_mortgage_schedule[[#This Row],[Principal Without Extra Principal Payments]]</f>
        <v>180979.74950908709</v>
      </c>
      <c r="AJ210" s="4">
        <f>monthly_mortgage_schedule[[#This Row],[Cumulative Principal Without Extra Principal Payments]]+down_payment_dollars</f>
        <v>240979.74950908709</v>
      </c>
      <c r="AK210" s="200">
        <f t="shared" ref="AK210:AK273" si="23">IF((AJ210)/purchase_price&lt;pmi_until_percentage_equity,(annual_pmi/12),0)</f>
        <v>0</v>
      </c>
      <c r="AL21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359020.25049091293</v>
      </c>
      <c r="AN210" s="196">
        <f>monthly_mortgage_schedule[[#This Row],[Extra Payments Towards Equity]]+AN209+IF(monthly_mortgage_schedule[[#This Row],[Interest With Extra Principal Payments]]&gt;0,monthly_mortgage_schedule[[#This Row],[Interest Without Extra Principal Payments]]-monthly_mortgage_schedule[[#This Row],[Interest With Extra Principal Payments]],0)</f>
        <v>47942.966179844472</v>
      </c>
      <c r="AO210" s="4">
        <f>AO209+IF(monthly_mortgage_schedule[[#This Row],[Interest With Extra Principal Payments]]&gt;0,monthly_mortgage_schedule[[#This Row],[Interest Without Extra Principal Payments]]-monthly_mortgage_schedule[[#This Row],[Interest With Extra Principal Payments]],0)</f>
        <v>16942.966179844458</v>
      </c>
      <c r="AP210" s="4">
        <f>AP209+monthly_mortgage_schedule[[#This Row],[PMI Without Extra Principal Payments]]-monthly_mortgage_schedule[[#This Row],[PMI with Additional Payments]]</f>
        <v>990</v>
      </c>
      <c r="AQ210" s="4">
        <f t="shared" si="19"/>
        <v>58771.087043689215</v>
      </c>
      <c r="AR210" s="4">
        <f>Table60[[#This Row],[Cumulative Investments]]-monthly_mortgage_schedule[[#This Row],[Cumulative Extra Payments Towards Equity]]</f>
        <v>27771.087043689215</v>
      </c>
    </row>
    <row r="211" spans="9:44" x14ac:dyDescent="0.25">
      <c r="I211">
        <v>194</v>
      </c>
      <c r="J211">
        <f>IF(MOD(ROWS($J$18:J210),12)=0,J210+1,J210)</f>
        <v>2038</v>
      </c>
      <c r="K211" s="198">
        <f>IF(M211="#N/A",NA(),monthly_mortgage_schedule[[#This Row],[Month]])</f>
        <v>194</v>
      </c>
      <c r="L211" s="198">
        <f>IF(monthly_mortgage_schedule[[#This Row],[Calendar Year]]&gt;=$C$7,monthly_mortgage_schedule[[#This Row],[Calendar Year]],NA())</f>
        <v>2038</v>
      </c>
      <c r="M211" s="199">
        <f>IF((monthly_mortgage_schedule[[#This Row],[Calendar Year]]&gt;=$C$7)*(monthly_mortgage_schedule[[#This Row],[Calendar Year]]&lt;=$C$9),monthly_mortgage_schedule[[#This Row],[Begin Year (Range)]],NA())</f>
        <v>2038</v>
      </c>
      <c r="N211" s="214">
        <f>IF((monthly_mortgage_schedule[[#This Row],[Year (Range)]]&gt;=$C$7)*(monthly_mortgage_schedule[[#This Row],[Year (Range)]]&lt;=$C$9),X211,NA())</f>
        <v>1451.6939934516522</v>
      </c>
      <c r="O211" s="214">
        <f>IF((monthly_mortgage_schedule[[#This Row],[Year (Range)]]&gt;=$C$7)*(monthly_mortgage_schedule[[#This Row],[Year (Range)]]&lt;=$C$9),Y211,NA())</f>
        <v>1648.3325020117559</v>
      </c>
      <c r="P211" s="214">
        <f>IF((monthly_mortgage_schedule[[#This Row],[Year (Range)]]&gt;=$C$7)*(monthly_mortgage_schedule[[#This Row],[Year (Range)]]&lt;=$C$9),AG211,NA())</f>
        <v>1675.4278356242605</v>
      </c>
      <c r="Q211" s="214">
        <f>IF((monthly_mortgage_schedule[[#This Row],[Year (Range)]]&gt;=$C$7)*(monthly_mortgage_schedule[[#This Row],[Year (Range)]]&lt;=$C$9),AH211,NA())</f>
        <v>1424.5986598391476</v>
      </c>
      <c r="R211" s="214">
        <f>IF((monthly_mortgage_schedule[[#This Row],[Year (Range)]]&gt;=$C$7)*(monthly_mortgage_schedule[[#This Row],[Year (Range)]]&lt;=$C$9),AO211,NA())</f>
        <v>17166.700022017067</v>
      </c>
      <c r="S211" s="214">
        <f>IF((monthly_mortgage_schedule[[#This Row],[Year (Range)]]&gt;=$C$7)*(monthly_mortgage_schedule[[#This Row],[Year (Range)]]&lt;=$C$9),AP211,NA())</f>
        <v>990</v>
      </c>
      <c r="T211" s="214">
        <f>IF((monthly_mortgage_schedule[[#This Row],[Year (Range)]]&gt;=$C$7)*(monthly_mortgage_schedule[[#This Row],[Year (Range)]]&lt;=$C$9),AR211,NA())</f>
        <v>28162.894290647142</v>
      </c>
      <c r="U211" s="214">
        <f>IF((monthly_mortgage_schedule[[#This Row],[Year (Range)]]&gt;=$C$7)*(monthly_mortgage_schedule[[#This Row],[Year (Range)]]&lt;=$C$9),AB211,NA())</f>
        <v>230571.04819094314</v>
      </c>
      <c r="V211" s="214">
        <f>IF((monthly_mortgage_schedule[[#This Row],[Year (Range)]]&gt;=$C$7)*(monthly_mortgage_schedule[[#This Row],[Year (Range)]]&lt;=$C$9),AI211,NA())</f>
        <v>182404.34816892626</v>
      </c>
      <c r="W211" s="187">
        <f t="shared" ref="W211:W274" si="24">AE210</f>
        <v>311077.2843110683</v>
      </c>
      <c r="X211" s="4">
        <f t="shared" si="20"/>
        <v>1451.6939934516522</v>
      </c>
      <c r="Y211" s="4">
        <f t="shared" ref="Y211:Y274" si="25">IF(W211&gt;1,monthly_principal_and_interest-X211,0)</f>
        <v>1648.3325020117559</v>
      </c>
      <c r="Z211" s="4">
        <f>_xlfn.IFNA(INDEX(additional_mortgage_payments[],MATCH(monthly_mortgage_schedule[[#This Row],[Month]],additional_mortgage_payments[Month],0),3),0)</f>
        <v>0</v>
      </c>
      <c r="AA211" s="4">
        <f>AA210+monthly_mortgage_schedule[[#This Row],[Extra Payments Towards Equity]]</f>
        <v>31000</v>
      </c>
      <c r="AB211" s="4">
        <f>AB210+monthly_mortgage_schedule[[#This Row],[Principal With Extra Principal Payments]]+monthly_mortgage_schedule[[#This Row],[Extra Payments Towards Equity]]</f>
        <v>230571.04819094314</v>
      </c>
      <c r="AC211" s="4">
        <f>monthly_mortgage_schedule[[#This Row],[Cumulative Principal With Extra Principal Payments]]+down_payment_dollars</f>
        <v>290571.04819094314</v>
      </c>
      <c r="AD211" s="200">
        <f t="shared" si="22"/>
        <v>0</v>
      </c>
      <c r="AE21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309428.95180905657</v>
      </c>
      <c r="AF211" s="187">
        <f t="shared" si="21"/>
        <v>359020.25049091293</v>
      </c>
      <c r="AG211" s="4">
        <f>IF(monthly_mortgage_schedule[[#This Row],[Loan Balance (BOY) Without Extra Principal Payments]]&gt;0,monthly_mortgage_schedule[[#This Row],[Loan Balance (BOY) Without Extra Principal Payments]]*monthly_interest_rate,0)</f>
        <v>1675.4278356242605</v>
      </c>
      <c r="AH211" s="4">
        <f>IF(monthly_mortgage_schedule[[#This Row],[Loan Balance (BOY) Without Extra Principal Payments]]&gt;1,monthly_principal_and_interest-monthly_mortgage_schedule[[#This Row],[Interest Without Extra Principal Payments]],0)</f>
        <v>1424.5986598391476</v>
      </c>
      <c r="AI211" s="4">
        <f>AI210+monthly_mortgage_schedule[[#This Row],[Principal Without Extra Principal Payments]]</f>
        <v>182404.34816892626</v>
      </c>
      <c r="AJ211" s="4">
        <f>monthly_mortgage_schedule[[#This Row],[Cumulative Principal Without Extra Principal Payments]]+down_payment_dollars</f>
        <v>242404.34816892626</v>
      </c>
      <c r="AK211" s="200">
        <f t="shared" si="23"/>
        <v>0</v>
      </c>
      <c r="AL21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357595.6518310738</v>
      </c>
      <c r="AN211" s="196">
        <f>monthly_mortgage_schedule[[#This Row],[Extra Payments Towards Equity]]+AN210+IF(monthly_mortgage_schedule[[#This Row],[Interest With Extra Principal Payments]]&gt;0,monthly_mortgage_schedule[[#This Row],[Interest Without Extra Principal Payments]]-monthly_mortgage_schedule[[#This Row],[Interest With Extra Principal Payments]],0)</f>
        <v>48166.700022017081</v>
      </c>
      <c r="AO211" s="4">
        <f>AO210+IF(monthly_mortgage_schedule[[#This Row],[Interest With Extra Principal Payments]]&gt;0,monthly_mortgage_schedule[[#This Row],[Interest Without Extra Principal Payments]]-monthly_mortgage_schedule[[#This Row],[Interest With Extra Principal Payments]],0)</f>
        <v>17166.700022017067</v>
      </c>
      <c r="AP211" s="4">
        <f>AP210+monthly_mortgage_schedule[[#This Row],[PMI Without Extra Principal Payments]]-monthly_mortgage_schedule[[#This Row],[PMI with Additional Payments]]</f>
        <v>990</v>
      </c>
      <c r="AQ211" s="4">
        <f t="shared" ref="AQ211:AQ274" si="26">(AQ210+Z211)*(1+monthly_stock_market_return)</f>
        <v>59162.894290647142</v>
      </c>
      <c r="AR211" s="4">
        <f>Table60[[#This Row],[Cumulative Investments]]-monthly_mortgage_schedule[[#This Row],[Cumulative Extra Payments Towards Equity]]</f>
        <v>28162.894290647142</v>
      </c>
    </row>
    <row r="212" spans="9:44" x14ac:dyDescent="0.25">
      <c r="I212">
        <v>195</v>
      </c>
      <c r="J212">
        <f>IF(MOD(ROWS($J$18:J211),12)=0,J211+1,J211)</f>
        <v>2038</v>
      </c>
      <c r="K212" s="198">
        <f>IF(M212="#N/A",NA(),monthly_mortgage_schedule[[#This Row],[Month]])</f>
        <v>195</v>
      </c>
      <c r="L212" s="198">
        <f>IF(monthly_mortgage_schedule[[#This Row],[Calendar Year]]&gt;=$C$7,monthly_mortgage_schedule[[#This Row],[Calendar Year]],NA())</f>
        <v>2038</v>
      </c>
      <c r="M212" s="199">
        <f>IF((monthly_mortgage_schedule[[#This Row],[Calendar Year]]&gt;=$C$7)*(monthly_mortgage_schedule[[#This Row],[Calendar Year]]&lt;=$C$9),monthly_mortgage_schedule[[#This Row],[Begin Year (Range)]],NA())</f>
        <v>2038</v>
      </c>
      <c r="N212" s="214">
        <f>IF((monthly_mortgage_schedule[[#This Row],[Year (Range)]]&gt;=$C$7)*(monthly_mortgage_schedule[[#This Row],[Year (Range)]]&lt;=$C$9),X212,NA())</f>
        <v>1444.0017751089308</v>
      </c>
      <c r="O212" s="214">
        <f>IF((monthly_mortgage_schedule[[#This Row],[Year (Range)]]&gt;=$C$7)*(monthly_mortgage_schedule[[#This Row],[Year (Range)]]&lt;=$C$9),Y212,NA())</f>
        <v>1656.0247203544773</v>
      </c>
      <c r="P212" s="214">
        <f>IF((monthly_mortgage_schedule[[#This Row],[Year (Range)]]&gt;=$C$7)*(monthly_mortgage_schedule[[#This Row],[Year (Range)]]&lt;=$C$9),AG212,NA())</f>
        <v>1668.7797085450113</v>
      </c>
      <c r="Q212" s="214">
        <f>IF((monthly_mortgage_schedule[[#This Row],[Year (Range)]]&gt;=$C$7)*(monthly_mortgage_schedule[[#This Row],[Year (Range)]]&lt;=$C$9),AH212,NA())</f>
        <v>1431.2467869183968</v>
      </c>
      <c r="R212" s="214">
        <f>IF((monthly_mortgage_schedule[[#This Row],[Year (Range)]]&gt;=$C$7)*(monthly_mortgage_schedule[[#This Row],[Year (Range)]]&lt;=$C$9),AO212,NA())</f>
        <v>17391.477955453149</v>
      </c>
      <c r="S212" s="214">
        <f>IF((monthly_mortgage_schedule[[#This Row],[Year (Range)]]&gt;=$C$7)*(monthly_mortgage_schedule[[#This Row],[Year (Range)]]&lt;=$C$9),AP212,NA())</f>
        <v>990</v>
      </c>
      <c r="T212" s="214">
        <f>IF((monthly_mortgage_schedule[[#This Row],[Year (Range)]]&gt;=$C$7)*(monthly_mortgage_schedule[[#This Row],[Year (Range)]]&lt;=$C$9),AR212,NA())</f>
        <v>28557.31358591812</v>
      </c>
      <c r="U212" s="214">
        <f>IF((monthly_mortgage_schedule[[#This Row],[Year (Range)]]&gt;=$C$7)*(monthly_mortgage_schedule[[#This Row],[Year (Range)]]&lt;=$C$9),AB212,NA())</f>
        <v>232227.07291129761</v>
      </c>
      <c r="V212" s="214">
        <f>IF((monthly_mortgage_schedule[[#This Row],[Year (Range)]]&gt;=$C$7)*(monthly_mortgage_schedule[[#This Row],[Year (Range)]]&lt;=$C$9),AI212,NA())</f>
        <v>183835.59495584466</v>
      </c>
      <c r="W212" s="187">
        <f t="shared" si="24"/>
        <v>309428.95180905657</v>
      </c>
      <c r="X212" s="4">
        <f t="shared" ref="X212:X275" si="27">IF(W212&gt;0,W212*monthly_interest_rate,0)</f>
        <v>1444.0017751089308</v>
      </c>
      <c r="Y212" s="4">
        <f t="shared" si="25"/>
        <v>1656.0247203544773</v>
      </c>
      <c r="Z212" s="4">
        <f>_xlfn.IFNA(INDEX(additional_mortgage_payments[],MATCH(monthly_mortgage_schedule[[#This Row],[Month]],additional_mortgage_payments[Month],0),3),0)</f>
        <v>0</v>
      </c>
      <c r="AA212" s="4">
        <f>AA211+monthly_mortgage_schedule[[#This Row],[Extra Payments Towards Equity]]</f>
        <v>31000</v>
      </c>
      <c r="AB212" s="4">
        <f>AB211+monthly_mortgage_schedule[[#This Row],[Principal With Extra Principal Payments]]+monthly_mortgage_schedule[[#This Row],[Extra Payments Towards Equity]]</f>
        <v>232227.07291129761</v>
      </c>
      <c r="AC212" s="4">
        <f>monthly_mortgage_schedule[[#This Row],[Cumulative Principal With Extra Principal Payments]]+down_payment_dollars</f>
        <v>292227.07291129761</v>
      </c>
      <c r="AD212" s="200">
        <f t="shared" si="22"/>
        <v>0</v>
      </c>
      <c r="AE21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307772.9270887021</v>
      </c>
      <c r="AF212" s="187">
        <f t="shared" ref="AF212:AF275" si="28">AL211</f>
        <v>357595.6518310738</v>
      </c>
      <c r="AG212" s="4">
        <f>IF(monthly_mortgage_schedule[[#This Row],[Loan Balance (BOY) Without Extra Principal Payments]]&gt;0,monthly_mortgage_schedule[[#This Row],[Loan Balance (BOY) Without Extra Principal Payments]]*monthly_interest_rate,0)</f>
        <v>1668.7797085450113</v>
      </c>
      <c r="AH212" s="4">
        <f>IF(monthly_mortgage_schedule[[#This Row],[Loan Balance (BOY) Without Extra Principal Payments]]&gt;1,monthly_principal_and_interest-monthly_mortgage_schedule[[#This Row],[Interest Without Extra Principal Payments]],0)</f>
        <v>1431.2467869183968</v>
      </c>
      <c r="AI212" s="4">
        <f>AI211+monthly_mortgage_schedule[[#This Row],[Principal Without Extra Principal Payments]]</f>
        <v>183835.59495584466</v>
      </c>
      <c r="AJ212" s="4">
        <f>monthly_mortgage_schedule[[#This Row],[Cumulative Principal Without Extra Principal Payments]]+down_payment_dollars</f>
        <v>243835.59495584466</v>
      </c>
      <c r="AK212" s="200">
        <f t="shared" si="23"/>
        <v>0</v>
      </c>
      <c r="AL21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356164.40504415543</v>
      </c>
      <c r="AN212" s="196">
        <f>monthly_mortgage_schedule[[#This Row],[Extra Payments Towards Equity]]+AN211+IF(monthly_mortgage_schedule[[#This Row],[Interest With Extra Principal Payments]]&gt;0,monthly_mortgage_schedule[[#This Row],[Interest Without Extra Principal Payments]]-monthly_mortgage_schedule[[#This Row],[Interest With Extra Principal Payments]],0)</f>
        <v>48391.477955453163</v>
      </c>
      <c r="AO212" s="4">
        <f>AO211+IF(monthly_mortgage_schedule[[#This Row],[Interest With Extra Principal Payments]]&gt;0,monthly_mortgage_schedule[[#This Row],[Interest Without Extra Principal Payments]]-monthly_mortgage_schedule[[#This Row],[Interest With Extra Principal Payments]],0)</f>
        <v>17391.477955453149</v>
      </c>
      <c r="AP212" s="4">
        <f>AP211+monthly_mortgage_schedule[[#This Row],[PMI Without Extra Principal Payments]]-monthly_mortgage_schedule[[#This Row],[PMI with Additional Payments]]</f>
        <v>990</v>
      </c>
      <c r="AQ212" s="4">
        <f t="shared" si="26"/>
        <v>59557.31358591812</v>
      </c>
      <c r="AR212" s="4">
        <f>Table60[[#This Row],[Cumulative Investments]]-monthly_mortgage_schedule[[#This Row],[Cumulative Extra Payments Towards Equity]]</f>
        <v>28557.31358591812</v>
      </c>
    </row>
    <row r="213" spans="9:44" x14ac:dyDescent="0.25">
      <c r="I213">
        <v>196</v>
      </c>
      <c r="J213">
        <f>IF(MOD(ROWS($J$18:J212),12)=0,J212+1,J212)</f>
        <v>2038</v>
      </c>
      <c r="K213" s="198">
        <f>IF(M213="#N/A",NA(),monthly_mortgage_schedule[[#This Row],[Month]])</f>
        <v>196</v>
      </c>
      <c r="L213" s="198">
        <f>IF(monthly_mortgage_schedule[[#This Row],[Calendar Year]]&gt;=$C$7,monthly_mortgage_schedule[[#This Row],[Calendar Year]],NA())</f>
        <v>2038</v>
      </c>
      <c r="M213" s="199">
        <f>IF((monthly_mortgage_schedule[[#This Row],[Calendar Year]]&gt;=$C$7)*(monthly_mortgage_schedule[[#This Row],[Calendar Year]]&lt;=$C$9),monthly_mortgage_schedule[[#This Row],[Begin Year (Range)]],NA())</f>
        <v>2038</v>
      </c>
      <c r="N213" s="214">
        <f>IF((monthly_mortgage_schedule[[#This Row],[Year (Range)]]&gt;=$C$7)*(monthly_mortgage_schedule[[#This Row],[Year (Range)]]&lt;=$C$9),X213,NA())</f>
        <v>1436.2736597472765</v>
      </c>
      <c r="O213" s="214">
        <f>IF((monthly_mortgage_schedule[[#This Row],[Year (Range)]]&gt;=$C$7)*(monthly_mortgage_schedule[[#This Row],[Year (Range)]]&lt;=$C$9),Y213,NA())</f>
        <v>1663.7528357161316</v>
      </c>
      <c r="P213" s="214">
        <f>IF((monthly_mortgage_schedule[[#This Row],[Year (Range)]]&gt;=$C$7)*(monthly_mortgage_schedule[[#This Row],[Year (Range)]]&lt;=$C$9),AG213,NA())</f>
        <v>1662.1005568727255</v>
      </c>
      <c r="Q213" s="214">
        <f>IF((monthly_mortgage_schedule[[#This Row],[Year (Range)]]&gt;=$C$7)*(monthly_mortgage_schedule[[#This Row],[Year (Range)]]&lt;=$C$9),AH213,NA())</f>
        <v>1437.9259385906826</v>
      </c>
      <c r="R213" s="214">
        <f>IF((monthly_mortgage_schedule[[#This Row],[Year (Range)]]&gt;=$C$7)*(monthly_mortgage_schedule[[#This Row],[Year (Range)]]&lt;=$C$9),AO213,NA())</f>
        <v>17617.304852578596</v>
      </c>
      <c r="S213" s="214">
        <f>IF((monthly_mortgage_schedule[[#This Row],[Year (Range)]]&gt;=$C$7)*(monthly_mortgage_schedule[[#This Row],[Year (Range)]]&lt;=$C$9),AP213,NA())</f>
        <v>990</v>
      </c>
      <c r="T213" s="214">
        <f>IF((monthly_mortgage_schedule[[#This Row],[Year (Range)]]&gt;=$C$7)*(monthly_mortgage_schedule[[#This Row],[Year (Range)]]&lt;=$C$9),AR213,NA())</f>
        <v>28954.362343157569</v>
      </c>
      <c r="U213" s="214">
        <f>IF((monthly_mortgage_schedule[[#This Row],[Year (Range)]]&gt;=$C$7)*(monthly_mortgage_schedule[[#This Row],[Year (Range)]]&lt;=$C$9),AB213,NA())</f>
        <v>233890.82574701373</v>
      </c>
      <c r="V213" s="214">
        <f>IF((monthly_mortgage_schedule[[#This Row],[Year (Range)]]&gt;=$C$7)*(monthly_mortgage_schedule[[#This Row],[Year (Range)]]&lt;=$C$9),AI213,NA())</f>
        <v>185273.52089443535</v>
      </c>
      <c r="W213" s="187">
        <f t="shared" si="24"/>
        <v>307772.9270887021</v>
      </c>
      <c r="X213" s="4">
        <f t="shared" si="27"/>
        <v>1436.2736597472765</v>
      </c>
      <c r="Y213" s="4">
        <f t="shared" si="25"/>
        <v>1663.7528357161316</v>
      </c>
      <c r="Z213" s="4">
        <f>_xlfn.IFNA(INDEX(additional_mortgage_payments[],MATCH(monthly_mortgage_schedule[[#This Row],[Month]],additional_mortgage_payments[Month],0),3),0)</f>
        <v>0</v>
      </c>
      <c r="AA213" s="4">
        <f>AA212+monthly_mortgage_schedule[[#This Row],[Extra Payments Towards Equity]]</f>
        <v>31000</v>
      </c>
      <c r="AB213" s="4">
        <f>AB212+monthly_mortgage_schedule[[#This Row],[Principal With Extra Principal Payments]]+monthly_mortgage_schedule[[#This Row],[Extra Payments Towards Equity]]</f>
        <v>233890.82574701373</v>
      </c>
      <c r="AC213" s="4">
        <f>monthly_mortgage_schedule[[#This Row],[Cumulative Principal With Extra Principal Payments]]+down_payment_dollars</f>
        <v>293890.82574701373</v>
      </c>
      <c r="AD213" s="200">
        <f t="shared" si="22"/>
        <v>0</v>
      </c>
      <c r="AE21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306109.17425298598</v>
      </c>
      <c r="AF213" s="187">
        <f t="shared" si="28"/>
        <v>356164.40504415543</v>
      </c>
      <c r="AG213" s="4">
        <f>IF(monthly_mortgage_schedule[[#This Row],[Loan Balance (BOY) Without Extra Principal Payments]]&gt;0,monthly_mortgage_schedule[[#This Row],[Loan Balance (BOY) Without Extra Principal Payments]]*monthly_interest_rate,0)</f>
        <v>1662.1005568727255</v>
      </c>
      <c r="AH213" s="4">
        <f>IF(monthly_mortgage_schedule[[#This Row],[Loan Balance (BOY) Without Extra Principal Payments]]&gt;1,monthly_principal_and_interest-monthly_mortgage_schedule[[#This Row],[Interest Without Extra Principal Payments]],0)</f>
        <v>1437.9259385906826</v>
      </c>
      <c r="AI213" s="4">
        <f>AI212+monthly_mortgage_schedule[[#This Row],[Principal Without Extra Principal Payments]]</f>
        <v>185273.52089443535</v>
      </c>
      <c r="AJ213" s="4">
        <f>monthly_mortgage_schedule[[#This Row],[Cumulative Principal Without Extra Principal Payments]]+down_payment_dollars</f>
        <v>245273.52089443535</v>
      </c>
      <c r="AK213" s="200">
        <f t="shared" si="23"/>
        <v>0</v>
      </c>
      <c r="AL21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354726.47910556477</v>
      </c>
      <c r="AN213" s="196">
        <f>monthly_mortgage_schedule[[#This Row],[Extra Payments Towards Equity]]+AN212+IF(monthly_mortgage_schedule[[#This Row],[Interest With Extra Principal Payments]]&gt;0,monthly_mortgage_schedule[[#This Row],[Interest Without Extra Principal Payments]]-monthly_mortgage_schedule[[#This Row],[Interest With Extra Principal Payments]],0)</f>
        <v>48617.304852578614</v>
      </c>
      <c r="AO213" s="4">
        <f>AO212+IF(monthly_mortgage_schedule[[#This Row],[Interest With Extra Principal Payments]]&gt;0,monthly_mortgage_schedule[[#This Row],[Interest Without Extra Principal Payments]]-monthly_mortgage_schedule[[#This Row],[Interest With Extra Principal Payments]],0)</f>
        <v>17617.304852578596</v>
      </c>
      <c r="AP213" s="4">
        <f>AP212+monthly_mortgage_schedule[[#This Row],[PMI Without Extra Principal Payments]]-monthly_mortgage_schedule[[#This Row],[PMI with Additional Payments]]</f>
        <v>990</v>
      </c>
      <c r="AQ213" s="4">
        <f t="shared" si="26"/>
        <v>59954.362343157569</v>
      </c>
      <c r="AR213" s="4">
        <f>Table60[[#This Row],[Cumulative Investments]]-monthly_mortgage_schedule[[#This Row],[Cumulative Extra Payments Towards Equity]]</f>
        <v>28954.362343157569</v>
      </c>
    </row>
    <row r="214" spans="9:44" x14ac:dyDescent="0.25">
      <c r="I214">
        <v>197</v>
      </c>
      <c r="J214">
        <f>IF(MOD(ROWS($J$18:J213),12)=0,J213+1,J213)</f>
        <v>2038</v>
      </c>
      <c r="K214" s="198">
        <f>IF(M214="#N/A",NA(),monthly_mortgage_schedule[[#This Row],[Month]])</f>
        <v>197</v>
      </c>
      <c r="L214" s="198">
        <f>IF(monthly_mortgage_schedule[[#This Row],[Calendar Year]]&gt;=$C$7,monthly_mortgage_schedule[[#This Row],[Calendar Year]],NA())</f>
        <v>2038</v>
      </c>
      <c r="M214" s="199">
        <f>IF((monthly_mortgage_schedule[[#This Row],[Calendar Year]]&gt;=$C$7)*(monthly_mortgage_schedule[[#This Row],[Calendar Year]]&lt;=$C$9),monthly_mortgage_schedule[[#This Row],[Begin Year (Range)]],NA())</f>
        <v>2038</v>
      </c>
      <c r="N214" s="214">
        <f>IF((monthly_mortgage_schedule[[#This Row],[Year (Range)]]&gt;=$C$7)*(monthly_mortgage_schedule[[#This Row],[Year (Range)]]&lt;=$C$9),X214,NA())</f>
        <v>1428.509479847268</v>
      </c>
      <c r="O214" s="214">
        <f>IF((monthly_mortgage_schedule[[#This Row],[Year (Range)]]&gt;=$C$7)*(monthly_mortgage_schedule[[#This Row],[Year (Range)]]&lt;=$C$9),Y214,NA())</f>
        <v>1671.51701561614</v>
      </c>
      <c r="P214" s="214">
        <f>IF((monthly_mortgage_schedule[[#This Row],[Year (Range)]]&gt;=$C$7)*(monthly_mortgage_schedule[[#This Row],[Year (Range)]]&lt;=$C$9),AG214,NA())</f>
        <v>1655.3902358259691</v>
      </c>
      <c r="Q214" s="214">
        <f>IF((monthly_mortgage_schedule[[#This Row],[Year (Range)]]&gt;=$C$7)*(monthly_mortgage_schedule[[#This Row],[Year (Range)]]&lt;=$C$9),AH214,NA())</f>
        <v>1444.636259637439</v>
      </c>
      <c r="R214" s="214">
        <f>IF((monthly_mortgage_schedule[[#This Row],[Year (Range)]]&gt;=$C$7)*(monthly_mortgage_schedule[[#This Row],[Year (Range)]]&lt;=$C$9),AO214,NA())</f>
        <v>17844.185608557298</v>
      </c>
      <c r="S214" s="214">
        <f>IF((monthly_mortgage_schedule[[#This Row],[Year (Range)]]&gt;=$C$7)*(monthly_mortgage_schedule[[#This Row],[Year (Range)]]&lt;=$C$9),AP214,NA())</f>
        <v>990</v>
      </c>
      <c r="T214" s="214">
        <f>IF((monthly_mortgage_schedule[[#This Row],[Year (Range)]]&gt;=$C$7)*(monthly_mortgage_schedule[[#This Row],[Year (Range)]]&lt;=$C$9),AR214,NA())</f>
        <v>29354.058092111947</v>
      </c>
      <c r="U214" s="214">
        <f>IF((monthly_mortgage_schedule[[#This Row],[Year (Range)]]&gt;=$C$7)*(monthly_mortgage_schedule[[#This Row],[Year (Range)]]&lt;=$C$9),AB214,NA())</f>
        <v>235562.34276262988</v>
      </c>
      <c r="V214" s="214">
        <f>IF((monthly_mortgage_schedule[[#This Row],[Year (Range)]]&gt;=$C$7)*(monthly_mortgage_schedule[[#This Row],[Year (Range)]]&lt;=$C$9),AI214,NA())</f>
        <v>186718.1571540728</v>
      </c>
      <c r="W214" s="187">
        <f t="shared" si="24"/>
        <v>306109.17425298598</v>
      </c>
      <c r="X214" s="4">
        <f t="shared" si="27"/>
        <v>1428.509479847268</v>
      </c>
      <c r="Y214" s="4">
        <f t="shared" si="25"/>
        <v>1671.51701561614</v>
      </c>
      <c r="Z214" s="4">
        <f>_xlfn.IFNA(INDEX(additional_mortgage_payments[],MATCH(monthly_mortgage_schedule[[#This Row],[Month]],additional_mortgage_payments[Month],0),3),0)</f>
        <v>0</v>
      </c>
      <c r="AA214" s="4">
        <f>AA213+monthly_mortgage_schedule[[#This Row],[Extra Payments Towards Equity]]</f>
        <v>31000</v>
      </c>
      <c r="AB214" s="4">
        <f>AB213+monthly_mortgage_schedule[[#This Row],[Principal With Extra Principal Payments]]+monthly_mortgage_schedule[[#This Row],[Extra Payments Towards Equity]]</f>
        <v>235562.34276262988</v>
      </c>
      <c r="AC214" s="4">
        <f>monthly_mortgage_schedule[[#This Row],[Cumulative Principal With Extra Principal Payments]]+down_payment_dollars</f>
        <v>295562.34276262985</v>
      </c>
      <c r="AD214" s="200">
        <f t="shared" si="22"/>
        <v>0</v>
      </c>
      <c r="AE21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304437.65723736986</v>
      </c>
      <c r="AF214" s="187">
        <f t="shared" si="28"/>
        <v>354726.47910556477</v>
      </c>
      <c r="AG214" s="4">
        <f>IF(monthly_mortgage_schedule[[#This Row],[Loan Balance (BOY) Without Extra Principal Payments]]&gt;0,monthly_mortgage_schedule[[#This Row],[Loan Balance (BOY) Without Extra Principal Payments]]*monthly_interest_rate,0)</f>
        <v>1655.3902358259691</v>
      </c>
      <c r="AH214" s="4">
        <f>IF(monthly_mortgage_schedule[[#This Row],[Loan Balance (BOY) Without Extra Principal Payments]]&gt;1,monthly_principal_and_interest-monthly_mortgage_schedule[[#This Row],[Interest Without Extra Principal Payments]],0)</f>
        <v>1444.636259637439</v>
      </c>
      <c r="AI214" s="4">
        <f>AI213+monthly_mortgage_schedule[[#This Row],[Principal Without Extra Principal Payments]]</f>
        <v>186718.1571540728</v>
      </c>
      <c r="AJ214" s="4">
        <f>monthly_mortgage_schedule[[#This Row],[Cumulative Principal Without Extra Principal Payments]]+down_payment_dollars</f>
        <v>246718.1571540728</v>
      </c>
      <c r="AK214" s="200">
        <f t="shared" si="23"/>
        <v>0</v>
      </c>
      <c r="AL21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353281.84284592734</v>
      </c>
      <c r="AN214" s="196">
        <f>monthly_mortgage_schedule[[#This Row],[Extra Payments Towards Equity]]+AN213+IF(monthly_mortgage_schedule[[#This Row],[Interest With Extra Principal Payments]]&gt;0,monthly_mortgage_schedule[[#This Row],[Interest Without Extra Principal Payments]]-monthly_mortgage_schedule[[#This Row],[Interest With Extra Principal Payments]],0)</f>
        <v>48844.185608557316</v>
      </c>
      <c r="AO214" s="4">
        <f>AO213+IF(monthly_mortgage_schedule[[#This Row],[Interest With Extra Principal Payments]]&gt;0,monthly_mortgage_schedule[[#This Row],[Interest Without Extra Principal Payments]]-monthly_mortgage_schedule[[#This Row],[Interest With Extra Principal Payments]],0)</f>
        <v>17844.185608557298</v>
      </c>
      <c r="AP214" s="4">
        <f>AP213+monthly_mortgage_schedule[[#This Row],[PMI Without Extra Principal Payments]]-monthly_mortgage_schedule[[#This Row],[PMI with Additional Payments]]</f>
        <v>990</v>
      </c>
      <c r="AQ214" s="4">
        <f t="shared" si="26"/>
        <v>60354.058092111947</v>
      </c>
      <c r="AR214" s="4">
        <f>Table60[[#This Row],[Cumulative Investments]]-monthly_mortgage_schedule[[#This Row],[Cumulative Extra Payments Towards Equity]]</f>
        <v>29354.058092111947</v>
      </c>
    </row>
    <row r="215" spans="9:44" x14ac:dyDescent="0.25">
      <c r="I215">
        <v>198</v>
      </c>
      <c r="J215">
        <f>IF(MOD(ROWS($J$18:J214),12)=0,J214+1,J214)</f>
        <v>2038</v>
      </c>
      <c r="K215" s="198">
        <f>IF(M215="#N/A",NA(),monthly_mortgage_schedule[[#This Row],[Month]])</f>
        <v>198</v>
      </c>
      <c r="L215" s="198">
        <f>IF(monthly_mortgage_schedule[[#This Row],[Calendar Year]]&gt;=$C$7,monthly_mortgage_schedule[[#This Row],[Calendar Year]],NA())</f>
        <v>2038</v>
      </c>
      <c r="M215" s="199">
        <f>IF((monthly_mortgage_schedule[[#This Row],[Calendar Year]]&gt;=$C$7)*(monthly_mortgage_schedule[[#This Row],[Calendar Year]]&lt;=$C$9),monthly_mortgage_schedule[[#This Row],[Begin Year (Range)]],NA())</f>
        <v>2038</v>
      </c>
      <c r="N215" s="214">
        <f>IF((monthly_mortgage_schedule[[#This Row],[Year (Range)]]&gt;=$C$7)*(monthly_mortgage_schedule[[#This Row],[Year (Range)]]&lt;=$C$9),X215,NA())</f>
        <v>1420.709067107726</v>
      </c>
      <c r="O215" s="214">
        <f>IF((monthly_mortgage_schedule[[#This Row],[Year (Range)]]&gt;=$C$7)*(monthly_mortgage_schedule[[#This Row],[Year (Range)]]&lt;=$C$9),Y215,NA())</f>
        <v>1679.3174283556821</v>
      </c>
      <c r="P215" s="214">
        <f>IF((monthly_mortgage_schedule[[#This Row],[Year (Range)]]&gt;=$C$7)*(monthly_mortgage_schedule[[#This Row],[Year (Range)]]&lt;=$C$9),AG215,NA())</f>
        <v>1648.6485999476611</v>
      </c>
      <c r="Q215" s="214">
        <f>IF((monthly_mortgage_schedule[[#This Row],[Year (Range)]]&gt;=$C$7)*(monthly_mortgage_schedule[[#This Row],[Year (Range)]]&lt;=$C$9),AH215,NA())</f>
        <v>1451.377895515747</v>
      </c>
      <c r="R215" s="214">
        <f>IF((monthly_mortgage_schedule[[#This Row],[Year (Range)]]&gt;=$C$7)*(monthly_mortgage_schedule[[#This Row],[Year (Range)]]&lt;=$C$9),AO215,NA())</f>
        <v>18072.125141397235</v>
      </c>
      <c r="S215" s="214">
        <f>IF((monthly_mortgage_schedule[[#This Row],[Year (Range)]]&gt;=$C$7)*(monthly_mortgage_schedule[[#This Row],[Year (Range)]]&lt;=$C$9),AP215,NA())</f>
        <v>990</v>
      </c>
      <c r="T215" s="214">
        <f>IF((monthly_mortgage_schedule[[#This Row],[Year (Range)]]&gt;=$C$7)*(monthly_mortgage_schedule[[#This Row],[Year (Range)]]&lt;=$C$9),AR215,NA())</f>
        <v>29756.418479392691</v>
      </c>
      <c r="U215" s="214">
        <f>IF((monthly_mortgage_schedule[[#This Row],[Year (Range)]]&gt;=$C$7)*(monthly_mortgage_schedule[[#This Row],[Year (Range)]]&lt;=$C$9),AB215,NA())</f>
        <v>237241.66019098557</v>
      </c>
      <c r="V215" s="214">
        <f>IF((monthly_mortgage_schedule[[#This Row],[Year (Range)]]&gt;=$C$7)*(monthly_mortgage_schedule[[#This Row],[Year (Range)]]&lt;=$C$9),AI215,NA())</f>
        <v>188169.53504958857</v>
      </c>
      <c r="W215" s="187">
        <f t="shared" si="24"/>
        <v>304437.65723736986</v>
      </c>
      <c r="X215" s="4">
        <f t="shared" si="27"/>
        <v>1420.709067107726</v>
      </c>
      <c r="Y215" s="4">
        <f t="shared" si="25"/>
        <v>1679.3174283556821</v>
      </c>
      <c r="Z215" s="4">
        <f>_xlfn.IFNA(INDEX(additional_mortgage_payments[],MATCH(monthly_mortgage_schedule[[#This Row],[Month]],additional_mortgage_payments[Month],0),3),0)</f>
        <v>0</v>
      </c>
      <c r="AA215" s="4">
        <f>AA214+monthly_mortgage_schedule[[#This Row],[Extra Payments Towards Equity]]</f>
        <v>31000</v>
      </c>
      <c r="AB215" s="4">
        <f>AB214+monthly_mortgage_schedule[[#This Row],[Principal With Extra Principal Payments]]+monthly_mortgage_schedule[[#This Row],[Extra Payments Towards Equity]]</f>
        <v>237241.66019098557</v>
      </c>
      <c r="AC215" s="4">
        <f>monthly_mortgage_schedule[[#This Row],[Cumulative Principal With Extra Principal Payments]]+down_payment_dollars</f>
        <v>297241.66019098554</v>
      </c>
      <c r="AD215" s="200">
        <f t="shared" si="22"/>
        <v>0</v>
      </c>
      <c r="AE21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302758.33980901417</v>
      </c>
      <c r="AF215" s="187">
        <f t="shared" si="28"/>
        <v>353281.84284592734</v>
      </c>
      <c r="AG215" s="4">
        <f>IF(monthly_mortgage_schedule[[#This Row],[Loan Balance (BOY) Without Extra Principal Payments]]&gt;0,monthly_mortgage_schedule[[#This Row],[Loan Balance (BOY) Without Extra Principal Payments]]*monthly_interest_rate,0)</f>
        <v>1648.6485999476611</v>
      </c>
      <c r="AH215" s="4">
        <f>IF(monthly_mortgage_schedule[[#This Row],[Loan Balance (BOY) Without Extra Principal Payments]]&gt;1,monthly_principal_and_interest-monthly_mortgage_schedule[[#This Row],[Interest Without Extra Principal Payments]],0)</f>
        <v>1451.377895515747</v>
      </c>
      <c r="AI215" s="4">
        <f>AI214+monthly_mortgage_schedule[[#This Row],[Principal Without Extra Principal Payments]]</f>
        <v>188169.53504958857</v>
      </c>
      <c r="AJ215" s="4">
        <f>monthly_mortgage_schedule[[#This Row],[Cumulative Principal Without Extra Principal Payments]]+down_payment_dollars</f>
        <v>248169.53504958857</v>
      </c>
      <c r="AK215" s="200">
        <f t="shared" si="23"/>
        <v>0</v>
      </c>
      <c r="AL21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351830.46495041158</v>
      </c>
      <c r="AN215" s="196">
        <f>monthly_mortgage_schedule[[#This Row],[Extra Payments Towards Equity]]+AN214+IF(monthly_mortgage_schedule[[#This Row],[Interest With Extra Principal Payments]]&gt;0,monthly_mortgage_schedule[[#This Row],[Interest Without Extra Principal Payments]]-monthly_mortgage_schedule[[#This Row],[Interest With Extra Principal Payments]],0)</f>
        <v>49072.12514139725</v>
      </c>
      <c r="AO215" s="4">
        <f>AO214+IF(monthly_mortgage_schedule[[#This Row],[Interest With Extra Principal Payments]]&gt;0,monthly_mortgage_schedule[[#This Row],[Interest Without Extra Principal Payments]]-monthly_mortgage_schedule[[#This Row],[Interest With Extra Principal Payments]],0)</f>
        <v>18072.125141397235</v>
      </c>
      <c r="AP215" s="4">
        <f>AP214+monthly_mortgage_schedule[[#This Row],[PMI Without Extra Principal Payments]]-monthly_mortgage_schedule[[#This Row],[PMI with Additional Payments]]</f>
        <v>990</v>
      </c>
      <c r="AQ215" s="4">
        <f t="shared" si="26"/>
        <v>60756.418479392691</v>
      </c>
      <c r="AR215" s="4">
        <f>Table60[[#This Row],[Cumulative Investments]]-monthly_mortgage_schedule[[#This Row],[Cumulative Extra Payments Towards Equity]]</f>
        <v>29756.418479392691</v>
      </c>
    </row>
    <row r="216" spans="9:44" x14ac:dyDescent="0.25">
      <c r="I216">
        <v>199</v>
      </c>
      <c r="J216">
        <f>IF(MOD(ROWS($J$18:J215),12)=0,J215+1,J215)</f>
        <v>2038</v>
      </c>
      <c r="K216" s="198">
        <f>IF(M216="#N/A",NA(),monthly_mortgage_schedule[[#This Row],[Month]])</f>
        <v>199</v>
      </c>
      <c r="L216" s="198">
        <f>IF(monthly_mortgage_schedule[[#This Row],[Calendar Year]]&gt;=$C$7,monthly_mortgage_schedule[[#This Row],[Calendar Year]],NA())</f>
        <v>2038</v>
      </c>
      <c r="M216" s="199">
        <f>IF((monthly_mortgage_schedule[[#This Row],[Calendar Year]]&gt;=$C$7)*(monthly_mortgage_schedule[[#This Row],[Calendar Year]]&lt;=$C$9),monthly_mortgage_schedule[[#This Row],[Begin Year (Range)]],NA())</f>
        <v>2038</v>
      </c>
      <c r="N216" s="214">
        <f>IF((monthly_mortgage_schedule[[#This Row],[Year (Range)]]&gt;=$C$7)*(monthly_mortgage_schedule[[#This Row],[Year (Range)]]&lt;=$C$9),X216,NA())</f>
        <v>1412.8722524420662</v>
      </c>
      <c r="O216" s="214">
        <f>IF((monthly_mortgage_schedule[[#This Row],[Year (Range)]]&gt;=$C$7)*(monthly_mortgage_schedule[[#This Row],[Year (Range)]]&lt;=$C$9),Y216,NA())</f>
        <v>1687.1542430213419</v>
      </c>
      <c r="P216" s="214">
        <f>IF((monthly_mortgage_schedule[[#This Row],[Year (Range)]]&gt;=$C$7)*(monthly_mortgage_schedule[[#This Row],[Year (Range)]]&lt;=$C$9),AG216,NA())</f>
        <v>1641.8755031019209</v>
      </c>
      <c r="Q216" s="214">
        <f>IF((monthly_mortgage_schedule[[#This Row],[Year (Range)]]&gt;=$C$7)*(monthly_mortgage_schedule[[#This Row],[Year (Range)]]&lt;=$C$9),AH216,NA())</f>
        <v>1458.1509923614872</v>
      </c>
      <c r="R216" s="214">
        <f>IF((monthly_mortgage_schedule[[#This Row],[Year (Range)]]&gt;=$C$7)*(monthly_mortgage_schedule[[#This Row],[Year (Range)]]&lt;=$C$9),AO216,NA())</f>
        <v>18301.12839205709</v>
      </c>
      <c r="S216" s="214">
        <f>IF((monthly_mortgage_schedule[[#This Row],[Year (Range)]]&gt;=$C$7)*(monthly_mortgage_schedule[[#This Row],[Year (Range)]]&lt;=$C$9),AP216,NA())</f>
        <v>990</v>
      </c>
      <c r="T216" s="214">
        <f>IF((monthly_mortgage_schedule[[#This Row],[Year (Range)]]&gt;=$C$7)*(monthly_mortgage_schedule[[#This Row],[Year (Range)]]&lt;=$C$9),AR216,NA())</f>
        <v>30161.461269255306</v>
      </c>
      <c r="U216" s="214">
        <f>IF((monthly_mortgage_schedule[[#This Row],[Year (Range)]]&gt;=$C$7)*(monthly_mortgage_schedule[[#This Row],[Year (Range)]]&lt;=$C$9),AB216,NA())</f>
        <v>238928.8144340069</v>
      </c>
      <c r="V216" s="214">
        <f>IF((monthly_mortgage_schedule[[#This Row],[Year (Range)]]&gt;=$C$7)*(monthly_mortgage_schedule[[#This Row],[Year (Range)]]&lt;=$C$9),AI216,NA())</f>
        <v>189627.68604195004</v>
      </c>
      <c r="W216" s="187">
        <f t="shared" si="24"/>
        <v>302758.33980901417</v>
      </c>
      <c r="X216" s="4">
        <f t="shared" si="27"/>
        <v>1412.8722524420662</v>
      </c>
      <c r="Y216" s="4">
        <f t="shared" si="25"/>
        <v>1687.1542430213419</v>
      </c>
      <c r="Z216" s="4">
        <f>_xlfn.IFNA(INDEX(additional_mortgage_payments[],MATCH(monthly_mortgage_schedule[[#This Row],[Month]],additional_mortgage_payments[Month],0),3),0)</f>
        <v>0</v>
      </c>
      <c r="AA216" s="4">
        <f>AA215+monthly_mortgage_schedule[[#This Row],[Extra Payments Towards Equity]]</f>
        <v>31000</v>
      </c>
      <c r="AB216" s="4">
        <f>AB215+monthly_mortgage_schedule[[#This Row],[Principal With Extra Principal Payments]]+monthly_mortgage_schedule[[#This Row],[Extra Payments Towards Equity]]</f>
        <v>238928.8144340069</v>
      </c>
      <c r="AC216" s="4">
        <f>monthly_mortgage_schedule[[#This Row],[Cumulative Principal With Extra Principal Payments]]+down_payment_dollars</f>
        <v>298928.81443400693</v>
      </c>
      <c r="AD216" s="200">
        <f t="shared" si="22"/>
        <v>0</v>
      </c>
      <c r="AE21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301071.18556599284</v>
      </c>
      <c r="AF216" s="187">
        <f t="shared" si="28"/>
        <v>351830.46495041158</v>
      </c>
      <c r="AG216" s="4">
        <f>IF(monthly_mortgage_schedule[[#This Row],[Loan Balance (BOY) Without Extra Principal Payments]]&gt;0,monthly_mortgage_schedule[[#This Row],[Loan Balance (BOY) Without Extra Principal Payments]]*monthly_interest_rate,0)</f>
        <v>1641.8755031019209</v>
      </c>
      <c r="AH216" s="4">
        <f>IF(monthly_mortgage_schedule[[#This Row],[Loan Balance (BOY) Without Extra Principal Payments]]&gt;1,monthly_principal_and_interest-monthly_mortgage_schedule[[#This Row],[Interest Without Extra Principal Payments]],0)</f>
        <v>1458.1509923614872</v>
      </c>
      <c r="AI216" s="4">
        <f>AI215+monthly_mortgage_schedule[[#This Row],[Principal Without Extra Principal Payments]]</f>
        <v>189627.68604195004</v>
      </c>
      <c r="AJ216" s="4">
        <f>monthly_mortgage_schedule[[#This Row],[Cumulative Principal Without Extra Principal Payments]]+down_payment_dollars</f>
        <v>249627.68604195004</v>
      </c>
      <c r="AK216" s="200">
        <f t="shared" si="23"/>
        <v>0</v>
      </c>
      <c r="AL21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350372.3139580501</v>
      </c>
      <c r="AN216" s="196">
        <f>monthly_mortgage_schedule[[#This Row],[Extra Payments Towards Equity]]+AN215+IF(monthly_mortgage_schedule[[#This Row],[Interest With Extra Principal Payments]]&gt;0,monthly_mortgage_schedule[[#This Row],[Interest Without Extra Principal Payments]]-monthly_mortgage_schedule[[#This Row],[Interest With Extra Principal Payments]],0)</f>
        <v>49301.128392057108</v>
      </c>
      <c r="AO216" s="4">
        <f>AO215+IF(monthly_mortgage_schedule[[#This Row],[Interest With Extra Principal Payments]]&gt;0,monthly_mortgage_schedule[[#This Row],[Interest Without Extra Principal Payments]]-monthly_mortgage_schedule[[#This Row],[Interest With Extra Principal Payments]],0)</f>
        <v>18301.12839205709</v>
      </c>
      <c r="AP216" s="4">
        <f>AP215+monthly_mortgage_schedule[[#This Row],[PMI Without Extra Principal Payments]]-monthly_mortgage_schedule[[#This Row],[PMI with Additional Payments]]</f>
        <v>990</v>
      </c>
      <c r="AQ216" s="4">
        <f t="shared" si="26"/>
        <v>61161.461269255306</v>
      </c>
      <c r="AR216" s="4">
        <f>Table60[[#This Row],[Cumulative Investments]]-monthly_mortgage_schedule[[#This Row],[Cumulative Extra Payments Towards Equity]]</f>
        <v>30161.461269255306</v>
      </c>
    </row>
    <row r="217" spans="9:44" x14ac:dyDescent="0.25">
      <c r="I217">
        <v>200</v>
      </c>
      <c r="J217">
        <f>IF(MOD(ROWS($J$18:J216),12)=0,J216+1,J216)</f>
        <v>2038</v>
      </c>
      <c r="K217" s="198">
        <f>IF(M217="#N/A",NA(),monthly_mortgage_schedule[[#This Row],[Month]])</f>
        <v>200</v>
      </c>
      <c r="L217" s="198">
        <f>IF(monthly_mortgage_schedule[[#This Row],[Calendar Year]]&gt;=$C$7,monthly_mortgage_schedule[[#This Row],[Calendar Year]],NA())</f>
        <v>2038</v>
      </c>
      <c r="M217" s="199">
        <f>IF((monthly_mortgage_schedule[[#This Row],[Calendar Year]]&gt;=$C$7)*(monthly_mortgage_schedule[[#This Row],[Calendar Year]]&lt;=$C$9),monthly_mortgage_schedule[[#This Row],[Begin Year (Range)]],NA())</f>
        <v>2038</v>
      </c>
      <c r="N217" s="214">
        <f>IF((monthly_mortgage_schedule[[#This Row],[Year (Range)]]&gt;=$C$7)*(monthly_mortgage_schedule[[#This Row],[Year (Range)]]&lt;=$C$9),X217,NA())</f>
        <v>1404.9988659746334</v>
      </c>
      <c r="O217" s="214">
        <f>IF((monthly_mortgage_schedule[[#This Row],[Year (Range)]]&gt;=$C$7)*(monthly_mortgage_schedule[[#This Row],[Year (Range)]]&lt;=$C$9),Y217,NA())</f>
        <v>1695.0276294887747</v>
      </c>
      <c r="P217" s="214">
        <f>IF((monthly_mortgage_schedule[[#This Row],[Year (Range)]]&gt;=$C$7)*(monthly_mortgage_schedule[[#This Row],[Year (Range)]]&lt;=$C$9),AG217,NA())</f>
        <v>1635.0707984709006</v>
      </c>
      <c r="Q217" s="214">
        <f>IF((monthly_mortgage_schedule[[#This Row],[Year (Range)]]&gt;=$C$7)*(monthly_mortgage_schedule[[#This Row],[Year (Range)]]&lt;=$C$9),AH217,NA())</f>
        <v>1464.9556969925075</v>
      </c>
      <c r="R217" s="214">
        <f>IF((monthly_mortgage_schedule[[#This Row],[Year (Range)]]&gt;=$C$7)*(monthly_mortgage_schedule[[#This Row],[Year (Range)]]&lt;=$C$9),AO217,NA())</f>
        <v>18531.200324553356</v>
      </c>
      <c r="S217" s="214">
        <f>IF((monthly_mortgage_schedule[[#This Row],[Year (Range)]]&gt;=$C$7)*(monthly_mortgage_schedule[[#This Row],[Year (Range)]]&lt;=$C$9),AP217,NA())</f>
        <v>990</v>
      </c>
      <c r="T217" s="214">
        <f>IF((monthly_mortgage_schedule[[#This Row],[Year (Range)]]&gt;=$C$7)*(monthly_mortgage_schedule[[#This Row],[Year (Range)]]&lt;=$C$9),AR217,NA())</f>
        <v>30572.537677717002</v>
      </c>
      <c r="U217" s="214">
        <f>IF((monthly_mortgage_schedule[[#This Row],[Year (Range)]]&gt;=$C$7)*(monthly_mortgage_schedule[[#This Row],[Year (Range)]]&lt;=$C$9),AB217,NA())</f>
        <v>241123.84206349569</v>
      </c>
      <c r="V217" s="214">
        <f>IF((monthly_mortgage_schedule[[#This Row],[Year (Range)]]&gt;=$C$7)*(monthly_mortgage_schedule[[#This Row],[Year (Range)]]&lt;=$C$9),AI217,NA())</f>
        <v>191092.64173894256</v>
      </c>
      <c r="W217" s="187">
        <f t="shared" si="24"/>
        <v>301071.18556599284</v>
      </c>
      <c r="X217" s="4">
        <f t="shared" si="27"/>
        <v>1404.9988659746334</v>
      </c>
      <c r="Y217" s="4">
        <f t="shared" si="25"/>
        <v>1695.0276294887747</v>
      </c>
      <c r="Z217" s="4">
        <f>_xlfn.IFNA(INDEX(additional_mortgage_payments[],MATCH(monthly_mortgage_schedule[[#This Row],[Month]],additional_mortgage_payments[Month],0),3),0)</f>
        <v>500</v>
      </c>
      <c r="AA217" s="4">
        <f>AA216+monthly_mortgage_schedule[[#This Row],[Extra Payments Towards Equity]]</f>
        <v>31500</v>
      </c>
      <c r="AB217" s="4">
        <f>AB216+monthly_mortgage_schedule[[#This Row],[Principal With Extra Principal Payments]]+monthly_mortgage_schedule[[#This Row],[Extra Payments Towards Equity]]</f>
        <v>241123.84206349569</v>
      </c>
      <c r="AC217" s="4">
        <f>monthly_mortgage_schedule[[#This Row],[Cumulative Principal With Extra Principal Payments]]+down_payment_dollars</f>
        <v>301123.84206349566</v>
      </c>
      <c r="AD217" s="200">
        <f t="shared" si="22"/>
        <v>0</v>
      </c>
      <c r="AE21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298876.15793650405</v>
      </c>
      <c r="AF217" s="187">
        <f t="shared" si="28"/>
        <v>350372.3139580501</v>
      </c>
      <c r="AG217" s="4">
        <f>IF(monthly_mortgage_schedule[[#This Row],[Loan Balance (BOY) Without Extra Principal Payments]]&gt;0,monthly_mortgage_schedule[[#This Row],[Loan Balance (BOY) Without Extra Principal Payments]]*monthly_interest_rate,0)</f>
        <v>1635.0707984709006</v>
      </c>
      <c r="AH217" s="4">
        <f>IF(monthly_mortgage_schedule[[#This Row],[Loan Balance (BOY) Without Extra Principal Payments]]&gt;1,monthly_principal_and_interest-monthly_mortgage_schedule[[#This Row],[Interest Without Extra Principal Payments]],0)</f>
        <v>1464.9556969925075</v>
      </c>
      <c r="AI217" s="4">
        <f>AI216+monthly_mortgage_schedule[[#This Row],[Principal Without Extra Principal Payments]]</f>
        <v>191092.64173894256</v>
      </c>
      <c r="AJ217" s="4">
        <f>monthly_mortgage_schedule[[#This Row],[Cumulative Principal Without Extra Principal Payments]]+down_payment_dollars</f>
        <v>251092.64173894256</v>
      </c>
      <c r="AK217" s="200">
        <f t="shared" si="23"/>
        <v>0</v>
      </c>
      <c r="AL21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348907.35826105758</v>
      </c>
      <c r="AN217" s="196">
        <f>monthly_mortgage_schedule[[#This Row],[Extra Payments Towards Equity]]+AN216+IF(monthly_mortgage_schedule[[#This Row],[Interest With Extra Principal Payments]]&gt;0,monthly_mortgage_schedule[[#This Row],[Interest Without Extra Principal Payments]]-monthly_mortgage_schedule[[#This Row],[Interest With Extra Principal Payments]],0)</f>
        <v>50031.200324553378</v>
      </c>
      <c r="AO217" s="4">
        <f>AO216+IF(monthly_mortgage_schedule[[#This Row],[Interest With Extra Principal Payments]]&gt;0,monthly_mortgage_schedule[[#This Row],[Interest Without Extra Principal Payments]]-monthly_mortgage_schedule[[#This Row],[Interest With Extra Principal Payments]],0)</f>
        <v>18531.200324553356</v>
      </c>
      <c r="AP217" s="4">
        <f>AP216+monthly_mortgage_schedule[[#This Row],[PMI Without Extra Principal Payments]]-monthly_mortgage_schedule[[#This Row],[PMI with Additional Payments]]</f>
        <v>990</v>
      </c>
      <c r="AQ217" s="4">
        <f t="shared" si="26"/>
        <v>62072.537677717002</v>
      </c>
      <c r="AR217" s="4">
        <f>Table60[[#This Row],[Cumulative Investments]]-monthly_mortgage_schedule[[#This Row],[Cumulative Extra Payments Towards Equity]]</f>
        <v>30572.537677717002</v>
      </c>
    </row>
    <row r="218" spans="9:44" x14ac:dyDescent="0.25">
      <c r="I218">
        <v>201</v>
      </c>
      <c r="J218">
        <f>IF(MOD(ROWS($J$18:J217),12)=0,J217+1,J217)</f>
        <v>2038</v>
      </c>
      <c r="K218" s="198">
        <f>IF(M218="#N/A",NA(),monthly_mortgage_schedule[[#This Row],[Month]])</f>
        <v>201</v>
      </c>
      <c r="L218" s="198">
        <f>IF(monthly_mortgage_schedule[[#This Row],[Calendar Year]]&gt;=$C$7,monthly_mortgage_schedule[[#This Row],[Calendar Year]],NA())</f>
        <v>2038</v>
      </c>
      <c r="M218" s="199">
        <f>IF((monthly_mortgage_schedule[[#This Row],[Calendar Year]]&gt;=$C$7)*(monthly_mortgage_schedule[[#This Row],[Calendar Year]]&lt;=$C$9),monthly_mortgage_schedule[[#This Row],[Begin Year (Range)]],NA())</f>
        <v>2038</v>
      </c>
      <c r="N218" s="214">
        <f>IF((monthly_mortgage_schedule[[#This Row],[Year (Range)]]&gt;=$C$7)*(monthly_mortgage_schedule[[#This Row],[Year (Range)]]&lt;=$C$9),X218,NA())</f>
        <v>1394.7554037036857</v>
      </c>
      <c r="O218" s="214">
        <f>IF((monthly_mortgage_schedule[[#This Row],[Year (Range)]]&gt;=$C$7)*(monthly_mortgage_schedule[[#This Row],[Year (Range)]]&lt;=$C$9),Y218,NA())</f>
        <v>1705.2710917597224</v>
      </c>
      <c r="P218" s="214">
        <f>IF((monthly_mortgage_schedule[[#This Row],[Year (Range)]]&gt;=$C$7)*(monthly_mortgage_schedule[[#This Row],[Year (Range)]]&lt;=$C$9),AG218,NA())</f>
        <v>1628.2343385516021</v>
      </c>
      <c r="Q218" s="214">
        <f>IF((monthly_mortgage_schedule[[#This Row],[Year (Range)]]&gt;=$C$7)*(monthly_mortgage_schedule[[#This Row],[Year (Range)]]&lt;=$C$9),AH218,NA())</f>
        <v>1471.7921569118059</v>
      </c>
      <c r="R218" s="214">
        <f>IF((monthly_mortgage_schedule[[#This Row],[Year (Range)]]&gt;=$C$7)*(monthly_mortgage_schedule[[#This Row],[Year (Range)]]&lt;=$C$9),AO218,NA())</f>
        <v>18764.679259401273</v>
      </c>
      <c r="S218" s="214">
        <f>IF((monthly_mortgage_schedule[[#This Row],[Year (Range)]]&gt;=$C$7)*(monthly_mortgage_schedule[[#This Row],[Year (Range)]]&lt;=$C$9),AP218,NA())</f>
        <v>990</v>
      </c>
      <c r="T218" s="214">
        <f>IF((monthly_mortgage_schedule[[#This Row],[Year (Range)]]&gt;=$C$7)*(monthly_mortgage_schedule[[#This Row],[Year (Range)]]&lt;=$C$9),AR218,NA())</f>
        <v>30986.354595568446</v>
      </c>
      <c r="U218" s="214">
        <f>IF((monthly_mortgage_schedule[[#This Row],[Year (Range)]]&gt;=$C$7)*(monthly_mortgage_schedule[[#This Row],[Year (Range)]]&lt;=$C$9),AB218,NA())</f>
        <v>242829.11315525541</v>
      </c>
      <c r="V218" s="214">
        <f>IF((monthly_mortgage_schedule[[#This Row],[Year (Range)]]&gt;=$C$7)*(monthly_mortgage_schedule[[#This Row],[Year (Range)]]&lt;=$C$9),AI218,NA())</f>
        <v>192564.43389585437</v>
      </c>
      <c r="W218" s="187">
        <f t="shared" si="24"/>
        <v>298876.15793650405</v>
      </c>
      <c r="X218" s="4">
        <f t="shared" si="27"/>
        <v>1394.7554037036857</v>
      </c>
      <c r="Y218" s="4">
        <f t="shared" si="25"/>
        <v>1705.2710917597224</v>
      </c>
      <c r="Z218" s="4">
        <f>_xlfn.IFNA(INDEX(additional_mortgage_payments[],MATCH(monthly_mortgage_schedule[[#This Row],[Month]],additional_mortgage_payments[Month],0),3),0)</f>
        <v>0</v>
      </c>
      <c r="AA218" s="4">
        <f>AA217+monthly_mortgage_schedule[[#This Row],[Extra Payments Towards Equity]]</f>
        <v>31500</v>
      </c>
      <c r="AB218" s="4">
        <f>AB217+monthly_mortgage_schedule[[#This Row],[Principal With Extra Principal Payments]]+monthly_mortgage_schedule[[#This Row],[Extra Payments Towards Equity]]</f>
        <v>242829.11315525541</v>
      </c>
      <c r="AC218" s="4">
        <f>monthly_mortgage_schedule[[#This Row],[Cumulative Principal With Extra Principal Payments]]+down_payment_dollars</f>
        <v>302829.11315525544</v>
      </c>
      <c r="AD218" s="200">
        <f t="shared" si="22"/>
        <v>0</v>
      </c>
      <c r="AE21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297170.88684474432</v>
      </c>
      <c r="AF218" s="187">
        <f t="shared" si="28"/>
        <v>348907.35826105758</v>
      </c>
      <c r="AG218" s="4">
        <f>IF(monthly_mortgage_schedule[[#This Row],[Loan Balance (BOY) Without Extra Principal Payments]]&gt;0,monthly_mortgage_schedule[[#This Row],[Loan Balance (BOY) Without Extra Principal Payments]]*monthly_interest_rate,0)</f>
        <v>1628.2343385516021</v>
      </c>
      <c r="AH218" s="4">
        <f>IF(monthly_mortgage_schedule[[#This Row],[Loan Balance (BOY) Without Extra Principal Payments]]&gt;1,monthly_principal_and_interest-monthly_mortgage_schedule[[#This Row],[Interest Without Extra Principal Payments]],0)</f>
        <v>1471.7921569118059</v>
      </c>
      <c r="AI218" s="4">
        <f>AI217+monthly_mortgage_schedule[[#This Row],[Principal Without Extra Principal Payments]]</f>
        <v>192564.43389585437</v>
      </c>
      <c r="AJ218" s="4">
        <f>monthly_mortgage_schedule[[#This Row],[Cumulative Principal Without Extra Principal Payments]]+down_payment_dollars</f>
        <v>252564.43389585437</v>
      </c>
      <c r="AK218" s="200">
        <f t="shared" si="23"/>
        <v>0</v>
      </c>
      <c r="AL21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347435.56610414578</v>
      </c>
      <c r="AN218" s="196">
        <f>monthly_mortgage_schedule[[#This Row],[Extra Payments Towards Equity]]+AN217+IF(monthly_mortgage_schedule[[#This Row],[Interest With Extra Principal Payments]]&gt;0,monthly_mortgage_schedule[[#This Row],[Interest Without Extra Principal Payments]]-monthly_mortgage_schedule[[#This Row],[Interest With Extra Principal Payments]],0)</f>
        <v>50264.679259401295</v>
      </c>
      <c r="AO218" s="4">
        <f>AO217+IF(monthly_mortgage_schedule[[#This Row],[Interest With Extra Principal Payments]]&gt;0,monthly_mortgage_schedule[[#This Row],[Interest Without Extra Principal Payments]]-monthly_mortgage_schedule[[#This Row],[Interest With Extra Principal Payments]],0)</f>
        <v>18764.679259401273</v>
      </c>
      <c r="AP218" s="4">
        <f>AP217+monthly_mortgage_schedule[[#This Row],[PMI Without Extra Principal Payments]]-monthly_mortgage_schedule[[#This Row],[PMI with Additional Payments]]</f>
        <v>990</v>
      </c>
      <c r="AQ218" s="4">
        <f t="shared" si="26"/>
        <v>62486.354595568446</v>
      </c>
      <c r="AR218" s="4">
        <f>Table60[[#This Row],[Cumulative Investments]]-monthly_mortgage_schedule[[#This Row],[Cumulative Extra Payments Towards Equity]]</f>
        <v>30986.354595568446</v>
      </c>
    </row>
    <row r="219" spans="9:44" x14ac:dyDescent="0.25">
      <c r="I219">
        <v>202</v>
      </c>
      <c r="J219">
        <f>IF(MOD(ROWS($J$18:J218),12)=0,J218+1,J218)</f>
        <v>2038</v>
      </c>
      <c r="K219" s="198">
        <f>IF(M219="#N/A",NA(),monthly_mortgage_schedule[[#This Row],[Month]])</f>
        <v>202</v>
      </c>
      <c r="L219" s="198">
        <f>IF(monthly_mortgage_schedule[[#This Row],[Calendar Year]]&gt;=$C$7,monthly_mortgage_schedule[[#This Row],[Calendar Year]],NA())</f>
        <v>2038</v>
      </c>
      <c r="M219" s="199">
        <f>IF((monthly_mortgage_schedule[[#This Row],[Calendar Year]]&gt;=$C$7)*(monthly_mortgage_schedule[[#This Row],[Calendar Year]]&lt;=$C$9),monthly_mortgage_schedule[[#This Row],[Begin Year (Range)]],NA())</f>
        <v>2038</v>
      </c>
      <c r="N219" s="214">
        <f>IF((monthly_mortgage_schedule[[#This Row],[Year (Range)]]&gt;=$C$7)*(monthly_mortgage_schedule[[#This Row],[Year (Range)]]&lt;=$C$9),X219,NA())</f>
        <v>1386.7974719421402</v>
      </c>
      <c r="O219" s="214">
        <f>IF((monthly_mortgage_schedule[[#This Row],[Year (Range)]]&gt;=$C$7)*(monthly_mortgage_schedule[[#This Row],[Year (Range)]]&lt;=$C$9),Y219,NA())</f>
        <v>1713.2290235212679</v>
      </c>
      <c r="P219" s="214">
        <f>IF((monthly_mortgage_schedule[[#This Row],[Year (Range)]]&gt;=$C$7)*(monthly_mortgage_schedule[[#This Row],[Year (Range)]]&lt;=$C$9),AG219,NA())</f>
        <v>1621.3659751526804</v>
      </c>
      <c r="Q219" s="214">
        <f>IF((monthly_mortgage_schedule[[#This Row],[Year (Range)]]&gt;=$C$7)*(monthly_mortgage_schedule[[#This Row],[Year (Range)]]&lt;=$C$9),AH219,NA())</f>
        <v>1478.6605203107276</v>
      </c>
      <c r="R219" s="214">
        <f>IF((monthly_mortgage_schedule[[#This Row],[Year (Range)]]&gt;=$C$7)*(monthly_mortgage_schedule[[#This Row],[Year (Range)]]&lt;=$C$9),AO219,NA())</f>
        <v>18999.247762611813</v>
      </c>
      <c r="S219" s="214">
        <f>IF((monthly_mortgage_schedule[[#This Row],[Year (Range)]]&gt;=$C$7)*(monthly_mortgage_schedule[[#This Row],[Year (Range)]]&lt;=$C$9),AP219,NA())</f>
        <v>990</v>
      </c>
      <c r="T219" s="214">
        <f>IF((monthly_mortgage_schedule[[#This Row],[Year (Range)]]&gt;=$C$7)*(monthly_mortgage_schedule[[#This Row],[Year (Range)]]&lt;=$C$9),AR219,NA())</f>
        <v>31402.930292872232</v>
      </c>
      <c r="U219" s="214">
        <f>IF((monthly_mortgage_schedule[[#This Row],[Year (Range)]]&gt;=$C$7)*(monthly_mortgage_schedule[[#This Row],[Year (Range)]]&lt;=$C$9),AB219,NA())</f>
        <v>244542.34217877669</v>
      </c>
      <c r="V219" s="214">
        <f>IF((monthly_mortgage_schedule[[#This Row],[Year (Range)]]&gt;=$C$7)*(monthly_mortgage_schedule[[#This Row],[Year (Range)]]&lt;=$C$9),AI219,NA())</f>
        <v>194043.09441616508</v>
      </c>
      <c r="W219" s="187">
        <f t="shared" si="24"/>
        <v>297170.88684474432</v>
      </c>
      <c r="X219" s="4">
        <f t="shared" si="27"/>
        <v>1386.7974719421402</v>
      </c>
      <c r="Y219" s="4">
        <f t="shared" si="25"/>
        <v>1713.2290235212679</v>
      </c>
      <c r="Z219" s="4">
        <f>_xlfn.IFNA(INDEX(additional_mortgage_payments[],MATCH(monthly_mortgage_schedule[[#This Row],[Month]],additional_mortgage_payments[Month],0),3),0)</f>
        <v>0</v>
      </c>
      <c r="AA219" s="4">
        <f>AA218+monthly_mortgage_schedule[[#This Row],[Extra Payments Towards Equity]]</f>
        <v>31500</v>
      </c>
      <c r="AB219" s="4">
        <f>AB218+monthly_mortgage_schedule[[#This Row],[Principal With Extra Principal Payments]]+monthly_mortgage_schedule[[#This Row],[Extra Payments Towards Equity]]</f>
        <v>244542.34217877669</v>
      </c>
      <c r="AC219" s="4">
        <f>monthly_mortgage_schedule[[#This Row],[Cumulative Principal With Extra Principal Payments]]+down_payment_dollars</f>
        <v>304542.34217877669</v>
      </c>
      <c r="AD219" s="200">
        <f t="shared" si="22"/>
        <v>0</v>
      </c>
      <c r="AE21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295457.65782122308</v>
      </c>
      <c r="AF219" s="187">
        <f t="shared" si="28"/>
        <v>347435.56610414578</v>
      </c>
      <c r="AG219" s="4">
        <f>IF(monthly_mortgage_schedule[[#This Row],[Loan Balance (BOY) Without Extra Principal Payments]]&gt;0,monthly_mortgage_schedule[[#This Row],[Loan Balance (BOY) Without Extra Principal Payments]]*monthly_interest_rate,0)</f>
        <v>1621.3659751526804</v>
      </c>
      <c r="AH219" s="4">
        <f>IF(monthly_mortgage_schedule[[#This Row],[Loan Balance (BOY) Without Extra Principal Payments]]&gt;1,monthly_principal_and_interest-monthly_mortgage_schedule[[#This Row],[Interest Without Extra Principal Payments]],0)</f>
        <v>1478.6605203107276</v>
      </c>
      <c r="AI219" s="4">
        <f>AI218+monthly_mortgage_schedule[[#This Row],[Principal Without Extra Principal Payments]]</f>
        <v>194043.09441616508</v>
      </c>
      <c r="AJ219" s="4">
        <f>monthly_mortgage_schedule[[#This Row],[Cumulative Principal Without Extra Principal Payments]]+down_payment_dollars</f>
        <v>254043.09441616508</v>
      </c>
      <c r="AK219" s="200">
        <f t="shared" si="23"/>
        <v>0</v>
      </c>
      <c r="AL21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345956.90558383503</v>
      </c>
      <c r="AN219" s="196">
        <f>monthly_mortgage_schedule[[#This Row],[Extra Payments Towards Equity]]+AN218+IF(monthly_mortgage_schedule[[#This Row],[Interest With Extra Principal Payments]]&gt;0,monthly_mortgage_schedule[[#This Row],[Interest Without Extra Principal Payments]]-monthly_mortgage_schedule[[#This Row],[Interest With Extra Principal Payments]],0)</f>
        <v>50499.247762611834</v>
      </c>
      <c r="AO219" s="4">
        <f>AO218+IF(monthly_mortgage_schedule[[#This Row],[Interest With Extra Principal Payments]]&gt;0,monthly_mortgage_schedule[[#This Row],[Interest Without Extra Principal Payments]]-monthly_mortgage_schedule[[#This Row],[Interest With Extra Principal Payments]],0)</f>
        <v>18999.247762611813</v>
      </c>
      <c r="AP219" s="4">
        <f>AP218+monthly_mortgage_schedule[[#This Row],[PMI Without Extra Principal Payments]]-monthly_mortgage_schedule[[#This Row],[PMI with Additional Payments]]</f>
        <v>990</v>
      </c>
      <c r="AQ219" s="4">
        <f t="shared" si="26"/>
        <v>62902.930292872232</v>
      </c>
      <c r="AR219" s="4">
        <f>Table60[[#This Row],[Cumulative Investments]]-monthly_mortgage_schedule[[#This Row],[Cumulative Extra Payments Towards Equity]]</f>
        <v>31402.930292872232</v>
      </c>
    </row>
    <row r="220" spans="9:44" x14ac:dyDescent="0.25">
      <c r="I220">
        <v>203</v>
      </c>
      <c r="J220">
        <f>IF(MOD(ROWS($J$18:J219),12)=0,J219+1,J219)</f>
        <v>2038</v>
      </c>
      <c r="K220" s="198">
        <f>IF(M220="#N/A",NA(),monthly_mortgage_schedule[[#This Row],[Month]])</f>
        <v>203</v>
      </c>
      <c r="L220" s="198">
        <f>IF(monthly_mortgage_schedule[[#This Row],[Calendar Year]]&gt;=$C$7,monthly_mortgage_schedule[[#This Row],[Calendar Year]],NA())</f>
        <v>2038</v>
      </c>
      <c r="M220" s="199">
        <f>IF((monthly_mortgage_schedule[[#This Row],[Calendar Year]]&gt;=$C$7)*(monthly_mortgage_schedule[[#This Row],[Calendar Year]]&lt;=$C$9),monthly_mortgage_schedule[[#This Row],[Begin Year (Range)]],NA())</f>
        <v>2038</v>
      </c>
      <c r="N220" s="214">
        <f>IF((monthly_mortgage_schedule[[#This Row],[Year (Range)]]&gt;=$C$7)*(monthly_mortgage_schedule[[#This Row],[Year (Range)]]&lt;=$C$9),X220,NA())</f>
        <v>1378.8024031657078</v>
      </c>
      <c r="O220" s="214">
        <f>IF((monthly_mortgage_schedule[[#This Row],[Year (Range)]]&gt;=$C$7)*(monthly_mortgage_schedule[[#This Row],[Year (Range)]]&lt;=$C$9),Y220,NA())</f>
        <v>1721.2240922977003</v>
      </c>
      <c r="P220" s="214">
        <f>IF((monthly_mortgage_schedule[[#This Row],[Year (Range)]]&gt;=$C$7)*(monthly_mortgage_schedule[[#This Row],[Year (Range)]]&lt;=$C$9),AG220,NA())</f>
        <v>1614.4655593912303</v>
      </c>
      <c r="Q220" s="214">
        <f>IF((monthly_mortgage_schedule[[#This Row],[Year (Range)]]&gt;=$C$7)*(monthly_mortgage_schedule[[#This Row],[Year (Range)]]&lt;=$C$9),AH220,NA())</f>
        <v>1485.5609360721778</v>
      </c>
      <c r="R220" s="214">
        <f>IF((monthly_mortgage_schedule[[#This Row],[Year (Range)]]&gt;=$C$7)*(monthly_mortgage_schedule[[#This Row],[Year (Range)]]&lt;=$C$9),AO220,NA())</f>
        <v>19234.910918837333</v>
      </c>
      <c r="S220" s="214">
        <f>IF((monthly_mortgage_schedule[[#This Row],[Year (Range)]]&gt;=$C$7)*(monthly_mortgage_schedule[[#This Row],[Year (Range)]]&lt;=$C$9),AP220,NA())</f>
        <v>990</v>
      </c>
      <c r="T220" s="214">
        <f>IF((monthly_mortgage_schedule[[#This Row],[Year (Range)]]&gt;=$C$7)*(monthly_mortgage_schedule[[#This Row],[Year (Range)]]&lt;=$C$9),AR220,NA())</f>
        <v>31822.283161491374</v>
      </c>
      <c r="U220" s="214">
        <f>IF((monthly_mortgage_schedule[[#This Row],[Year (Range)]]&gt;=$C$7)*(monthly_mortgage_schedule[[#This Row],[Year (Range)]]&lt;=$C$9),AB220,NA())</f>
        <v>246263.56627107438</v>
      </c>
      <c r="V220" s="214">
        <f>IF((monthly_mortgage_schedule[[#This Row],[Year (Range)]]&gt;=$C$7)*(monthly_mortgage_schedule[[#This Row],[Year (Range)]]&lt;=$C$9),AI220,NA())</f>
        <v>195528.65535223726</v>
      </c>
      <c r="W220" s="187">
        <f t="shared" si="24"/>
        <v>295457.65782122308</v>
      </c>
      <c r="X220" s="4">
        <f t="shared" si="27"/>
        <v>1378.8024031657078</v>
      </c>
      <c r="Y220" s="4">
        <f t="shared" si="25"/>
        <v>1721.2240922977003</v>
      </c>
      <c r="Z220" s="4">
        <f>_xlfn.IFNA(INDEX(additional_mortgage_payments[],MATCH(monthly_mortgage_schedule[[#This Row],[Month]],additional_mortgage_payments[Month],0),3),0)</f>
        <v>0</v>
      </c>
      <c r="AA220" s="4">
        <f>AA219+monthly_mortgage_schedule[[#This Row],[Extra Payments Towards Equity]]</f>
        <v>31500</v>
      </c>
      <c r="AB220" s="4">
        <f>AB219+monthly_mortgage_schedule[[#This Row],[Principal With Extra Principal Payments]]+monthly_mortgage_schedule[[#This Row],[Extra Payments Towards Equity]]</f>
        <v>246263.56627107438</v>
      </c>
      <c r="AC220" s="4">
        <f>monthly_mortgage_schedule[[#This Row],[Cumulative Principal With Extra Principal Payments]]+down_payment_dollars</f>
        <v>306263.56627107435</v>
      </c>
      <c r="AD220" s="200">
        <f t="shared" si="22"/>
        <v>0</v>
      </c>
      <c r="AE22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293736.43372892536</v>
      </c>
      <c r="AF220" s="187">
        <f t="shared" si="28"/>
        <v>345956.90558383503</v>
      </c>
      <c r="AG220" s="4">
        <f>IF(monthly_mortgage_schedule[[#This Row],[Loan Balance (BOY) Without Extra Principal Payments]]&gt;0,monthly_mortgage_schedule[[#This Row],[Loan Balance (BOY) Without Extra Principal Payments]]*monthly_interest_rate,0)</f>
        <v>1614.4655593912303</v>
      </c>
      <c r="AH220" s="4">
        <f>IF(monthly_mortgage_schedule[[#This Row],[Loan Balance (BOY) Without Extra Principal Payments]]&gt;1,monthly_principal_and_interest-monthly_mortgage_schedule[[#This Row],[Interest Without Extra Principal Payments]],0)</f>
        <v>1485.5609360721778</v>
      </c>
      <c r="AI220" s="4">
        <f>AI219+monthly_mortgage_schedule[[#This Row],[Principal Without Extra Principal Payments]]</f>
        <v>195528.65535223726</v>
      </c>
      <c r="AJ220" s="4">
        <f>monthly_mortgage_schedule[[#This Row],[Cumulative Principal Without Extra Principal Payments]]+down_payment_dollars</f>
        <v>255528.65535223726</v>
      </c>
      <c r="AK220" s="200">
        <f t="shared" si="23"/>
        <v>0</v>
      </c>
      <c r="AL22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344471.34464776283</v>
      </c>
      <c r="AN220" s="196">
        <f>monthly_mortgage_schedule[[#This Row],[Extra Payments Towards Equity]]+AN219+IF(monthly_mortgage_schedule[[#This Row],[Interest With Extra Principal Payments]]&gt;0,monthly_mortgage_schedule[[#This Row],[Interest Without Extra Principal Payments]]-monthly_mortgage_schedule[[#This Row],[Interest With Extra Principal Payments]],0)</f>
        <v>50734.910918837355</v>
      </c>
      <c r="AO220" s="4">
        <f>AO219+IF(monthly_mortgage_schedule[[#This Row],[Interest With Extra Principal Payments]]&gt;0,monthly_mortgage_schedule[[#This Row],[Interest Without Extra Principal Payments]]-monthly_mortgage_schedule[[#This Row],[Interest With Extra Principal Payments]],0)</f>
        <v>19234.910918837333</v>
      </c>
      <c r="AP220" s="4">
        <f>AP219+monthly_mortgage_schedule[[#This Row],[PMI Without Extra Principal Payments]]-monthly_mortgage_schedule[[#This Row],[PMI with Additional Payments]]</f>
        <v>990</v>
      </c>
      <c r="AQ220" s="4">
        <f t="shared" si="26"/>
        <v>63322.283161491374</v>
      </c>
      <c r="AR220" s="4">
        <f>Table60[[#This Row],[Cumulative Investments]]-monthly_mortgage_schedule[[#This Row],[Cumulative Extra Payments Towards Equity]]</f>
        <v>31822.283161491374</v>
      </c>
    </row>
    <row r="221" spans="9:44" x14ac:dyDescent="0.25">
      <c r="I221">
        <v>204</v>
      </c>
      <c r="J221">
        <f>IF(MOD(ROWS($J$18:J220),12)=0,J220+1,J220)</f>
        <v>2038</v>
      </c>
      <c r="K221" s="198">
        <f>IF(M221="#N/A",NA(),monthly_mortgage_schedule[[#This Row],[Month]])</f>
        <v>204</v>
      </c>
      <c r="L221" s="198">
        <f>IF(monthly_mortgage_schedule[[#This Row],[Calendar Year]]&gt;=$C$7,monthly_mortgage_schedule[[#This Row],[Calendar Year]],NA())</f>
        <v>2038</v>
      </c>
      <c r="M221" s="199">
        <f>IF((monthly_mortgage_schedule[[#This Row],[Calendar Year]]&gt;=$C$7)*(monthly_mortgage_schedule[[#This Row],[Calendar Year]]&lt;=$C$9),monthly_mortgage_schedule[[#This Row],[Begin Year (Range)]],NA())</f>
        <v>2038</v>
      </c>
      <c r="N221" s="214">
        <f>IF((monthly_mortgage_schedule[[#This Row],[Year (Range)]]&gt;=$C$7)*(monthly_mortgage_schedule[[#This Row],[Year (Range)]]&lt;=$C$9),X221,NA())</f>
        <v>1370.7700240683184</v>
      </c>
      <c r="O221" s="214">
        <f>IF((monthly_mortgage_schedule[[#This Row],[Year (Range)]]&gt;=$C$7)*(monthly_mortgage_schedule[[#This Row],[Year (Range)]]&lt;=$C$9),Y221,NA())</f>
        <v>1729.2564713950896</v>
      </c>
      <c r="P221" s="214">
        <f>IF((monthly_mortgage_schedule[[#This Row],[Year (Range)]]&gt;=$C$7)*(monthly_mortgage_schedule[[#This Row],[Year (Range)]]&lt;=$C$9),AG221,NA())</f>
        <v>1607.5329416895599</v>
      </c>
      <c r="Q221" s="214">
        <f>IF((monthly_mortgage_schedule[[#This Row],[Year (Range)]]&gt;=$C$7)*(monthly_mortgage_schedule[[#This Row],[Year (Range)]]&lt;=$C$9),AH221,NA())</f>
        <v>1492.4935537738481</v>
      </c>
      <c r="R221" s="214">
        <f>IF((monthly_mortgage_schedule[[#This Row],[Year (Range)]]&gt;=$C$7)*(monthly_mortgage_schedule[[#This Row],[Year (Range)]]&lt;=$C$9),AO221,NA())</f>
        <v>19471.673836458576</v>
      </c>
      <c r="S221" s="214">
        <f>IF((monthly_mortgage_schedule[[#This Row],[Year (Range)]]&gt;=$C$7)*(monthly_mortgage_schedule[[#This Row],[Year (Range)]]&lt;=$C$9),AP221,NA())</f>
        <v>990</v>
      </c>
      <c r="T221" s="214">
        <f>IF((monthly_mortgage_schedule[[#This Row],[Year (Range)]]&gt;=$C$7)*(monthly_mortgage_schedule[[#This Row],[Year (Range)]]&lt;=$C$9),AR221,NA())</f>
        <v>32244.431715901315</v>
      </c>
      <c r="U221" s="214">
        <f>IF((monthly_mortgage_schedule[[#This Row],[Year (Range)]]&gt;=$C$7)*(monthly_mortgage_schedule[[#This Row],[Year (Range)]]&lt;=$C$9),AB221,NA())</f>
        <v>247992.82274246946</v>
      </c>
      <c r="V221" s="214">
        <f>IF((monthly_mortgage_schedule[[#This Row],[Year (Range)]]&gt;=$C$7)*(monthly_mortgage_schedule[[#This Row],[Year (Range)]]&lt;=$C$9),AI221,NA())</f>
        <v>197021.14890601111</v>
      </c>
      <c r="W221" s="187">
        <f t="shared" si="24"/>
        <v>293736.43372892536</v>
      </c>
      <c r="X221" s="4">
        <f t="shared" si="27"/>
        <v>1370.7700240683184</v>
      </c>
      <c r="Y221" s="4">
        <f t="shared" si="25"/>
        <v>1729.2564713950896</v>
      </c>
      <c r="Z221" s="4">
        <f>_xlfn.IFNA(INDEX(additional_mortgage_payments[],MATCH(monthly_mortgage_schedule[[#This Row],[Month]],additional_mortgage_payments[Month],0),3),0)</f>
        <v>0</v>
      </c>
      <c r="AA221" s="4">
        <f>AA220+monthly_mortgage_schedule[[#This Row],[Extra Payments Towards Equity]]</f>
        <v>31500</v>
      </c>
      <c r="AB221" s="4">
        <f>AB220+monthly_mortgage_schedule[[#This Row],[Principal With Extra Principal Payments]]+monthly_mortgage_schedule[[#This Row],[Extra Payments Towards Equity]]</f>
        <v>247992.82274246946</v>
      </c>
      <c r="AC221" s="4">
        <f>monthly_mortgage_schedule[[#This Row],[Cumulative Principal With Extra Principal Payments]]+down_payment_dollars</f>
        <v>307992.82274246949</v>
      </c>
      <c r="AD221" s="200">
        <f t="shared" si="22"/>
        <v>0</v>
      </c>
      <c r="AE22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292007.17725753027</v>
      </c>
      <c r="AF221" s="187">
        <f t="shared" si="28"/>
        <v>344471.34464776283</v>
      </c>
      <c r="AG221" s="4">
        <f>IF(monthly_mortgage_schedule[[#This Row],[Loan Balance (BOY) Without Extra Principal Payments]]&gt;0,monthly_mortgage_schedule[[#This Row],[Loan Balance (BOY) Without Extra Principal Payments]]*monthly_interest_rate,0)</f>
        <v>1607.5329416895599</v>
      </c>
      <c r="AH221" s="4">
        <f>IF(monthly_mortgage_schedule[[#This Row],[Loan Balance (BOY) Without Extra Principal Payments]]&gt;1,monthly_principal_and_interest-monthly_mortgage_schedule[[#This Row],[Interest Without Extra Principal Payments]],0)</f>
        <v>1492.4935537738481</v>
      </c>
      <c r="AI221" s="4">
        <f>AI220+monthly_mortgage_schedule[[#This Row],[Principal Without Extra Principal Payments]]</f>
        <v>197021.14890601111</v>
      </c>
      <c r="AJ221" s="4">
        <f>monthly_mortgage_schedule[[#This Row],[Cumulative Principal Without Extra Principal Payments]]+down_payment_dollars</f>
        <v>257021.14890601111</v>
      </c>
      <c r="AK221" s="200">
        <f t="shared" si="23"/>
        <v>0</v>
      </c>
      <c r="AL22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342978.85109398898</v>
      </c>
      <c r="AN221" s="196">
        <f>monthly_mortgage_schedule[[#This Row],[Extra Payments Towards Equity]]+AN220+IF(monthly_mortgage_schedule[[#This Row],[Interest With Extra Principal Payments]]&gt;0,monthly_mortgage_schedule[[#This Row],[Interest Without Extra Principal Payments]]-monthly_mortgage_schedule[[#This Row],[Interest With Extra Principal Payments]],0)</f>
        <v>50971.673836458598</v>
      </c>
      <c r="AO221" s="4">
        <f>AO220+IF(monthly_mortgage_schedule[[#This Row],[Interest With Extra Principal Payments]]&gt;0,monthly_mortgage_schedule[[#This Row],[Interest Without Extra Principal Payments]]-monthly_mortgage_schedule[[#This Row],[Interest With Extra Principal Payments]],0)</f>
        <v>19471.673836458576</v>
      </c>
      <c r="AP221" s="4">
        <f>AP220+monthly_mortgage_schedule[[#This Row],[PMI Without Extra Principal Payments]]-monthly_mortgage_schedule[[#This Row],[PMI with Additional Payments]]</f>
        <v>990</v>
      </c>
      <c r="AQ221" s="4">
        <f t="shared" si="26"/>
        <v>63744.431715901315</v>
      </c>
      <c r="AR221" s="4">
        <f>Table60[[#This Row],[Cumulative Investments]]-monthly_mortgage_schedule[[#This Row],[Cumulative Extra Payments Towards Equity]]</f>
        <v>32244.431715901315</v>
      </c>
    </row>
    <row r="222" spans="9:44" x14ac:dyDescent="0.25">
      <c r="I222">
        <v>205</v>
      </c>
      <c r="J222">
        <f>IF(MOD(ROWS($J$18:J221),12)=0,J221+1,J221)</f>
        <v>2039</v>
      </c>
      <c r="K222" s="198">
        <f>IF(M222="#N/A",NA(),monthly_mortgage_schedule[[#This Row],[Month]])</f>
        <v>205</v>
      </c>
      <c r="L222" s="198">
        <f>IF(monthly_mortgage_schedule[[#This Row],[Calendar Year]]&gt;=$C$7,monthly_mortgage_schedule[[#This Row],[Calendar Year]],NA())</f>
        <v>2039</v>
      </c>
      <c r="M222" s="199">
        <f>IF((monthly_mortgage_schedule[[#This Row],[Calendar Year]]&gt;=$C$7)*(monthly_mortgage_schedule[[#This Row],[Calendar Year]]&lt;=$C$9),monthly_mortgage_schedule[[#This Row],[Begin Year (Range)]],NA())</f>
        <v>2039</v>
      </c>
      <c r="N222" s="214">
        <f>IF((monthly_mortgage_schedule[[#This Row],[Year (Range)]]&gt;=$C$7)*(monthly_mortgage_schedule[[#This Row],[Year (Range)]]&lt;=$C$9),X222,NA())</f>
        <v>1362.7001605351413</v>
      </c>
      <c r="O222" s="214">
        <f>IF((monthly_mortgage_schedule[[#This Row],[Year (Range)]]&gt;=$C$7)*(monthly_mortgage_schedule[[#This Row],[Year (Range)]]&lt;=$C$9),Y222,NA())</f>
        <v>1737.3263349282668</v>
      </c>
      <c r="P222" s="214">
        <f>IF((monthly_mortgage_schedule[[#This Row],[Year (Range)]]&gt;=$C$7)*(monthly_mortgage_schedule[[#This Row],[Year (Range)]]&lt;=$C$9),AG222,NA())</f>
        <v>1600.5679717719488</v>
      </c>
      <c r="Q222" s="214">
        <f>IF((monthly_mortgage_schedule[[#This Row],[Year (Range)]]&gt;=$C$7)*(monthly_mortgage_schedule[[#This Row],[Year (Range)]]&lt;=$C$9),AH222,NA())</f>
        <v>1499.4585236914593</v>
      </c>
      <c r="R222" s="214">
        <f>IF((monthly_mortgage_schedule[[#This Row],[Year (Range)]]&gt;=$C$7)*(monthly_mortgage_schedule[[#This Row],[Year (Range)]]&lt;=$C$9),AO222,NA())</f>
        <v>19709.541647695383</v>
      </c>
      <c r="S222" s="214">
        <f>IF((monthly_mortgage_schedule[[#This Row],[Year (Range)]]&gt;=$C$7)*(monthly_mortgage_schedule[[#This Row],[Year (Range)]]&lt;=$C$9),AP222,NA())</f>
        <v>990</v>
      </c>
      <c r="T222" s="214">
        <f>IF((monthly_mortgage_schedule[[#This Row],[Year (Range)]]&gt;=$C$7)*(monthly_mortgage_schedule[[#This Row],[Year (Range)]]&lt;=$C$9),AR222,NA())</f>
        <v>32669.394594007317</v>
      </c>
      <c r="U222" s="214">
        <f>IF((monthly_mortgage_schedule[[#This Row],[Year (Range)]]&gt;=$C$7)*(monthly_mortgage_schedule[[#This Row],[Year (Range)]]&lt;=$C$9),AB222,NA())</f>
        <v>249730.14907739774</v>
      </c>
      <c r="V222" s="214">
        <f>IF((monthly_mortgage_schedule[[#This Row],[Year (Range)]]&gt;=$C$7)*(monthly_mortgage_schedule[[#This Row],[Year (Range)]]&lt;=$C$9),AI222,NA())</f>
        <v>198520.60742970256</v>
      </c>
      <c r="W222" s="187">
        <f t="shared" si="24"/>
        <v>292007.17725753027</v>
      </c>
      <c r="X222" s="4">
        <f t="shared" si="27"/>
        <v>1362.7001605351413</v>
      </c>
      <c r="Y222" s="4">
        <f t="shared" si="25"/>
        <v>1737.3263349282668</v>
      </c>
      <c r="Z222" s="4">
        <f>_xlfn.IFNA(INDEX(additional_mortgage_payments[],MATCH(monthly_mortgage_schedule[[#This Row],[Month]],additional_mortgage_payments[Month],0),3),0)</f>
        <v>0</v>
      </c>
      <c r="AA222" s="4">
        <f>AA221+monthly_mortgage_schedule[[#This Row],[Extra Payments Towards Equity]]</f>
        <v>31500</v>
      </c>
      <c r="AB222" s="4">
        <f>AB221+monthly_mortgage_schedule[[#This Row],[Principal With Extra Principal Payments]]+monthly_mortgage_schedule[[#This Row],[Extra Payments Towards Equity]]</f>
        <v>249730.14907739774</v>
      </c>
      <c r="AC222" s="4">
        <f>monthly_mortgage_schedule[[#This Row],[Cumulative Principal With Extra Principal Payments]]+down_payment_dollars</f>
        <v>309730.14907739777</v>
      </c>
      <c r="AD222" s="200">
        <f t="shared" si="22"/>
        <v>0</v>
      </c>
      <c r="AE22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290269.850922602</v>
      </c>
      <c r="AF222" s="187">
        <f t="shared" si="28"/>
        <v>342978.85109398898</v>
      </c>
      <c r="AG222" s="4">
        <f>IF(monthly_mortgage_schedule[[#This Row],[Loan Balance (BOY) Without Extra Principal Payments]]&gt;0,monthly_mortgage_schedule[[#This Row],[Loan Balance (BOY) Without Extra Principal Payments]]*monthly_interest_rate,0)</f>
        <v>1600.5679717719488</v>
      </c>
      <c r="AH222" s="4">
        <f>IF(monthly_mortgage_schedule[[#This Row],[Loan Balance (BOY) Without Extra Principal Payments]]&gt;1,monthly_principal_and_interest-monthly_mortgage_schedule[[#This Row],[Interest Without Extra Principal Payments]],0)</f>
        <v>1499.4585236914593</v>
      </c>
      <c r="AI222" s="4">
        <f>AI221+monthly_mortgage_schedule[[#This Row],[Principal Without Extra Principal Payments]]</f>
        <v>198520.60742970256</v>
      </c>
      <c r="AJ222" s="4">
        <f>monthly_mortgage_schedule[[#This Row],[Cumulative Principal Without Extra Principal Payments]]+down_payment_dollars</f>
        <v>258520.60742970256</v>
      </c>
      <c r="AK222" s="200">
        <f t="shared" si="23"/>
        <v>0</v>
      </c>
      <c r="AL22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341479.39257029752</v>
      </c>
      <c r="AN222" s="196">
        <f>monthly_mortgage_schedule[[#This Row],[Extra Payments Towards Equity]]+AN221+IF(monthly_mortgage_schedule[[#This Row],[Interest With Extra Principal Payments]]&gt;0,monthly_mortgage_schedule[[#This Row],[Interest Without Extra Principal Payments]]-monthly_mortgage_schedule[[#This Row],[Interest With Extra Principal Payments]],0)</f>
        <v>51209.541647695405</v>
      </c>
      <c r="AO222" s="4">
        <f>AO221+IF(monthly_mortgage_schedule[[#This Row],[Interest With Extra Principal Payments]]&gt;0,monthly_mortgage_schedule[[#This Row],[Interest Without Extra Principal Payments]]-monthly_mortgage_schedule[[#This Row],[Interest With Extra Principal Payments]],0)</f>
        <v>19709.541647695383</v>
      </c>
      <c r="AP222" s="4">
        <f>AP221+monthly_mortgage_schedule[[#This Row],[PMI Without Extra Principal Payments]]-monthly_mortgage_schedule[[#This Row],[PMI with Additional Payments]]</f>
        <v>990</v>
      </c>
      <c r="AQ222" s="4">
        <f t="shared" si="26"/>
        <v>64169.394594007317</v>
      </c>
      <c r="AR222" s="4">
        <f>Table60[[#This Row],[Cumulative Investments]]-monthly_mortgage_schedule[[#This Row],[Cumulative Extra Payments Towards Equity]]</f>
        <v>32669.394594007317</v>
      </c>
    </row>
    <row r="223" spans="9:44" x14ac:dyDescent="0.25">
      <c r="I223">
        <v>206</v>
      </c>
      <c r="J223">
        <f>IF(MOD(ROWS($J$18:J222),12)=0,J222+1,J222)</f>
        <v>2039</v>
      </c>
      <c r="K223" s="198">
        <f>IF(M223="#N/A",NA(),monthly_mortgage_schedule[[#This Row],[Month]])</f>
        <v>206</v>
      </c>
      <c r="L223" s="198">
        <f>IF(monthly_mortgage_schedule[[#This Row],[Calendar Year]]&gt;=$C$7,monthly_mortgage_schedule[[#This Row],[Calendar Year]],NA())</f>
        <v>2039</v>
      </c>
      <c r="M223" s="199">
        <f>IF((monthly_mortgage_schedule[[#This Row],[Calendar Year]]&gt;=$C$7)*(monthly_mortgage_schedule[[#This Row],[Calendar Year]]&lt;=$C$9),monthly_mortgage_schedule[[#This Row],[Begin Year (Range)]],NA())</f>
        <v>2039</v>
      </c>
      <c r="N223" s="214">
        <f>IF((monthly_mortgage_schedule[[#This Row],[Year (Range)]]&gt;=$C$7)*(monthly_mortgage_schedule[[#This Row],[Year (Range)]]&lt;=$C$9),X223,NA())</f>
        <v>1354.5926376388095</v>
      </c>
      <c r="O223" s="214">
        <f>IF((monthly_mortgage_schedule[[#This Row],[Year (Range)]]&gt;=$C$7)*(monthly_mortgage_schedule[[#This Row],[Year (Range)]]&lt;=$C$9),Y223,NA())</f>
        <v>1745.4338578245986</v>
      </c>
      <c r="P223" s="214">
        <f>IF((monthly_mortgage_schedule[[#This Row],[Year (Range)]]&gt;=$C$7)*(monthly_mortgage_schedule[[#This Row],[Year (Range)]]&lt;=$C$9),AG223,NA())</f>
        <v>1593.5704986613887</v>
      </c>
      <c r="Q223" s="214">
        <f>IF((monthly_mortgage_schedule[[#This Row],[Year (Range)]]&gt;=$C$7)*(monthly_mortgage_schedule[[#This Row],[Year (Range)]]&lt;=$C$9),AH223,NA())</f>
        <v>1506.4559968020194</v>
      </c>
      <c r="R223" s="214">
        <f>IF((monthly_mortgage_schedule[[#This Row],[Year (Range)]]&gt;=$C$7)*(monthly_mortgage_schedule[[#This Row],[Year (Range)]]&lt;=$C$9),AO223,NA())</f>
        <v>19948.519508717964</v>
      </c>
      <c r="S223" s="214">
        <f>IF((monthly_mortgage_schedule[[#This Row],[Year (Range)]]&gt;=$C$7)*(monthly_mortgage_schedule[[#This Row],[Year (Range)]]&lt;=$C$9),AP223,NA())</f>
        <v>990</v>
      </c>
      <c r="T223" s="214">
        <f>IF((monthly_mortgage_schedule[[#This Row],[Year (Range)]]&gt;=$C$7)*(monthly_mortgage_schedule[[#This Row],[Year (Range)]]&lt;=$C$9),AR223,NA())</f>
        <v>33097.190557967362</v>
      </c>
      <c r="U223" s="214">
        <f>IF((monthly_mortgage_schedule[[#This Row],[Year (Range)]]&gt;=$C$7)*(monthly_mortgage_schedule[[#This Row],[Year (Range)]]&lt;=$C$9),AB223,NA())</f>
        <v>251475.58293522234</v>
      </c>
      <c r="V223" s="214">
        <f>IF((monthly_mortgage_schedule[[#This Row],[Year (Range)]]&gt;=$C$7)*(monthly_mortgage_schedule[[#This Row],[Year (Range)]]&lt;=$C$9),AI223,NA())</f>
        <v>200027.06342650458</v>
      </c>
      <c r="W223" s="187">
        <f t="shared" si="24"/>
        <v>290269.850922602</v>
      </c>
      <c r="X223" s="4">
        <f t="shared" si="27"/>
        <v>1354.5926376388095</v>
      </c>
      <c r="Y223" s="4">
        <f t="shared" si="25"/>
        <v>1745.4338578245986</v>
      </c>
      <c r="Z223" s="4">
        <f>_xlfn.IFNA(INDEX(additional_mortgage_payments[],MATCH(monthly_mortgage_schedule[[#This Row],[Month]],additional_mortgage_payments[Month],0),3),0)</f>
        <v>0</v>
      </c>
      <c r="AA223" s="4">
        <f>AA222+monthly_mortgage_schedule[[#This Row],[Extra Payments Towards Equity]]</f>
        <v>31500</v>
      </c>
      <c r="AB223" s="4">
        <f>AB222+monthly_mortgage_schedule[[#This Row],[Principal With Extra Principal Payments]]+monthly_mortgage_schedule[[#This Row],[Extra Payments Towards Equity]]</f>
        <v>251475.58293522234</v>
      </c>
      <c r="AC223" s="4">
        <f>monthly_mortgage_schedule[[#This Row],[Cumulative Principal With Extra Principal Payments]]+down_payment_dollars</f>
        <v>311475.58293522231</v>
      </c>
      <c r="AD223" s="200">
        <f t="shared" si="22"/>
        <v>0</v>
      </c>
      <c r="AE22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288524.4170647774</v>
      </c>
      <c r="AF223" s="187">
        <f t="shared" si="28"/>
        <v>341479.39257029752</v>
      </c>
      <c r="AG223" s="4">
        <f>IF(monthly_mortgage_schedule[[#This Row],[Loan Balance (BOY) Without Extra Principal Payments]]&gt;0,monthly_mortgage_schedule[[#This Row],[Loan Balance (BOY) Without Extra Principal Payments]]*monthly_interest_rate,0)</f>
        <v>1593.5704986613887</v>
      </c>
      <c r="AH223" s="4">
        <f>IF(monthly_mortgage_schedule[[#This Row],[Loan Balance (BOY) Without Extra Principal Payments]]&gt;1,monthly_principal_and_interest-monthly_mortgage_schedule[[#This Row],[Interest Without Extra Principal Payments]],0)</f>
        <v>1506.4559968020194</v>
      </c>
      <c r="AI223" s="4">
        <f>AI222+monthly_mortgage_schedule[[#This Row],[Principal Without Extra Principal Payments]]</f>
        <v>200027.06342650458</v>
      </c>
      <c r="AJ223" s="4">
        <f>monthly_mortgage_schedule[[#This Row],[Cumulative Principal Without Extra Principal Payments]]+down_payment_dollars</f>
        <v>260027.06342650458</v>
      </c>
      <c r="AK223" s="200">
        <f t="shared" si="23"/>
        <v>0</v>
      </c>
      <c r="AL22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339972.93657349551</v>
      </c>
      <c r="AN223" s="196">
        <f>monthly_mortgage_schedule[[#This Row],[Extra Payments Towards Equity]]+AN222+IF(monthly_mortgage_schedule[[#This Row],[Interest With Extra Principal Payments]]&gt;0,monthly_mortgage_schedule[[#This Row],[Interest Without Extra Principal Payments]]-monthly_mortgage_schedule[[#This Row],[Interest With Extra Principal Payments]],0)</f>
        <v>51448.519508717982</v>
      </c>
      <c r="AO223" s="4">
        <f>AO222+IF(monthly_mortgage_schedule[[#This Row],[Interest With Extra Principal Payments]]&gt;0,monthly_mortgage_schedule[[#This Row],[Interest Without Extra Principal Payments]]-monthly_mortgage_schedule[[#This Row],[Interest With Extra Principal Payments]],0)</f>
        <v>19948.519508717964</v>
      </c>
      <c r="AP223" s="4">
        <f>AP222+monthly_mortgage_schedule[[#This Row],[PMI Without Extra Principal Payments]]-monthly_mortgage_schedule[[#This Row],[PMI with Additional Payments]]</f>
        <v>990</v>
      </c>
      <c r="AQ223" s="4">
        <f t="shared" si="26"/>
        <v>64597.190557967362</v>
      </c>
      <c r="AR223" s="4">
        <f>Table60[[#This Row],[Cumulative Investments]]-monthly_mortgage_schedule[[#This Row],[Cumulative Extra Payments Towards Equity]]</f>
        <v>33097.190557967362</v>
      </c>
    </row>
    <row r="224" spans="9:44" x14ac:dyDescent="0.25">
      <c r="I224">
        <v>207</v>
      </c>
      <c r="J224">
        <f>IF(MOD(ROWS($J$18:J223),12)=0,J223+1,J223)</f>
        <v>2039</v>
      </c>
      <c r="K224" s="198">
        <f>IF(M224="#N/A",NA(),monthly_mortgage_schedule[[#This Row],[Month]])</f>
        <v>207</v>
      </c>
      <c r="L224" s="198">
        <f>IF(monthly_mortgage_schedule[[#This Row],[Calendar Year]]&gt;=$C$7,monthly_mortgage_schedule[[#This Row],[Calendar Year]],NA())</f>
        <v>2039</v>
      </c>
      <c r="M224" s="199">
        <f>IF((monthly_mortgage_schedule[[#This Row],[Calendar Year]]&gt;=$C$7)*(monthly_mortgage_schedule[[#This Row],[Calendar Year]]&lt;=$C$9),monthly_mortgage_schedule[[#This Row],[Begin Year (Range)]],NA())</f>
        <v>2039</v>
      </c>
      <c r="N224" s="214">
        <f>IF((monthly_mortgage_schedule[[#This Row],[Year (Range)]]&gt;=$C$7)*(monthly_mortgage_schedule[[#This Row],[Year (Range)]]&lt;=$C$9),X224,NA())</f>
        <v>1346.4472796356281</v>
      </c>
      <c r="O224" s="214">
        <f>IF((monthly_mortgage_schedule[[#This Row],[Year (Range)]]&gt;=$C$7)*(monthly_mortgage_schedule[[#This Row],[Year (Range)]]&lt;=$C$9),Y224,NA())</f>
        <v>1753.57921582778</v>
      </c>
      <c r="P224" s="214">
        <f>IF((monthly_mortgage_schedule[[#This Row],[Year (Range)]]&gt;=$C$7)*(monthly_mortgage_schedule[[#This Row],[Year (Range)]]&lt;=$C$9),AG224,NA())</f>
        <v>1586.5403706763125</v>
      </c>
      <c r="Q224" s="214">
        <f>IF((monthly_mortgage_schedule[[#This Row],[Year (Range)]]&gt;=$C$7)*(monthly_mortgage_schedule[[#This Row],[Year (Range)]]&lt;=$C$9),AH224,NA())</f>
        <v>1513.4861247870956</v>
      </c>
      <c r="R224" s="214">
        <f>IF((monthly_mortgage_schedule[[#This Row],[Year (Range)]]&gt;=$C$7)*(monthly_mortgage_schedule[[#This Row],[Year (Range)]]&lt;=$C$9),AO224,NA())</f>
        <v>20188.61259975865</v>
      </c>
      <c r="S224" s="214">
        <f>IF((monthly_mortgage_schedule[[#This Row],[Year (Range)]]&gt;=$C$7)*(monthly_mortgage_schedule[[#This Row],[Year (Range)]]&lt;=$C$9),AP224,NA())</f>
        <v>990</v>
      </c>
      <c r="T224" s="214">
        <f>IF((monthly_mortgage_schedule[[#This Row],[Year (Range)]]&gt;=$C$7)*(monthly_mortgage_schedule[[#This Row],[Year (Range)]]&lt;=$C$9),AR224,NA())</f>
        <v>33527.838495020471</v>
      </c>
      <c r="U224" s="214">
        <f>IF((monthly_mortgage_schedule[[#This Row],[Year (Range)]]&gt;=$C$7)*(monthly_mortgage_schedule[[#This Row],[Year (Range)]]&lt;=$C$9),AB224,NA())</f>
        <v>253229.16215105011</v>
      </c>
      <c r="V224" s="214">
        <f>IF((monthly_mortgage_schedule[[#This Row],[Year (Range)]]&gt;=$C$7)*(monthly_mortgage_schedule[[#This Row],[Year (Range)]]&lt;=$C$9),AI224,NA())</f>
        <v>201540.54955129168</v>
      </c>
      <c r="W224" s="187">
        <f t="shared" si="24"/>
        <v>288524.4170647774</v>
      </c>
      <c r="X224" s="4">
        <f t="shared" si="27"/>
        <v>1346.4472796356281</v>
      </c>
      <c r="Y224" s="4">
        <f t="shared" si="25"/>
        <v>1753.57921582778</v>
      </c>
      <c r="Z224" s="4">
        <f>_xlfn.IFNA(INDEX(additional_mortgage_payments[],MATCH(monthly_mortgage_schedule[[#This Row],[Month]],additional_mortgage_payments[Month],0),3),0)</f>
        <v>0</v>
      </c>
      <c r="AA224" s="4">
        <f>AA223+monthly_mortgage_schedule[[#This Row],[Extra Payments Towards Equity]]</f>
        <v>31500</v>
      </c>
      <c r="AB224" s="4">
        <f>AB223+monthly_mortgage_schedule[[#This Row],[Principal With Extra Principal Payments]]+monthly_mortgage_schedule[[#This Row],[Extra Payments Towards Equity]]</f>
        <v>253229.16215105011</v>
      </c>
      <c r="AC224" s="4">
        <f>monthly_mortgage_schedule[[#This Row],[Cumulative Principal With Extra Principal Payments]]+down_payment_dollars</f>
        <v>313229.16215105011</v>
      </c>
      <c r="AD224" s="200">
        <f t="shared" si="22"/>
        <v>0</v>
      </c>
      <c r="AE22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286770.8378489496</v>
      </c>
      <c r="AF224" s="187">
        <f t="shared" si="28"/>
        <v>339972.93657349551</v>
      </c>
      <c r="AG224" s="4">
        <f>IF(monthly_mortgage_schedule[[#This Row],[Loan Balance (BOY) Without Extra Principal Payments]]&gt;0,monthly_mortgage_schedule[[#This Row],[Loan Balance (BOY) Without Extra Principal Payments]]*monthly_interest_rate,0)</f>
        <v>1586.5403706763125</v>
      </c>
      <c r="AH224" s="4">
        <f>IF(monthly_mortgage_schedule[[#This Row],[Loan Balance (BOY) Without Extra Principal Payments]]&gt;1,monthly_principal_and_interest-monthly_mortgage_schedule[[#This Row],[Interest Without Extra Principal Payments]],0)</f>
        <v>1513.4861247870956</v>
      </c>
      <c r="AI224" s="4">
        <f>AI223+monthly_mortgage_schedule[[#This Row],[Principal Without Extra Principal Payments]]</f>
        <v>201540.54955129168</v>
      </c>
      <c r="AJ224" s="4">
        <f>monthly_mortgage_schedule[[#This Row],[Cumulative Principal Without Extra Principal Payments]]+down_payment_dollars</f>
        <v>261540.54955129168</v>
      </c>
      <c r="AK224" s="200">
        <f t="shared" si="23"/>
        <v>0</v>
      </c>
      <c r="AL22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338459.45044870843</v>
      </c>
      <c r="AN224" s="196">
        <f>monthly_mortgage_schedule[[#This Row],[Extra Payments Towards Equity]]+AN223+IF(monthly_mortgage_schedule[[#This Row],[Interest With Extra Principal Payments]]&gt;0,monthly_mortgage_schedule[[#This Row],[Interest Without Extra Principal Payments]]-monthly_mortgage_schedule[[#This Row],[Interest With Extra Principal Payments]],0)</f>
        <v>51688.612599758664</v>
      </c>
      <c r="AO224" s="4">
        <f>AO223+IF(monthly_mortgage_schedule[[#This Row],[Interest With Extra Principal Payments]]&gt;0,monthly_mortgage_schedule[[#This Row],[Interest Without Extra Principal Payments]]-monthly_mortgage_schedule[[#This Row],[Interest With Extra Principal Payments]],0)</f>
        <v>20188.61259975865</v>
      </c>
      <c r="AP224" s="4">
        <f>AP223+monthly_mortgage_schedule[[#This Row],[PMI Without Extra Principal Payments]]-monthly_mortgage_schedule[[#This Row],[PMI with Additional Payments]]</f>
        <v>990</v>
      </c>
      <c r="AQ224" s="4">
        <f t="shared" si="26"/>
        <v>65027.838495020471</v>
      </c>
      <c r="AR224" s="4">
        <f>Table60[[#This Row],[Cumulative Investments]]-monthly_mortgage_schedule[[#This Row],[Cumulative Extra Payments Towards Equity]]</f>
        <v>33527.838495020471</v>
      </c>
    </row>
    <row r="225" spans="9:44" x14ac:dyDescent="0.25">
      <c r="I225">
        <v>208</v>
      </c>
      <c r="J225">
        <f>IF(MOD(ROWS($J$18:J224),12)=0,J224+1,J224)</f>
        <v>2039</v>
      </c>
      <c r="K225" s="198">
        <f>IF(M225="#N/A",NA(),monthly_mortgage_schedule[[#This Row],[Month]])</f>
        <v>208</v>
      </c>
      <c r="L225" s="198">
        <f>IF(monthly_mortgage_schedule[[#This Row],[Calendar Year]]&gt;=$C$7,monthly_mortgage_schedule[[#This Row],[Calendar Year]],NA())</f>
        <v>2039</v>
      </c>
      <c r="M225" s="199">
        <f>IF((monthly_mortgage_schedule[[#This Row],[Calendar Year]]&gt;=$C$7)*(monthly_mortgage_schedule[[#This Row],[Calendar Year]]&lt;=$C$9),monthly_mortgage_schedule[[#This Row],[Begin Year (Range)]],NA())</f>
        <v>2039</v>
      </c>
      <c r="N225" s="214">
        <f>IF((monthly_mortgage_schedule[[#This Row],[Year (Range)]]&gt;=$C$7)*(monthly_mortgage_schedule[[#This Row],[Year (Range)]]&lt;=$C$9),X225,NA())</f>
        <v>1338.263909961765</v>
      </c>
      <c r="O225" s="214">
        <f>IF((monthly_mortgage_schedule[[#This Row],[Year (Range)]]&gt;=$C$7)*(monthly_mortgage_schedule[[#This Row],[Year (Range)]]&lt;=$C$9),Y225,NA())</f>
        <v>1761.7625855016431</v>
      </c>
      <c r="P225" s="214">
        <f>IF((monthly_mortgage_schedule[[#This Row],[Year (Range)]]&gt;=$C$7)*(monthly_mortgage_schedule[[#This Row],[Year (Range)]]&lt;=$C$9),AG225,NA())</f>
        <v>1579.4774354273061</v>
      </c>
      <c r="Q225" s="214">
        <f>IF((monthly_mortgage_schedule[[#This Row],[Year (Range)]]&gt;=$C$7)*(monthly_mortgage_schedule[[#This Row],[Year (Range)]]&lt;=$C$9),AH225,NA())</f>
        <v>1520.549060036102</v>
      </c>
      <c r="R225" s="214">
        <f>IF((monthly_mortgage_schedule[[#This Row],[Year (Range)]]&gt;=$C$7)*(monthly_mortgage_schedule[[#This Row],[Year (Range)]]&lt;=$C$9),AO225,NA())</f>
        <v>20429.82612522419</v>
      </c>
      <c r="S225" s="214">
        <f>IF((monthly_mortgage_schedule[[#This Row],[Year (Range)]]&gt;=$C$7)*(monthly_mortgage_schedule[[#This Row],[Year (Range)]]&lt;=$C$9),AP225,NA())</f>
        <v>990</v>
      </c>
      <c r="T225" s="214">
        <f>IF((monthly_mortgage_schedule[[#This Row],[Year (Range)]]&gt;=$C$7)*(monthly_mortgage_schedule[[#This Row],[Year (Range)]]&lt;=$C$9),AR225,NA())</f>
        <v>33961.3574183206</v>
      </c>
      <c r="U225" s="214">
        <f>IF((monthly_mortgage_schedule[[#This Row],[Year (Range)]]&gt;=$C$7)*(monthly_mortgage_schedule[[#This Row],[Year (Range)]]&lt;=$C$9),AB225,NA())</f>
        <v>254990.92473655177</v>
      </c>
      <c r="V225" s="214">
        <f>IF((monthly_mortgage_schedule[[#This Row],[Year (Range)]]&gt;=$C$7)*(monthly_mortgage_schedule[[#This Row],[Year (Range)]]&lt;=$C$9),AI225,NA())</f>
        <v>203061.09861132779</v>
      </c>
      <c r="W225" s="187">
        <f t="shared" si="24"/>
        <v>286770.8378489496</v>
      </c>
      <c r="X225" s="4">
        <f t="shared" si="27"/>
        <v>1338.263909961765</v>
      </c>
      <c r="Y225" s="4">
        <f t="shared" si="25"/>
        <v>1761.7625855016431</v>
      </c>
      <c r="Z225" s="4">
        <f>_xlfn.IFNA(INDEX(additional_mortgage_payments[],MATCH(monthly_mortgage_schedule[[#This Row],[Month]],additional_mortgage_payments[Month],0),3),0)</f>
        <v>0</v>
      </c>
      <c r="AA225" s="4">
        <f>AA224+monthly_mortgage_schedule[[#This Row],[Extra Payments Towards Equity]]</f>
        <v>31500</v>
      </c>
      <c r="AB225" s="4">
        <f>AB224+monthly_mortgage_schedule[[#This Row],[Principal With Extra Principal Payments]]+monthly_mortgage_schedule[[#This Row],[Extra Payments Towards Equity]]</f>
        <v>254990.92473655177</v>
      </c>
      <c r="AC225" s="4">
        <f>monthly_mortgage_schedule[[#This Row],[Cumulative Principal With Extra Principal Payments]]+down_payment_dollars</f>
        <v>314990.92473655177</v>
      </c>
      <c r="AD225" s="200">
        <f t="shared" si="22"/>
        <v>0</v>
      </c>
      <c r="AE22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285009.07526344794</v>
      </c>
      <c r="AF225" s="187">
        <f t="shared" si="28"/>
        <v>338459.45044870843</v>
      </c>
      <c r="AG225" s="4">
        <f>IF(monthly_mortgage_schedule[[#This Row],[Loan Balance (BOY) Without Extra Principal Payments]]&gt;0,monthly_mortgage_schedule[[#This Row],[Loan Balance (BOY) Without Extra Principal Payments]]*monthly_interest_rate,0)</f>
        <v>1579.4774354273061</v>
      </c>
      <c r="AH225" s="4">
        <f>IF(monthly_mortgage_schedule[[#This Row],[Loan Balance (BOY) Without Extra Principal Payments]]&gt;1,monthly_principal_and_interest-monthly_mortgage_schedule[[#This Row],[Interest Without Extra Principal Payments]],0)</f>
        <v>1520.549060036102</v>
      </c>
      <c r="AI225" s="4">
        <f>AI224+monthly_mortgage_schedule[[#This Row],[Principal Without Extra Principal Payments]]</f>
        <v>203061.09861132779</v>
      </c>
      <c r="AJ225" s="4">
        <f>monthly_mortgage_schedule[[#This Row],[Cumulative Principal Without Extra Principal Payments]]+down_payment_dollars</f>
        <v>263061.09861132782</v>
      </c>
      <c r="AK225" s="200">
        <f t="shared" si="23"/>
        <v>0</v>
      </c>
      <c r="AL22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336938.90138867236</v>
      </c>
      <c r="AN225" s="196">
        <f>monthly_mortgage_schedule[[#This Row],[Extra Payments Towards Equity]]+AN224+IF(monthly_mortgage_schedule[[#This Row],[Interest With Extra Principal Payments]]&gt;0,monthly_mortgage_schedule[[#This Row],[Interest Without Extra Principal Payments]]-monthly_mortgage_schedule[[#This Row],[Interest With Extra Principal Payments]],0)</f>
        <v>51929.826125224208</v>
      </c>
      <c r="AO225" s="4">
        <f>AO224+IF(monthly_mortgage_schedule[[#This Row],[Interest With Extra Principal Payments]]&gt;0,monthly_mortgage_schedule[[#This Row],[Interest Without Extra Principal Payments]]-monthly_mortgage_schedule[[#This Row],[Interest With Extra Principal Payments]],0)</f>
        <v>20429.82612522419</v>
      </c>
      <c r="AP225" s="4">
        <f>AP224+monthly_mortgage_schedule[[#This Row],[PMI Without Extra Principal Payments]]-monthly_mortgage_schedule[[#This Row],[PMI with Additional Payments]]</f>
        <v>990</v>
      </c>
      <c r="AQ225" s="4">
        <f t="shared" si="26"/>
        <v>65461.3574183206</v>
      </c>
      <c r="AR225" s="4">
        <f>Table60[[#This Row],[Cumulative Investments]]-monthly_mortgage_schedule[[#This Row],[Cumulative Extra Payments Towards Equity]]</f>
        <v>33961.3574183206</v>
      </c>
    </row>
    <row r="226" spans="9:44" x14ac:dyDescent="0.25">
      <c r="I226">
        <v>209</v>
      </c>
      <c r="J226">
        <f>IF(MOD(ROWS($J$18:J225),12)=0,J225+1,J225)</f>
        <v>2039</v>
      </c>
      <c r="K226" s="198">
        <f>IF(M226="#N/A",NA(),monthly_mortgage_schedule[[#This Row],[Month]])</f>
        <v>209</v>
      </c>
      <c r="L226" s="198">
        <f>IF(monthly_mortgage_schedule[[#This Row],[Calendar Year]]&gt;=$C$7,monthly_mortgage_schedule[[#This Row],[Calendar Year]],NA())</f>
        <v>2039</v>
      </c>
      <c r="M226" s="199">
        <f>IF((monthly_mortgage_schedule[[#This Row],[Calendar Year]]&gt;=$C$7)*(monthly_mortgage_schedule[[#This Row],[Calendar Year]]&lt;=$C$9),monthly_mortgage_schedule[[#This Row],[Begin Year (Range)]],NA())</f>
        <v>2039</v>
      </c>
      <c r="N226" s="214">
        <f>IF((monthly_mortgage_schedule[[#This Row],[Year (Range)]]&gt;=$C$7)*(monthly_mortgage_schedule[[#This Row],[Year (Range)]]&lt;=$C$9),X226,NA())</f>
        <v>1330.042351229424</v>
      </c>
      <c r="O226" s="214">
        <f>IF((monthly_mortgage_schedule[[#This Row],[Year (Range)]]&gt;=$C$7)*(monthly_mortgage_schedule[[#This Row],[Year (Range)]]&lt;=$C$9),Y226,NA())</f>
        <v>1769.9841442339841</v>
      </c>
      <c r="P226" s="214">
        <f>IF((monthly_mortgage_schedule[[#This Row],[Year (Range)]]&gt;=$C$7)*(monthly_mortgage_schedule[[#This Row],[Year (Range)]]&lt;=$C$9),AG226,NA())</f>
        <v>1572.3815398138045</v>
      </c>
      <c r="Q226" s="214">
        <f>IF((monthly_mortgage_schedule[[#This Row],[Year (Range)]]&gt;=$C$7)*(monthly_mortgage_schedule[[#This Row],[Year (Range)]]&lt;=$C$9),AH226,NA())</f>
        <v>1527.6449556496036</v>
      </c>
      <c r="R226" s="214">
        <f>IF((monthly_mortgage_schedule[[#This Row],[Year (Range)]]&gt;=$C$7)*(monthly_mortgage_schedule[[#This Row],[Year (Range)]]&lt;=$C$9),AO226,NA())</f>
        <v>20672.165313808571</v>
      </c>
      <c r="S226" s="214">
        <f>IF((monthly_mortgage_schedule[[#This Row],[Year (Range)]]&gt;=$C$7)*(monthly_mortgage_schedule[[#This Row],[Year (Range)]]&lt;=$C$9),AP226,NA())</f>
        <v>990</v>
      </c>
      <c r="T226" s="214">
        <f>IF((monthly_mortgage_schedule[[#This Row],[Year (Range)]]&gt;=$C$7)*(monthly_mortgage_schedule[[#This Row],[Year (Range)]]&lt;=$C$9),AR226,NA())</f>
        <v>34397.766467776062</v>
      </c>
      <c r="U226" s="214">
        <f>IF((monthly_mortgage_schedule[[#This Row],[Year (Range)]]&gt;=$C$7)*(monthly_mortgage_schedule[[#This Row],[Year (Range)]]&lt;=$C$9),AB226,NA())</f>
        <v>256760.90888078575</v>
      </c>
      <c r="V226" s="214">
        <f>IF((monthly_mortgage_schedule[[#This Row],[Year (Range)]]&gt;=$C$7)*(monthly_mortgage_schedule[[#This Row],[Year (Range)]]&lt;=$C$9),AI226,NA())</f>
        <v>204588.74356697738</v>
      </c>
      <c r="W226" s="187">
        <f t="shared" si="24"/>
        <v>285009.07526344794</v>
      </c>
      <c r="X226" s="4">
        <f t="shared" si="27"/>
        <v>1330.042351229424</v>
      </c>
      <c r="Y226" s="4">
        <f t="shared" si="25"/>
        <v>1769.9841442339841</v>
      </c>
      <c r="Z226" s="4">
        <f>_xlfn.IFNA(INDEX(additional_mortgage_payments[],MATCH(monthly_mortgage_schedule[[#This Row],[Month]],additional_mortgage_payments[Month],0),3),0)</f>
        <v>0</v>
      </c>
      <c r="AA226" s="4">
        <f>AA225+monthly_mortgage_schedule[[#This Row],[Extra Payments Towards Equity]]</f>
        <v>31500</v>
      </c>
      <c r="AB226" s="4">
        <f>AB225+monthly_mortgage_schedule[[#This Row],[Principal With Extra Principal Payments]]+monthly_mortgage_schedule[[#This Row],[Extra Payments Towards Equity]]</f>
        <v>256760.90888078575</v>
      </c>
      <c r="AC226" s="4">
        <f>monthly_mortgage_schedule[[#This Row],[Cumulative Principal With Extra Principal Payments]]+down_payment_dollars</f>
        <v>316760.90888078575</v>
      </c>
      <c r="AD226" s="200">
        <f t="shared" si="22"/>
        <v>0</v>
      </c>
      <c r="AE22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283239.09111921396</v>
      </c>
      <c r="AF226" s="187">
        <f t="shared" si="28"/>
        <v>336938.90138867236</v>
      </c>
      <c r="AG226" s="4">
        <f>IF(monthly_mortgage_schedule[[#This Row],[Loan Balance (BOY) Without Extra Principal Payments]]&gt;0,monthly_mortgage_schedule[[#This Row],[Loan Balance (BOY) Without Extra Principal Payments]]*monthly_interest_rate,0)</f>
        <v>1572.3815398138045</v>
      </c>
      <c r="AH226" s="4">
        <f>IF(monthly_mortgage_schedule[[#This Row],[Loan Balance (BOY) Without Extra Principal Payments]]&gt;1,monthly_principal_and_interest-monthly_mortgage_schedule[[#This Row],[Interest Without Extra Principal Payments]],0)</f>
        <v>1527.6449556496036</v>
      </c>
      <c r="AI226" s="4">
        <f>AI225+monthly_mortgage_schedule[[#This Row],[Principal Without Extra Principal Payments]]</f>
        <v>204588.74356697738</v>
      </c>
      <c r="AJ226" s="4">
        <f>monthly_mortgage_schedule[[#This Row],[Cumulative Principal Without Extra Principal Payments]]+down_payment_dollars</f>
        <v>264588.74356697738</v>
      </c>
      <c r="AK226" s="200">
        <f t="shared" si="23"/>
        <v>0</v>
      </c>
      <c r="AL22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335411.25643302273</v>
      </c>
      <c r="AN226" s="196">
        <f>monthly_mortgage_schedule[[#This Row],[Extra Payments Towards Equity]]+AN225+IF(monthly_mortgage_schedule[[#This Row],[Interest With Extra Principal Payments]]&gt;0,monthly_mortgage_schedule[[#This Row],[Interest Without Extra Principal Payments]]-monthly_mortgage_schedule[[#This Row],[Interest With Extra Principal Payments]],0)</f>
        <v>52172.165313808589</v>
      </c>
      <c r="AO226" s="4">
        <f>AO225+IF(monthly_mortgage_schedule[[#This Row],[Interest With Extra Principal Payments]]&gt;0,monthly_mortgage_schedule[[#This Row],[Interest Without Extra Principal Payments]]-monthly_mortgage_schedule[[#This Row],[Interest With Extra Principal Payments]],0)</f>
        <v>20672.165313808571</v>
      </c>
      <c r="AP226" s="4">
        <f>AP225+monthly_mortgage_schedule[[#This Row],[PMI Without Extra Principal Payments]]-monthly_mortgage_schedule[[#This Row],[PMI with Additional Payments]]</f>
        <v>990</v>
      </c>
      <c r="AQ226" s="4">
        <f t="shared" si="26"/>
        <v>65897.766467776062</v>
      </c>
      <c r="AR226" s="4">
        <f>Table60[[#This Row],[Cumulative Investments]]-monthly_mortgage_schedule[[#This Row],[Cumulative Extra Payments Towards Equity]]</f>
        <v>34397.766467776062</v>
      </c>
    </row>
    <row r="227" spans="9:44" x14ac:dyDescent="0.25">
      <c r="I227">
        <v>210</v>
      </c>
      <c r="J227">
        <f>IF(MOD(ROWS($J$18:J226),12)=0,J226+1,J226)</f>
        <v>2039</v>
      </c>
      <c r="K227" s="198">
        <f>IF(M227="#N/A",NA(),monthly_mortgage_schedule[[#This Row],[Month]])</f>
        <v>210</v>
      </c>
      <c r="L227" s="198">
        <f>IF(monthly_mortgage_schedule[[#This Row],[Calendar Year]]&gt;=$C$7,monthly_mortgage_schedule[[#This Row],[Calendar Year]],NA())</f>
        <v>2039</v>
      </c>
      <c r="M227" s="199">
        <f>IF((monthly_mortgage_schedule[[#This Row],[Calendar Year]]&gt;=$C$7)*(monthly_mortgage_schedule[[#This Row],[Calendar Year]]&lt;=$C$9),monthly_mortgage_schedule[[#This Row],[Begin Year (Range)]],NA())</f>
        <v>2039</v>
      </c>
      <c r="N227" s="214">
        <f>IF((monthly_mortgage_schedule[[#This Row],[Year (Range)]]&gt;=$C$7)*(monthly_mortgage_schedule[[#This Row],[Year (Range)]]&lt;=$C$9),X227,NA())</f>
        <v>1321.7824252229987</v>
      </c>
      <c r="O227" s="214">
        <f>IF((monthly_mortgage_schedule[[#This Row],[Year (Range)]]&gt;=$C$7)*(monthly_mortgage_schedule[[#This Row],[Year (Range)]]&lt;=$C$9),Y227,NA())</f>
        <v>1778.2440702404094</v>
      </c>
      <c r="P227" s="214">
        <f>IF((monthly_mortgage_schedule[[#This Row],[Year (Range)]]&gt;=$C$7)*(monthly_mortgage_schedule[[#This Row],[Year (Range)]]&lt;=$C$9),AG227,NA())</f>
        <v>1565.2525300207728</v>
      </c>
      <c r="Q227" s="214">
        <f>IF((monthly_mortgage_schedule[[#This Row],[Year (Range)]]&gt;=$C$7)*(monthly_mortgage_schedule[[#This Row],[Year (Range)]]&lt;=$C$9),AH227,NA())</f>
        <v>1534.7739654426352</v>
      </c>
      <c r="R227" s="214">
        <f>IF((monthly_mortgage_schedule[[#This Row],[Year (Range)]]&gt;=$C$7)*(monthly_mortgage_schedule[[#This Row],[Year (Range)]]&lt;=$C$9),AO227,NA())</f>
        <v>20915.635418606347</v>
      </c>
      <c r="S227" s="214">
        <f>IF((monthly_mortgage_schedule[[#This Row],[Year (Range)]]&gt;=$C$7)*(monthly_mortgage_schedule[[#This Row],[Year (Range)]]&lt;=$C$9),AP227,NA())</f>
        <v>990</v>
      </c>
      <c r="T227" s="214">
        <f>IF((monthly_mortgage_schedule[[#This Row],[Year (Range)]]&gt;=$C$7)*(monthly_mortgage_schedule[[#This Row],[Year (Range)]]&lt;=$C$9),AR227,NA())</f>
        <v>34842.084910894569</v>
      </c>
      <c r="U227" s="214">
        <f>IF((monthly_mortgage_schedule[[#This Row],[Year (Range)]]&gt;=$C$7)*(monthly_mortgage_schedule[[#This Row],[Year (Range)]]&lt;=$C$9),AB227,NA())</f>
        <v>259289.15295102616</v>
      </c>
      <c r="V227" s="214">
        <f>IF((monthly_mortgage_schedule[[#This Row],[Year (Range)]]&gt;=$C$7)*(monthly_mortgage_schedule[[#This Row],[Year (Range)]]&lt;=$C$9),AI227,NA())</f>
        <v>206123.51753242002</v>
      </c>
      <c r="W227" s="187">
        <f t="shared" si="24"/>
        <v>283239.09111921396</v>
      </c>
      <c r="X227" s="4">
        <f t="shared" si="27"/>
        <v>1321.7824252229987</v>
      </c>
      <c r="Y227" s="4">
        <f t="shared" si="25"/>
        <v>1778.2440702404094</v>
      </c>
      <c r="Z227" s="4">
        <f>_xlfn.IFNA(INDEX(additional_mortgage_payments[],MATCH(monthly_mortgage_schedule[[#This Row],[Month]],additional_mortgage_payments[Month],0),3),0)</f>
        <v>750</v>
      </c>
      <c r="AA227" s="4">
        <f>AA226+monthly_mortgage_schedule[[#This Row],[Extra Payments Towards Equity]]</f>
        <v>32250</v>
      </c>
      <c r="AB227" s="4">
        <f>AB226+monthly_mortgage_schedule[[#This Row],[Principal With Extra Principal Payments]]+monthly_mortgage_schedule[[#This Row],[Extra Payments Towards Equity]]</f>
        <v>259289.15295102616</v>
      </c>
      <c r="AC227" s="4">
        <f>monthly_mortgage_schedule[[#This Row],[Cumulative Principal With Extra Principal Payments]]+down_payment_dollars</f>
        <v>319289.15295102616</v>
      </c>
      <c r="AD227" s="200">
        <f t="shared" si="22"/>
        <v>0</v>
      </c>
      <c r="AE22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280710.84704897355</v>
      </c>
      <c r="AF227" s="187">
        <f t="shared" si="28"/>
        <v>335411.25643302273</v>
      </c>
      <c r="AG227" s="4">
        <f>IF(monthly_mortgage_schedule[[#This Row],[Loan Balance (BOY) Without Extra Principal Payments]]&gt;0,monthly_mortgage_schedule[[#This Row],[Loan Balance (BOY) Without Extra Principal Payments]]*monthly_interest_rate,0)</f>
        <v>1565.2525300207728</v>
      </c>
      <c r="AH227" s="4">
        <f>IF(monthly_mortgage_schedule[[#This Row],[Loan Balance (BOY) Without Extra Principal Payments]]&gt;1,monthly_principal_and_interest-monthly_mortgage_schedule[[#This Row],[Interest Without Extra Principal Payments]],0)</f>
        <v>1534.7739654426352</v>
      </c>
      <c r="AI227" s="4">
        <f>AI226+monthly_mortgage_schedule[[#This Row],[Principal Without Extra Principal Payments]]</f>
        <v>206123.51753242002</v>
      </c>
      <c r="AJ227" s="4">
        <f>monthly_mortgage_schedule[[#This Row],[Cumulative Principal Without Extra Principal Payments]]+down_payment_dollars</f>
        <v>266123.51753242</v>
      </c>
      <c r="AK227" s="200">
        <f t="shared" si="23"/>
        <v>0</v>
      </c>
      <c r="AL22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333876.48246758012</v>
      </c>
      <c r="AN227" s="196">
        <f>monthly_mortgage_schedule[[#This Row],[Extra Payments Towards Equity]]+AN226+IF(monthly_mortgage_schedule[[#This Row],[Interest With Extra Principal Payments]]&gt;0,monthly_mortgage_schedule[[#This Row],[Interest Without Extra Principal Payments]]-monthly_mortgage_schedule[[#This Row],[Interest With Extra Principal Payments]],0)</f>
        <v>53165.635418606362</v>
      </c>
      <c r="AO227" s="4">
        <f>AO226+IF(monthly_mortgage_schedule[[#This Row],[Interest With Extra Principal Payments]]&gt;0,monthly_mortgage_schedule[[#This Row],[Interest Without Extra Principal Payments]]-monthly_mortgage_schedule[[#This Row],[Interest With Extra Principal Payments]],0)</f>
        <v>20915.635418606347</v>
      </c>
      <c r="AP227" s="4">
        <f>AP226+monthly_mortgage_schedule[[#This Row],[PMI Without Extra Principal Payments]]-monthly_mortgage_schedule[[#This Row],[PMI with Additional Payments]]</f>
        <v>990</v>
      </c>
      <c r="AQ227" s="4">
        <f t="shared" si="26"/>
        <v>67092.084910894569</v>
      </c>
      <c r="AR227" s="4">
        <f>Table60[[#This Row],[Cumulative Investments]]-monthly_mortgage_schedule[[#This Row],[Cumulative Extra Payments Towards Equity]]</f>
        <v>34842.084910894569</v>
      </c>
    </row>
    <row r="228" spans="9:44" x14ac:dyDescent="0.25">
      <c r="I228">
        <v>211</v>
      </c>
      <c r="J228">
        <f>IF(MOD(ROWS($J$18:J227),12)=0,J227+1,J227)</f>
        <v>2039</v>
      </c>
      <c r="K228" s="198">
        <f>IF(M228="#N/A",NA(),monthly_mortgage_schedule[[#This Row],[Month]])</f>
        <v>211</v>
      </c>
      <c r="L228" s="198">
        <f>IF(monthly_mortgage_schedule[[#This Row],[Calendar Year]]&gt;=$C$7,monthly_mortgage_schedule[[#This Row],[Calendar Year]],NA())</f>
        <v>2039</v>
      </c>
      <c r="M228" s="199">
        <f>IF((monthly_mortgage_schedule[[#This Row],[Calendar Year]]&gt;=$C$7)*(monthly_mortgage_schedule[[#This Row],[Calendar Year]]&lt;=$C$9),monthly_mortgage_schedule[[#This Row],[Begin Year (Range)]],NA())</f>
        <v>2039</v>
      </c>
      <c r="N228" s="214">
        <f>IF((monthly_mortgage_schedule[[#This Row],[Year (Range)]]&gt;=$C$7)*(monthly_mortgage_schedule[[#This Row],[Year (Range)]]&lt;=$C$9),X228,NA())</f>
        <v>1309.98395289521</v>
      </c>
      <c r="O228" s="214">
        <f>IF((monthly_mortgage_schedule[[#This Row],[Year (Range)]]&gt;=$C$7)*(monthly_mortgage_schedule[[#This Row],[Year (Range)]]&lt;=$C$9),Y228,NA())</f>
        <v>1790.0425425681981</v>
      </c>
      <c r="P228" s="214">
        <f>IF((monthly_mortgage_schedule[[#This Row],[Year (Range)]]&gt;=$C$7)*(monthly_mortgage_schedule[[#This Row],[Year (Range)]]&lt;=$C$9),AG228,NA())</f>
        <v>1558.0902515153741</v>
      </c>
      <c r="Q228" s="214">
        <f>IF((monthly_mortgage_schedule[[#This Row],[Year (Range)]]&gt;=$C$7)*(monthly_mortgage_schedule[[#This Row],[Year (Range)]]&lt;=$C$9),AH228,NA())</f>
        <v>1541.936243948034</v>
      </c>
      <c r="R228" s="214">
        <f>IF((monthly_mortgage_schedule[[#This Row],[Year (Range)]]&gt;=$C$7)*(monthly_mortgage_schedule[[#This Row],[Year (Range)]]&lt;=$C$9),AO228,NA())</f>
        <v>21163.741717226512</v>
      </c>
      <c r="S228" s="214">
        <f>IF((monthly_mortgage_schedule[[#This Row],[Year (Range)]]&gt;=$C$7)*(monthly_mortgage_schedule[[#This Row],[Year (Range)]]&lt;=$C$9),AP228,NA())</f>
        <v>990</v>
      </c>
      <c r="T228" s="214">
        <f>IF((monthly_mortgage_schedule[[#This Row],[Year (Range)]]&gt;=$C$7)*(monthly_mortgage_schedule[[#This Row],[Year (Range)]]&lt;=$C$9),AR228,NA())</f>
        <v>35289.365476967199</v>
      </c>
      <c r="U228" s="214">
        <f>IF((monthly_mortgage_schedule[[#This Row],[Year (Range)]]&gt;=$C$7)*(monthly_mortgage_schedule[[#This Row],[Year (Range)]]&lt;=$C$9),AB228,NA())</f>
        <v>261079.19549359436</v>
      </c>
      <c r="V228" s="214">
        <f>IF((monthly_mortgage_schedule[[#This Row],[Year (Range)]]&gt;=$C$7)*(monthly_mortgage_schedule[[#This Row],[Year (Range)]]&lt;=$C$9),AI228,NA())</f>
        <v>207665.45377636806</v>
      </c>
      <c r="W228" s="187">
        <f t="shared" si="24"/>
        <v>280710.84704897355</v>
      </c>
      <c r="X228" s="4">
        <f t="shared" si="27"/>
        <v>1309.98395289521</v>
      </c>
      <c r="Y228" s="4">
        <f t="shared" si="25"/>
        <v>1790.0425425681981</v>
      </c>
      <c r="Z228" s="4">
        <f>_xlfn.IFNA(INDEX(additional_mortgage_payments[],MATCH(monthly_mortgage_schedule[[#This Row],[Month]],additional_mortgage_payments[Month],0),3),0)</f>
        <v>0</v>
      </c>
      <c r="AA228" s="4">
        <f>AA227+monthly_mortgage_schedule[[#This Row],[Extra Payments Towards Equity]]</f>
        <v>32250</v>
      </c>
      <c r="AB228" s="4">
        <f>AB227+monthly_mortgage_schedule[[#This Row],[Principal With Extra Principal Payments]]+monthly_mortgage_schedule[[#This Row],[Extra Payments Towards Equity]]</f>
        <v>261079.19549359436</v>
      </c>
      <c r="AC228" s="4">
        <f>monthly_mortgage_schedule[[#This Row],[Cumulative Principal With Extra Principal Payments]]+down_payment_dollars</f>
        <v>321079.19549359439</v>
      </c>
      <c r="AD228" s="200">
        <f t="shared" si="22"/>
        <v>0</v>
      </c>
      <c r="AE22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278920.80450640537</v>
      </c>
      <c r="AF228" s="187">
        <f t="shared" si="28"/>
        <v>333876.48246758012</v>
      </c>
      <c r="AG228" s="4">
        <f>IF(monthly_mortgage_schedule[[#This Row],[Loan Balance (BOY) Without Extra Principal Payments]]&gt;0,monthly_mortgage_schedule[[#This Row],[Loan Balance (BOY) Without Extra Principal Payments]]*monthly_interest_rate,0)</f>
        <v>1558.0902515153741</v>
      </c>
      <c r="AH228" s="4">
        <f>IF(monthly_mortgage_schedule[[#This Row],[Loan Balance (BOY) Without Extra Principal Payments]]&gt;1,monthly_principal_and_interest-monthly_mortgage_schedule[[#This Row],[Interest Without Extra Principal Payments]],0)</f>
        <v>1541.936243948034</v>
      </c>
      <c r="AI228" s="4">
        <f>AI227+monthly_mortgage_schedule[[#This Row],[Principal Without Extra Principal Payments]]</f>
        <v>207665.45377636806</v>
      </c>
      <c r="AJ228" s="4">
        <f>monthly_mortgage_schedule[[#This Row],[Cumulative Principal Without Extra Principal Payments]]+down_payment_dollars</f>
        <v>267665.45377636806</v>
      </c>
      <c r="AK228" s="200">
        <f t="shared" si="23"/>
        <v>0</v>
      </c>
      <c r="AL22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332334.54622363206</v>
      </c>
      <c r="AN228" s="196">
        <f>monthly_mortgage_schedule[[#This Row],[Extra Payments Towards Equity]]+AN227+IF(monthly_mortgage_schedule[[#This Row],[Interest With Extra Principal Payments]]&gt;0,monthly_mortgage_schedule[[#This Row],[Interest Without Extra Principal Payments]]-monthly_mortgage_schedule[[#This Row],[Interest With Extra Principal Payments]],0)</f>
        <v>53413.741717226527</v>
      </c>
      <c r="AO228" s="4">
        <f>AO227+IF(monthly_mortgage_schedule[[#This Row],[Interest With Extra Principal Payments]]&gt;0,monthly_mortgage_schedule[[#This Row],[Interest Without Extra Principal Payments]]-monthly_mortgage_schedule[[#This Row],[Interest With Extra Principal Payments]],0)</f>
        <v>21163.741717226512</v>
      </c>
      <c r="AP228" s="4">
        <f>AP227+monthly_mortgage_schedule[[#This Row],[PMI Without Extra Principal Payments]]-monthly_mortgage_schedule[[#This Row],[PMI with Additional Payments]]</f>
        <v>990</v>
      </c>
      <c r="AQ228" s="4">
        <f t="shared" si="26"/>
        <v>67539.365476967199</v>
      </c>
      <c r="AR228" s="4">
        <f>Table60[[#This Row],[Cumulative Investments]]-monthly_mortgage_schedule[[#This Row],[Cumulative Extra Payments Towards Equity]]</f>
        <v>35289.365476967199</v>
      </c>
    </row>
    <row r="229" spans="9:44" x14ac:dyDescent="0.25">
      <c r="I229">
        <v>212</v>
      </c>
      <c r="J229">
        <f>IF(MOD(ROWS($J$18:J228),12)=0,J228+1,J228)</f>
        <v>2039</v>
      </c>
      <c r="K229" s="198">
        <f>IF(M229="#N/A",NA(),monthly_mortgage_schedule[[#This Row],[Month]])</f>
        <v>212</v>
      </c>
      <c r="L229" s="198">
        <f>IF(monthly_mortgage_schedule[[#This Row],[Calendar Year]]&gt;=$C$7,monthly_mortgage_schedule[[#This Row],[Calendar Year]],NA())</f>
        <v>2039</v>
      </c>
      <c r="M229" s="199">
        <f>IF((monthly_mortgage_schedule[[#This Row],[Calendar Year]]&gt;=$C$7)*(monthly_mortgage_schedule[[#This Row],[Calendar Year]]&lt;=$C$9),monthly_mortgage_schedule[[#This Row],[Begin Year (Range)]],NA())</f>
        <v>2039</v>
      </c>
      <c r="N229" s="214">
        <f>IF((monthly_mortgage_schedule[[#This Row],[Year (Range)]]&gt;=$C$7)*(monthly_mortgage_schedule[[#This Row],[Year (Range)]]&lt;=$C$9),X229,NA())</f>
        <v>1301.6304210298917</v>
      </c>
      <c r="O229" s="214">
        <f>IF((monthly_mortgage_schedule[[#This Row],[Year (Range)]]&gt;=$C$7)*(monthly_mortgage_schedule[[#This Row],[Year (Range)]]&lt;=$C$9),Y229,NA())</f>
        <v>1798.3960744335163</v>
      </c>
      <c r="P229" s="214">
        <f>IF((monthly_mortgage_schedule[[#This Row],[Year (Range)]]&gt;=$C$7)*(monthly_mortgage_schedule[[#This Row],[Year (Range)]]&lt;=$C$9),AG229,NA())</f>
        <v>1550.8945490436165</v>
      </c>
      <c r="Q229" s="214">
        <f>IF((monthly_mortgage_schedule[[#This Row],[Year (Range)]]&gt;=$C$7)*(monthly_mortgage_schedule[[#This Row],[Year (Range)]]&lt;=$C$9),AH229,NA())</f>
        <v>1549.1319464197916</v>
      </c>
      <c r="R229" s="214">
        <f>IF((monthly_mortgage_schedule[[#This Row],[Year (Range)]]&gt;=$C$7)*(monthly_mortgage_schedule[[#This Row],[Year (Range)]]&lt;=$C$9),AO229,NA())</f>
        <v>21413.005845240237</v>
      </c>
      <c r="S229" s="214">
        <f>IF((monthly_mortgage_schedule[[#This Row],[Year (Range)]]&gt;=$C$7)*(monthly_mortgage_schedule[[#This Row],[Year (Range)]]&lt;=$C$9),AP229,NA())</f>
        <v>990</v>
      </c>
      <c r="T229" s="214">
        <f>IF((monthly_mortgage_schedule[[#This Row],[Year (Range)]]&gt;=$C$7)*(monthly_mortgage_schedule[[#This Row],[Year (Range)]]&lt;=$C$9),AR229,NA())</f>
        <v>35739.627913480304</v>
      </c>
      <c r="U229" s="214">
        <f>IF((monthly_mortgage_schedule[[#This Row],[Year (Range)]]&gt;=$C$7)*(monthly_mortgage_schedule[[#This Row],[Year (Range)]]&lt;=$C$9),AB229,NA())</f>
        <v>262877.59156802786</v>
      </c>
      <c r="V229" s="214">
        <f>IF((monthly_mortgage_schedule[[#This Row],[Year (Range)]]&gt;=$C$7)*(monthly_mortgage_schedule[[#This Row],[Year (Range)]]&lt;=$C$9),AI229,NA())</f>
        <v>209214.58572278786</v>
      </c>
      <c r="W229" s="187">
        <f t="shared" si="24"/>
        <v>278920.80450640537</v>
      </c>
      <c r="X229" s="4">
        <f t="shared" si="27"/>
        <v>1301.6304210298917</v>
      </c>
      <c r="Y229" s="4">
        <f t="shared" si="25"/>
        <v>1798.3960744335163</v>
      </c>
      <c r="Z229" s="4">
        <f>_xlfn.IFNA(INDEX(additional_mortgage_payments[],MATCH(monthly_mortgage_schedule[[#This Row],[Month]],additional_mortgage_payments[Month],0),3),0)</f>
        <v>0</v>
      </c>
      <c r="AA229" s="4">
        <f>AA228+monthly_mortgage_schedule[[#This Row],[Extra Payments Towards Equity]]</f>
        <v>32250</v>
      </c>
      <c r="AB229" s="4">
        <f>AB228+monthly_mortgage_schedule[[#This Row],[Principal With Extra Principal Payments]]+monthly_mortgage_schedule[[#This Row],[Extra Payments Towards Equity]]</f>
        <v>262877.59156802786</v>
      </c>
      <c r="AC229" s="4">
        <f>monthly_mortgage_schedule[[#This Row],[Cumulative Principal With Extra Principal Payments]]+down_payment_dollars</f>
        <v>322877.59156802786</v>
      </c>
      <c r="AD229" s="200">
        <f t="shared" si="22"/>
        <v>0</v>
      </c>
      <c r="AE22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277122.40843197185</v>
      </c>
      <c r="AF229" s="187">
        <f t="shared" si="28"/>
        <v>332334.54622363206</v>
      </c>
      <c r="AG229" s="4">
        <f>IF(monthly_mortgage_schedule[[#This Row],[Loan Balance (BOY) Without Extra Principal Payments]]&gt;0,monthly_mortgage_schedule[[#This Row],[Loan Balance (BOY) Without Extra Principal Payments]]*monthly_interest_rate,0)</f>
        <v>1550.8945490436165</v>
      </c>
      <c r="AH229" s="4">
        <f>IF(monthly_mortgage_schedule[[#This Row],[Loan Balance (BOY) Without Extra Principal Payments]]&gt;1,monthly_principal_and_interest-monthly_mortgage_schedule[[#This Row],[Interest Without Extra Principal Payments]],0)</f>
        <v>1549.1319464197916</v>
      </c>
      <c r="AI229" s="4">
        <f>AI228+monthly_mortgage_schedule[[#This Row],[Principal Without Extra Principal Payments]]</f>
        <v>209214.58572278786</v>
      </c>
      <c r="AJ229" s="4">
        <f>monthly_mortgage_schedule[[#This Row],[Cumulative Principal Without Extra Principal Payments]]+down_payment_dollars</f>
        <v>269214.58572278789</v>
      </c>
      <c r="AK229" s="200">
        <f t="shared" si="23"/>
        <v>0</v>
      </c>
      <c r="AL22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330785.41427721229</v>
      </c>
      <c r="AN229" s="196">
        <f>monthly_mortgage_schedule[[#This Row],[Extra Payments Towards Equity]]+AN228+IF(monthly_mortgage_schedule[[#This Row],[Interest With Extra Principal Payments]]&gt;0,monthly_mortgage_schedule[[#This Row],[Interest Without Extra Principal Payments]]-monthly_mortgage_schedule[[#This Row],[Interest With Extra Principal Payments]],0)</f>
        <v>53663.005845240252</v>
      </c>
      <c r="AO229" s="4">
        <f>AO228+IF(monthly_mortgage_schedule[[#This Row],[Interest With Extra Principal Payments]]&gt;0,monthly_mortgage_schedule[[#This Row],[Interest Without Extra Principal Payments]]-monthly_mortgage_schedule[[#This Row],[Interest With Extra Principal Payments]],0)</f>
        <v>21413.005845240237</v>
      </c>
      <c r="AP229" s="4">
        <f>AP228+monthly_mortgage_schedule[[#This Row],[PMI Without Extra Principal Payments]]-monthly_mortgage_schedule[[#This Row],[PMI with Additional Payments]]</f>
        <v>990</v>
      </c>
      <c r="AQ229" s="4">
        <f t="shared" si="26"/>
        <v>67989.627913480304</v>
      </c>
      <c r="AR229" s="4">
        <f>Table60[[#This Row],[Cumulative Investments]]-monthly_mortgage_schedule[[#This Row],[Cumulative Extra Payments Towards Equity]]</f>
        <v>35739.627913480304</v>
      </c>
    </row>
    <row r="230" spans="9:44" x14ac:dyDescent="0.25">
      <c r="I230">
        <v>213</v>
      </c>
      <c r="J230">
        <f>IF(MOD(ROWS($J$18:J229),12)=0,J229+1,J229)</f>
        <v>2039</v>
      </c>
      <c r="K230" s="198">
        <f>IF(M230="#N/A",NA(),monthly_mortgage_schedule[[#This Row],[Month]])</f>
        <v>213</v>
      </c>
      <c r="L230" s="198">
        <f>IF(monthly_mortgage_schedule[[#This Row],[Calendar Year]]&gt;=$C$7,monthly_mortgage_schedule[[#This Row],[Calendar Year]],NA())</f>
        <v>2039</v>
      </c>
      <c r="M230" s="199">
        <f>IF((monthly_mortgage_schedule[[#This Row],[Calendar Year]]&gt;=$C$7)*(monthly_mortgage_schedule[[#This Row],[Calendar Year]]&lt;=$C$9),monthly_mortgage_schedule[[#This Row],[Begin Year (Range)]],NA())</f>
        <v>2039</v>
      </c>
      <c r="N230" s="214">
        <f>IF((monthly_mortgage_schedule[[#This Row],[Year (Range)]]&gt;=$C$7)*(monthly_mortgage_schedule[[#This Row],[Year (Range)]]&lt;=$C$9),X230,NA())</f>
        <v>1293.2379060158687</v>
      </c>
      <c r="O230" s="214">
        <f>IF((monthly_mortgage_schedule[[#This Row],[Year (Range)]]&gt;=$C$7)*(monthly_mortgage_schedule[[#This Row],[Year (Range)]]&lt;=$C$9),Y230,NA())</f>
        <v>1806.7885894475394</v>
      </c>
      <c r="P230" s="214">
        <f>IF((monthly_mortgage_schedule[[#This Row],[Year (Range)]]&gt;=$C$7)*(monthly_mortgage_schedule[[#This Row],[Year (Range)]]&lt;=$C$9),AG230,NA())</f>
        <v>1543.6652666269908</v>
      </c>
      <c r="Q230" s="214">
        <f>IF((monthly_mortgage_schedule[[#This Row],[Year (Range)]]&gt;=$C$7)*(monthly_mortgage_schedule[[#This Row],[Year (Range)]]&lt;=$C$9),AH230,NA())</f>
        <v>1556.3612288364172</v>
      </c>
      <c r="R230" s="214">
        <f>IF((monthly_mortgage_schedule[[#This Row],[Year (Range)]]&gt;=$C$7)*(monthly_mortgage_schedule[[#This Row],[Year (Range)]]&lt;=$C$9),AO230,NA())</f>
        <v>21663.433205851361</v>
      </c>
      <c r="S230" s="214">
        <f>IF((monthly_mortgage_schedule[[#This Row],[Year (Range)]]&gt;=$C$7)*(monthly_mortgage_schedule[[#This Row],[Year (Range)]]&lt;=$C$9),AP230,NA())</f>
        <v>990</v>
      </c>
      <c r="T230" s="214">
        <f>IF((monthly_mortgage_schedule[[#This Row],[Year (Range)]]&gt;=$C$7)*(monthly_mortgage_schedule[[#This Row],[Year (Range)]]&lt;=$C$9),AR230,NA())</f>
        <v>36192.892099570163</v>
      </c>
      <c r="U230" s="214">
        <f>IF((monthly_mortgage_schedule[[#This Row],[Year (Range)]]&gt;=$C$7)*(monthly_mortgage_schedule[[#This Row],[Year (Range)]]&lt;=$C$9),AB230,NA())</f>
        <v>264684.38015747542</v>
      </c>
      <c r="V230" s="214">
        <f>IF((monthly_mortgage_schedule[[#This Row],[Year (Range)]]&gt;=$C$7)*(monthly_mortgage_schedule[[#This Row],[Year (Range)]]&lt;=$C$9),AI230,NA())</f>
        <v>210770.94695162427</v>
      </c>
      <c r="W230" s="187">
        <f t="shared" si="24"/>
        <v>277122.40843197185</v>
      </c>
      <c r="X230" s="4">
        <f t="shared" si="27"/>
        <v>1293.2379060158687</v>
      </c>
      <c r="Y230" s="4">
        <f t="shared" si="25"/>
        <v>1806.7885894475394</v>
      </c>
      <c r="Z230" s="4">
        <f>_xlfn.IFNA(INDEX(additional_mortgage_payments[],MATCH(monthly_mortgage_schedule[[#This Row],[Month]],additional_mortgage_payments[Month],0),3),0)</f>
        <v>0</v>
      </c>
      <c r="AA230" s="4">
        <f>AA229+monthly_mortgage_schedule[[#This Row],[Extra Payments Towards Equity]]</f>
        <v>32250</v>
      </c>
      <c r="AB230" s="4">
        <f>AB229+monthly_mortgage_schedule[[#This Row],[Principal With Extra Principal Payments]]+monthly_mortgage_schedule[[#This Row],[Extra Payments Towards Equity]]</f>
        <v>264684.38015747542</v>
      </c>
      <c r="AC230" s="4">
        <f>monthly_mortgage_schedule[[#This Row],[Cumulative Principal With Extra Principal Payments]]+down_payment_dollars</f>
        <v>324684.38015747542</v>
      </c>
      <c r="AD230" s="200">
        <f t="shared" si="22"/>
        <v>0</v>
      </c>
      <c r="AE23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275315.61984252429</v>
      </c>
      <c r="AF230" s="187">
        <f t="shared" si="28"/>
        <v>330785.41427721229</v>
      </c>
      <c r="AG230" s="4">
        <f>IF(monthly_mortgage_schedule[[#This Row],[Loan Balance (BOY) Without Extra Principal Payments]]&gt;0,monthly_mortgage_schedule[[#This Row],[Loan Balance (BOY) Without Extra Principal Payments]]*monthly_interest_rate,0)</f>
        <v>1543.6652666269908</v>
      </c>
      <c r="AH230" s="4">
        <f>IF(monthly_mortgage_schedule[[#This Row],[Loan Balance (BOY) Without Extra Principal Payments]]&gt;1,monthly_principal_and_interest-monthly_mortgage_schedule[[#This Row],[Interest Without Extra Principal Payments]],0)</f>
        <v>1556.3612288364172</v>
      </c>
      <c r="AI230" s="4">
        <f>AI229+monthly_mortgage_schedule[[#This Row],[Principal Without Extra Principal Payments]]</f>
        <v>210770.94695162427</v>
      </c>
      <c r="AJ230" s="4">
        <f>monthly_mortgage_schedule[[#This Row],[Cumulative Principal Without Extra Principal Payments]]+down_payment_dollars</f>
        <v>270770.94695162424</v>
      </c>
      <c r="AK230" s="200">
        <f t="shared" si="23"/>
        <v>0</v>
      </c>
      <c r="AL23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329229.05304837588</v>
      </c>
      <c r="AN230" s="196">
        <f>monthly_mortgage_schedule[[#This Row],[Extra Payments Towards Equity]]+AN229+IF(monthly_mortgage_schedule[[#This Row],[Interest With Extra Principal Payments]]&gt;0,monthly_mortgage_schedule[[#This Row],[Interest Without Extra Principal Payments]]-monthly_mortgage_schedule[[#This Row],[Interest With Extra Principal Payments]],0)</f>
        <v>53913.433205851376</v>
      </c>
      <c r="AO230" s="4">
        <f>AO229+IF(monthly_mortgage_schedule[[#This Row],[Interest With Extra Principal Payments]]&gt;0,monthly_mortgage_schedule[[#This Row],[Interest Without Extra Principal Payments]]-monthly_mortgage_schedule[[#This Row],[Interest With Extra Principal Payments]],0)</f>
        <v>21663.433205851361</v>
      </c>
      <c r="AP230" s="4">
        <f>AP229+monthly_mortgage_schedule[[#This Row],[PMI Without Extra Principal Payments]]-monthly_mortgage_schedule[[#This Row],[PMI with Additional Payments]]</f>
        <v>990</v>
      </c>
      <c r="AQ230" s="4">
        <f t="shared" si="26"/>
        <v>68442.892099570163</v>
      </c>
      <c r="AR230" s="4">
        <f>Table60[[#This Row],[Cumulative Investments]]-monthly_mortgage_schedule[[#This Row],[Cumulative Extra Payments Towards Equity]]</f>
        <v>36192.892099570163</v>
      </c>
    </row>
    <row r="231" spans="9:44" x14ac:dyDescent="0.25">
      <c r="I231">
        <v>214</v>
      </c>
      <c r="J231">
        <f>IF(MOD(ROWS($J$18:J230),12)=0,J230+1,J230)</f>
        <v>2039</v>
      </c>
      <c r="K231" s="198">
        <f>IF(M231="#N/A",NA(),monthly_mortgage_schedule[[#This Row],[Month]])</f>
        <v>214</v>
      </c>
      <c r="L231" s="198">
        <f>IF(monthly_mortgage_schedule[[#This Row],[Calendar Year]]&gt;=$C$7,monthly_mortgage_schedule[[#This Row],[Calendar Year]],NA())</f>
        <v>2039</v>
      </c>
      <c r="M231" s="199">
        <f>IF((monthly_mortgage_schedule[[#This Row],[Calendar Year]]&gt;=$C$7)*(monthly_mortgage_schedule[[#This Row],[Calendar Year]]&lt;=$C$9),monthly_mortgage_schedule[[#This Row],[Begin Year (Range)]],NA())</f>
        <v>2039</v>
      </c>
      <c r="N231" s="214">
        <f>IF((monthly_mortgage_schedule[[#This Row],[Year (Range)]]&gt;=$C$7)*(monthly_mortgage_schedule[[#This Row],[Year (Range)]]&lt;=$C$9),X231,NA())</f>
        <v>1284.8062259317801</v>
      </c>
      <c r="O231" s="214">
        <f>IF((monthly_mortgage_schedule[[#This Row],[Year (Range)]]&gt;=$C$7)*(monthly_mortgage_schedule[[#This Row],[Year (Range)]]&lt;=$C$9),Y231,NA())</f>
        <v>1815.220269531628</v>
      </c>
      <c r="P231" s="214">
        <f>IF((monthly_mortgage_schedule[[#This Row],[Year (Range)]]&gt;=$C$7)*(monthly_mortgage_schedule[[#This Row],[Year (Range)]]&lt;=$C$9),AG231,NA())</f>
        <v>1536.4022475590875</v>
      </c>
      <c r="Q231" s="214">
        <f>IF((monthly_mortgage_schedule[[#This Row],[Year (Range)]]&gt;=$C$7)*(monthly_mortgage_schedule[[#This Row],[Year (Range)]]&lt;=$C$9),AH231,NA())</f>
        <v>1563.6242479043206</v>
      </c>
      <c r="R231" s="214">
        <f>IF((monthly_mortgage_schedule[[#This Row],[Year (Range)]]&gt;=$C$7)*(monthly_mortgage_schedule[[#This Row],[Year (Range)]]&lt;=$C$9),AO231,NA())</f>
        <v>21915.02922747867</v>
      </c>
      <c r="S231" s="214">
        <f>IF((monthly_mortgage_schedule[[#This Row],[Year (Range)]]&gt;=$C$7)*(monthly_mortgage_schedule[[#This Row],[Year (Range)]]&lt;=$C$9),AP231,NA())</f>
        <v>990</v>
      </c>
      <c r="T231" s="214">
        <f>IF((monthly_mortgage_schedule[[#This Row],[Year (Range)]]&gt;=$C$7)*(monthly_mortgage_schedule[[#This Row],[Year (Range)]]&lt;=$C$9),AR231,NA())</f>
        <v>36649.178046900619</v>
      </c>
      <c r="U231" s="214">
        <f>IF((monthly_mortgage_schedule[[#This Row],[Year (Range)]]&gt;=$C$7)*(monthly_mortgage_schedule[[#This Row],[Year (Range)]]&lt;=$C$9),AB231,NA())</f>
        <v>266499.60042700707</v>
      </c>
      <c r="V231" s="214">
        <f>IF((monthly_mortgage_schedule[[#This Row],[Year (Range)]]&gt;=$C$7)*(monthly_mortgage_schedule[[#This Row],[Year (Range)]]&lt;=$C$9),AI231,NA())</f>
        <v>212334.57119952858</v>
      </c>
      <c r="W231" s="187">
        <f t="shared" si="24"/>
        <v>275315.61984252429</v>
      </c>
      <c r="X231" s="4">
        <f t="shared" si="27"/>
        <v>1284.8062259317801</v>
      </c>
      <c r="Y231" s="4">
        <f t="shared" si="25"/>
        <v>1815.220269531628</v>
      </c>
      <c r="Z231" s="4">
        <f>_xlfn.IFNA(INDEX(additional_mortgage_payments[],MATCH(monthly_mortgage_schedule[[#This Row],[Month]],additional_mortgage_payments[Month],0),3),0)</f>
        <v>0</v>
      </c>
      <c r="AA231" s="4">
        <f>AA230+monthly_mortgage_schedule[[#This Row],[Extra Payments Towards Equity]]</f>
        <v>32250</v>
      </c>
      <c r="AB231" s="4">
        <f>AB230+monthly_mortgage_schedule[[#This Row],[Principal With Extra Principal Payments]]+monthly_mortgage_schedule[[#This Row],[Extra Payments Towards Equity]]</f>
        <v>266499.60042700707</v>
      </c>
      <c r="AC231" s="4">
        <f>monthly_mortgage_schedule[[#This Row],[Cumulative Principal With Extra Principal Payments]]+down_payment_dollars</f>
        <v>326499.60042700707</v>
      </c>
      <c r="AD231" s="200">
        <f t="shared" si="22"/>
        <v>0</v>
      </c>
      <c r="AE23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273500.39957299264</v>
      </c>
      <c r="AF231" s="187">
        <f t="shared" si="28"/>
        <v>329229.05304837588</v>
      </c>
      <c r="AG231" s="4">
        <f>IF(monthly_mortgage_schedule[[#This Row],[Loan Balance (BOY) Without Extra Principal Payments]]&gt;0,monthly_mortgage_schedule[[#This Row],[Loan Balance (BOY) Without Extra Principal Payments]]*monthly_interest_rate,0)</f>
        <v>1536.4022475590875</v>
      </c>
      <c r="AH231" s="4">
        <f>IF(monthly_mortgage_schedule[[#This Row],[Loan Balance (BOY) Without Extra Principal Payments]]&gt;1,monthly_principal_and_interest-monthly_mortgage_schedule[[#This Row],[Interest Without Extra Principal Payments]],0)</f>
        <v>1563.6242479043206</v>
      </c>
      <c r="AI231" s="4">
        <f>AI230+monthly_mortgage_schedule[[#This Row],[Principal Without Extra Principal Payments]]</f>
        <v>212334.57119952858</v>
      </c>
      <c r="AJ231" s="4">
        <f>monthly_mortgage_schedule[[#This Row],[Cumulative Principal Without Extra Principal Payments]]+down_payment_dollars</f>
        <v>272334.57119952858</v>
      </c>
      <c r="AK231" s="200">
        <f t="shared" si="23"/>
        <v>0</v>
      </c>
      <c r="AL23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327665.42880047153</v>
      </c>
      <c r="AN231" s="196">
        <f>monthly_mortgage_schedule[[#This Row],[Extra Payments Towards Equity]]+AN230+IF(monthly_mortgage_schedule[[#This Row],[Interest With Extra Principal Payments]]&gt;0,monthly_mortgage_schedule[[#This Row],[Interest Without Extra Principal Payments]]-monthly_mortgage_schedule[[#This Row],[Interest With Extra Principal Payments]],0)</f>
        <v>54165.029227478684</v>
      </c>
      <c r="AO231" s="4">
        <f>AO230+IF(monthly_mortgage_schedule[[#This Row],[Interest With Extra Principal Payments]]&gt;0,monthly_mortgage_schedule[[#This Row],[Interest Without Extra Principal Payments]]-monthly_mortgage_schedule[[#This Row],[Interest With Extra Principal Payments]],0)</f>
        <v>21915.02922747867</v>
      </c>
      <c r="AP231" s="4">
        <f>AP230+monthly_mortgage_schedule[[#This Row],[PMI Without Extra Principal Payments]]-monthly_mortgage_schedule[[#This Row],[PMI with Additional Payments]]</f>
        <v>990</v>
      </c>
      <c r="AQ231" s="4">
        <f t="shared" si="26"/>
        <v>68899.178046900619</v>
      </c>
      <c r="AR231" s="4">
        <f>Table60[[#This Row],[Cumulative Investments]]-monthly_mortgage_schedule[[#This Row],[Cumulative Extra Payments Towards Equity]]</f>
        <v>36649.178046900619</v>
      </c>
    </row>
    <row r="232" spans="9:44" x14ac:dyDescent="0.25">
      <c r="I232">
        <v>215</v>
      </c>
      <c r="J232">
        <f>IF(MOD(ROWS($J$18:J231),12)=0,J231+1,J231)</f>
        <v>2039</v>
      </c>
      <c r="K232" s="198">
        <f>IF(M232="#N/A",NA(),monthly_mortgage_schedule[[#This Row],[Month]])</f>
        <v>215</v>
      </c>
      <c r="L232" s="198">
        <f>IF(monthly_mortgage_schedule[[#This Row],[Calendar Year]]&gt;=$C$7,monthly_mortgage_schedule[[#This Row],[Calendar Year]],NA())</f>
        <v>2039</v>
      </c>
      <c r="M232" s="199">
        <f>IF((monthly_mortgage_schedule[[#This Row],[Calendar Year]]&gt;=$C$7)*(monthly_mortgage_schedule[[#This Row],[Calendar Year]]&lt;=$C$9),monthly_mortgage_schedule[[#This Row],[Begin Year (Range)]],NA())</f>
        <v>2039</v>
      </c>
      <c r="N232" s="214">
        <f>IF((monthly_mortgage_schedule[[#This Row],[Year (Range)]]&gt;=$C$7)*(monthly_mortgage_schedule[[#This Row],[Year (Range)]]&lt;=$C$9),X232,NA())</f>
        <v>1276.3351980072991</v>
      </c>
      <c r="O232" s="214">
        <f>IF((monthly_mortgage_schedule[[#This Row],[Year (Range)]]&gt;=$C$7)*(monthly_mortgage_schedule[[#This Row],[Year (Range)]]&lt;=$C$9),Y232,NA())</f>
        <v>1823.6912974561089</v>
      </c>
      <c r="P232" s="214">
        <f>IF((monthly_mortgage_schedule[[#This Row],[Year (Range)]]&gt;=$C$7)*(monthly_mortgage_schedule[[#This Row],[Year (Range)]]&lt;=$C$9),AG232,NA())</f>
        <v>1529.1053344022007</v>
      </c>
      <c r="Q232" s="214">
        <f>IF((monthly_mortgage_schedule[[#This Row],[Year (Range)]]&gt;=$C$7)*(monthly_mortgage_schedule[[#This Row],[Year (Range)]]&lt;=$C$9),AH232,NA())</f>
        <v>1570.9211610612074</v>
      </c>
      <c r="R232" s="214">
        <f>IF((monthly_mortgage_schedule[[#This Row],[Year (Range)]]&gt;=$C$7)*(monthly_mortgage_schedule[[#This Row],[Year (Range)]]&lt;=$C$9),AO232,NA())</f>
        <v>22167.799363873572</v>
      </c>
      <c r="S232" s="214">
        <f>IF((monthly_mortgage_schedule[[#This Row],[Year (Range)]]&gt;=$C$7)*(monthly_mortgage_schedule[[#This Row],[Year (Range)]]&lt;=$C$9),AP232,NA())</f>
        <v>990</v>
      </c>
      <c r="T232" s="214">
        <f>IF((monthly_mortgage_schedule[[#This Row],[Year (Range)]]&gt;=$C$7)*(monthly_mortgage_schedule[[#This Row],[Year (Range)]]&lt;=$C$9),AR232,NA())</f>
        <v>37108.505900546617</v>
      </c>
      <c r="U232" s="214">
        <f>IF((monthly_mortgage_schedule[[#This Row],[Year (Range)]]&gt;=$C$7)*(monthly_mortgage_schedule[[#This Row],[Year (Range)]]&lt;=$C$9),AB232,NA())</f>
        <v>268323.29172446317</v>
      </c>
      <c r="V232" s="214">
        <f>IF((monthly_mortgage_schedule[[#This Row],[Year (Range)]]&gt;=$C$7)*(monthly_mortgage_schedule[[#This Row],[Year (Range)]]&lt;=$C$9),AI232,NA())</f>
        <v>213905.49236058979</v>
      </c>
      <c r="W232" s="187">
        <f t="shared" si="24"/>
        <v>273500.39957299264</v>
      </c>
      <c r="X232" s="4">
        <f t="shared" si="27"/>
        <v>1276.3351980072991</v>
      </c>
      <c r="Y232" s="4">
        <f t="shared" si="25"/>
        <v>1823.6912974561089</v>
      </c>
      <c r="Z232" s="4">
        <f>_xlfn.IFNA(INDEX(additional_mortgage_payments[],MATCH(monthly_mortgage_schedule[[#This Row],[Month]],additional_mortgage_payments[Month],0),3),0)</f>
        <v>0</v>
      </c>
      <c r="AA232" s="4">
        <f>AA231+monthly_mortgage_schedule[[#This Row],[Extra Payments Towards Equity]]</f>
        <v>32250</v>
      </c>
      <c r="AB232" s="4">
        <f>AB231+monthly_mortgage_schedule[[#This Row],[Principal With Extra Principal Payments]]+monthly_mortgage_schedule[[#This Row],[Extra Payments Towards Equity]]</f>
        <v>268323.29172446317</v>
      </c>
      <c r="AC232" s="4">
        <f>monthly_mortgage_schedule[[#This Row],[Cumulative Principal With Extra Principal Payments]]+down_payment_dollars</f>
        <v>328323.29172446317</v>
      </c>
      <c r="AD232" s="200">
        <f t="shared" si="22"/>
        <v>0</v>
      </c>
      <c r="AE23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271676.70827553654</v>
      </c>
      <c r="AF232" s="187">
        <f t="shared" si="28"/>
        <v>327665.42880047153</v>
      </c>
      <c r="AG232" s="4">
        <f>IF(monthly_mortgage_schedule[[#This Row],[Loan Balance (BOY) Without Extra Principal Payments]]&gt;0,monthly_mortgage_schedule[[#This Row],[Loan Balance (BOY) Without Extra Principal Payments]]*monthly_interest_rate,0)</f>
        <v>1529.1053344022007</v>
      </c>
      <c r="AH232" s="4">
        <f>IF(monthly_mortgage_schedule[[#This Row],[Loan Balance (BOY) Without Extra Principal Payments]]&gt;1,monthly_principal_and_interest-monthly_mortgage_schedule[[#This Row],[Interest Without Extra Principal Payments]],0)</f>
        <v>1570.9211610612074</v>
      </c>
      <c r="AI232" s="4">
        <f>AI231+monthly_mortgage_schedule[[#This Row],[Principal Without Extra Principal Payments]]</f>
        <v>213905.49236058979</v>
      </c>
      <c r="AJ232" s="4">
        <f>monthly_mortgage_schedule[[#This Row],[Cumulative Principal Without Extra Principal Payments]]+down_payment_dollars</f>
        <v>273905.49236058979</v>
      </c>
      <c r="AK232" s="200">
        <f t="shared" si="23"/>
        <v>0</v>
      </c>
      <c r="AL23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326094.50763941032</v>
      </c>
      <c r="AN232" s="196">
        <f>monthly_mortgage_schedule[[#This Row],[Extra Payments Towards Equity]]+AN231+IF(monthly_mortgage_schedule[[#This Row],[Interest With Extra Principal Payments]]&gt;0,monthly_mortgage_schedule[[#This Row],[Interest Without Extra Principal Payments]]-monthly_mortgage_schedule[[#This Row],[Interest With Extra Principal Payments]],0)</f>
        <v>54417.799363873586</v>
      </c>
      <c r="AO232" s="4">
        <f>AO231+IF(monthly_mortgage_schedule[[#This Row],[Interest With Extra Principal Payments]]&gt;0,monthly_mortgage_schedule[[#This Row],[Interest Without Extra Principal Payments]]-monthly_mortgage_schedule[[#This Row],[Interest With Extra Principal Payments]],0)</f>
        <v>22167.799363873572</v>
      </c>
      <c r="AP232" s="4">
        <f>AP231+monthly_mortgage_schedule[[#This Row],[PMI Without Extra Principal Payments]]-monthly_mortgage_schedule[[#This Row],[PMI with Additional Payments]]</f>
        <v>990</v>
      </c>
      <c r="AQ232" s="4">
        <f t="shared" si="26"/>
        <v>69358.505900546617</v>
      </c>
      <c r="AR232" s="4">
        <f>Table60[[#This Row],[Cumulative Investments]]-monthly_mortgage_schedule[[#This Row],[Cumulative Extra Payments Towards Equity]]</f>
        <v>37108.505900546617</v>
      </c>
    </row>
    <row r="233" spans="9:44" x14ac:dyDescent="0.25">
      <c r="I233">
        <v>216</v>
      </c>
      <c r="J233">
        <f>IF(MOD(ROWS($J$18:J232),12)=0,J232+1,J232)</f>
        <v>2039</v>
      </c>
      <c r="K233" s="198">
        <f>IF(M233="#N/A",NA(),monthly_mortgage_schedule[[#This Row],[Month]])</f>
        <v>216</v>
      </c>
      <c r="L233" s="198">
        <f>IF(monthly_mortgage_schedule[[#This Row],[Calendar Year]]&gt;=$C$7,monthly_mortgage_schedule[[#This Row],[Calendar Year]],NA())</f>
        <v>2039</v>
      </c>
      <c r="M233" s="199">
        <f>IF((monthly_mortgage_schedule[[#This Row],[Calendar Year]]&gt;=$C$7)*(monthly_mortgage_schedule[[#This Row],[Calendar Year]]&lt;=$C$9),monthly_mortgage_schedule[[#This Row],[Begin Year (Range)]],NA())</f>
        <v>2039</v>
      </c>
      <c r="N233" s="214">
        <f>IF((monthly_mortgage_schedule[[#This Row],[Year (Range)]]&gt;=$C$7)*(monthly_mortgage_schedule[[#This Row],[Year (Range)]]&lt;=$C$9),X233,NA())</f>
        <v>1267.8246386191706</v>
      </c>
      <c r="O233" s="214">
        <f>IF((monthly_mortgage_schedule[[#This Row],[Year (Range)]]&gt;=$C$7)*(monthly_mortgage_schedule[[#This Row],[Year (Range)]]&lt;=$C$9),Y233,NA())</f>
        <v>1832.2018568442375</v>
      </c>
      <c r="P233" s="214">
        <f>IF((monthly_mortgage_schedule[[#This Row],[Year (Range)]]&gt;=$C$7)*(monthly_mortgage_schedule[[#This Row],[Year (Range)]]&lt;=$C$9),AG233,NA())</f>
        <v>1521.7743689839149</v>
      </c>
      <c r="Q233" s="214">
        <f>IF((monthly_mortgage_schedule[[#This Row],[Year (Range)]]&gt;=$C$7)*(monthly_mortgage_schedule[[#This Row],[Year (Range)]]&lt;=$C$9),AH233,NA())</f>
        <v>1578.2521264794932</v>
      </c>
      <c r="R233" s="214">
        <f>IF((monthly_mortgage_schedule[[#This Row],[Year (Range)]]&gt;=$C$7)*(monthly_mortgage_schedule[[#This Row],[Year (Range)]]&lt;=$C$9),AO233,NA())</f>
        <v>22421.749094238316</v>
      </c>
      <c r="S233" s="214">
        <f>IF((monthly_mortgage_schedule[[#This Row],[Year (Range)]]&gt;=$C$7)*(monthly_mortgage_schedule[[#This Row],[Year (Range)]]&lt;=$C$9),AP233,NA())</f>
        <v>990</v>
      </c>
      <c r="T233" s="214">
        <f>IF((monthly_mortgage_schedule[[#This Row],[Year (Range)]]&gt;=$C$7)*(monthly_mortgage_schedule[[#This Row],[Year (Range)]]&lt;=$C$9),AR233,NA())</f>
        <v>37570.895939883587</v>
      </c>
      <c r="U233" s="214">
        <f>IF((monthly_mortgage_schedule[[#This Row],[Year (Range)]]&gt;=$C$7)*(monthly_mortgage_schedule[[#This Row],[Year (Range)]]&lt;=$C$9),AB233,NA())</f>
        <v>270155.49358130741</v>
      </c>
      <c r="V233" s="214">
        <f>IF((monthly_mortgage_schedule[[#This Row],[Year (Range)]]&gt;=$C$7)*(monthly_mortgage_schedule[[#This Row],[Year (Range)]]&lt;=$C$9),AI233,NA())</f>
        <v>215483.74448706929</v>
      </c>
      <c r="W233" s="187">
        <f t="shared" si="24"/>
        <v>271676.70827553654</v>
      </c>
      <c r="X233" s="4">
        <f t="shared" si="27"/>
        <v>1267.8246386191706</v>
      </c>
      <c r="Y233" s="4">
        <f t="shared" si="25"/>
        <v>1832.2018568442375</v>
      </c>
      <c r="Z233" s="4">
        <f>_xlfn.IFNA(INDEX(additional_mortgage_payments[],MATCH(monthly_mortgage_schedule[[#This Row],[Month]],additional_mortgage_payments[Month],0),3),0)</f>
        <v>0</v>
      </c>
      <c r="AA233" s="4">
        <f>AA232+monthly_mortgage_schedule[[#This Row],[Extra Payments Towards Equity]]</f>
        <v>32250</v>
      </c>
      <c r="AB233" s="4">
        <f>AB232+monthly_mortgage_schedule[[#This Row],[Principal With Extra Principal Payments]]+monthly_mortgage_schedule[[#This Row],[Extra Payments Towards Equity]]</f>
        <v>270155.49358130741</v>
      </c>
      <c r="AC233" s="4">
        <f>monthly_mortgage_schedule[[#This Row],[Cumulative Principal With Extra Principal Payments]]+down_payment_dollars</f>
        <v>330155.49358130741</v>
      </c>
      <c r="AD233" s="200">
        <f t="shared" si="22"/>
        <v>0</v>
      </c>
      <c r="AE23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269844.5064186923</v>
      </c>
      <c r="AF233" s="187">
        <f t="shared" si="28"/>
        <v>326094.50763941032</v>
      </c>
      <c r="AG233" s="4">
        <f>IF(monthly_mortgage_schedule[[#This Row],[Loan Balance (BOY) Without Extra Principal Payments]]&gt;0,monthly_mortgage_schedule[[#This Row],[Loan Balance (BOY) Without Extra Principal Payments]]*monthly_interest_rate,0)</f>
        <v>1521.7743689839149</v>
      </c>
      <c r="AH233" s="4">
        <f>IF(monthly_mortgage_schedule[[#This Row],[Loan Balance (BOY) Without Extra Principal Payments]]&gt;1,monthly_principal_and_interest-monthly_mortgage_schedule[[#This Row],[Interest Without Extra Principal Payments]],0)</f>
        <v>1578.2521264794932</v>
      </c>
      <c r="AI233" s="4">
        <f>AI232+monthly_mortgage_schedule[[#This Row],[Principal Without Extra Principal Payments]]</f>
        <v>215483.74448706929</v>
      </c>
      <c r="AJ233" s="4">
        <f>monthly_mortgage_schedule[[#This Row],[Cumulative Principal Without Extra Principal Payments]]+down_payment_dollars</f>
        <v>275483.74448706931</v>
      </c>
      <c r="AK233" s="200">
        <f t="shared" si="23"/>
        <v>0</v>
      </c>
      <c r="AL23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324516.2555129308</v>
      </c>
      <c r="AN233" s="196">
        <f>monthly_mortgage_schedule[[#This Row],[Extra Payments Towards Equity]]+AN232+IF(monthly_mortgage_schedule[[#This Row],[Interest With Extra Principal Payments]]&gt;0,monthly_mortgage_schedule[[#This Row],[Interest Without Extra Principal Payments]]-monthly_mortgage_schedule[[#This Row],[Interest With Extra Principal Payments]],0)</f>
        <v>54671.74909423833</v>
      </c>
      <c r="AO233" s="4">
        <f>AO232+IF(monthly_mortgage_schedule[[#This Row],[Interest With Extra Principal Payments]]&gt;0,monthly_mortgage_schedule[[#This Row],[Interest Without Extra Principal Payments]]-monthly_mortgage_schedule[[#This Row],[Interest With Extra Principal Payments]],0)</f>
        <v>22421.749094238316</v>
      </c>
      <c r="AP233" s="4">
        <f>AP232+monthly_mortgage_schedule[[#This Row],[PMI Without Extra Principal Payments]]-monthly_mortgage_schedule[[#This Row],[PMI with Additional Payments]]</f>
        <v>990</v>
      </c>
      <c r="AQ233" s="4">
        <f t="shared" si="26"/>
        <v>69820.895939883587</v>
      </c>
      <c r="AR233" s="4">
        <f>Table60[[#This Row],[Cumulative Investments]]-monthly_mortgage_schedule[[#This Row],[Cumulative Extra Payments Towards Equity]]</f>
        <v>37570.895939883587</v>
      </c>
    </row>
    <row r="234" spans="9:44" x14ac:dyDescent="0.25">
      <c r="I234">
        <v>217</v>
      </c>
      <c r="J234">
        <f>IF(MOD(ROWS($J$18:J233),12)=0,J233+1,J233)</f>
        <v>2040</v>
      </c>
      <c r="K234" s="198">
        <f>IF(M234="#N/A",NA(),monthly_mortgage_schedule[[#This Row],[Month]])</f>
        <v>217</v>
      </c>
      <c r="L234" s="198">
        <f>IF(monthly_mortgage_schedule[[#This Row],[Calendar Year]]&gt;=$C$7,monthly_mortgage_schedule[[#This Row],[Calendar Year]],NA())</f>
        <v>2040</v>
      </c>
      <c r="M234" s="199">
        <f>IF((monthly_mortgage_schedule[[#This Row],[Calendar Year]]&gt;=$C$7)*(monthly_mortgage_schedule[[#This Row],[Calendar Year]]&lt;=$C$9),monthly_mortgage_schedule[[#This Row],[Begin Year (Range)]],NA())</f>
        <v>2040</v>
      </c>
      <c r="N234" s="214">
        <f>IF((monthly_mortgage_schedule[[#This Row],[Year (Range)]]&gt;=$C$7)*(monthly_mortgage_schedule[[#This Row],[Year (Range)]]&lt;=$C$9),X234,NA())</f>
        <v>1259.2743632872309</v>
      </c>
      <c r="O234" s="214">
        <f>IF((monthly_mortgage_schedule[[#This Row],[Year (Range)]]&gt;=$C$7)*(monthly_mortgage_schedule[[#This Row],[Year (Range)]]&lt;=$C$9),Y234,NA())</f>
        <v>1840.7521321761772</v>
      </c>
      <c r="P234" s="214">
        <f>IF((monthly_mortgage_schedule[[#This Row],[Year (Range)]]&gt;=$C$7)*(monthly_mortgage_schedule[[#This Row],[Year (Range)]]&lt;=$C$9),AG234,NA())</f>
        <v>1514.4091923936771</v>
      </c>
      <c r="Q234" s="214">
        <f>IF((monthly_mortgage_schedule[[#This Row],[Year (Range)]]&gt;=$C$7)*(monthly_mortgage_schedule[[#This Row],[Year (Range)]]&lt;=$C$9),AH234,NA())</f>
        <v>1585.617303069731</v>
      </c>
      <c r="R234" s="214">
        <f>IF((monthly_mortgage_schedule[[#This Row],[Year (Range)]]&gt;=$C$7)*(monthly_mortgage_schedule[[#This Row],[Year (Range)]]&lt;=$C$9),AO234,NA())</f>
        <v>22676.883923344762</v>
      </c>
      <c r="S234" s="214">
        <f>IF((monthly_mortgage_schedule[[#This Row],[Year (Range)]]&gt;=$C$7)*(monthly_mortgage_schedule[[#This Row],[Year (Range)]]&lt;=$C$9),AP234,NA())</f>
        <v>990</v>
      </c>
      <c r="T234" s="214">
        <f>IF((monthly_mortgage_schedule[[#This Row],[Year (Range)]]&gt;=$C$7)*(monthly_mortgage_schedule[[#This Row],[Year (Range)]]&lt;=$C$9),AR234,NA())</f>
        <v>38036.368579482805</v>
      </c>
      <c r="U234" s="214">
        <f>IF((monthly_mortgage_schedule[[#This Row],[Year (Range)]]&gt;=$C$7)*(monthly_mortgage_schedule[[#This Row],[Year (Range)]]&lt;=$C$9),AB234,NA())</f>
        <v>271996.2457134836</v>
      </c>
      <c r="V234" s="214">
        <f>IF((monthly_mortgage_schedule[[#This Row],[Year (Range)]]&gt;=$C$7)*(monthly_mortgage_schedule[[#This Row],[Year (Range)]]&lt;=$C$9),AI234,NA())</f>
        <v>217069.36179013902</v>
      </c>
      <c r="W234" s="187">
        <f t="shared" si="24"/>
        <v>269844.5064186923</v>
      </c>
      <c r="X234" s="4">
        <f t="shared" si="27"/>
        <v>1259.2743632872309</v>
      </c>
      <c r="Y234" s="4">
        <f t="shared" si="25"/>
        <v>1840.7521321761772</v>
      </c>
      <c r="Z234" s="4">
        <f>_xlfn.IFNA(INDEX(additional_mortgage_payments[],MATCH(monthly_mortgage_schedule[[#This Row],[Month]],additional_mortgage_payments[Month],0),3),0)</f>
        <v>0</v>
      </c>
      <c r="AA234" s="4">
        <f>AA233+monthly_mortgage_schedule[[#This Row],[Extra Payments Towards Equity]]</f>
        <v>32250</v>
      </c>
      <c r="AB234" s="4">
        <f>AB233+monthly_mortgage_schedule[[#This Row],[Principal With Extra Principal Payments]]+monthly_mortgage_schedule[[#This Row],[Extra Payments Towards Equity]]</f>
        <v>271996.2457134836</v>
      </c>
      <c r="AC234" s="4">
        <f>monthly_mortgage_schedule[[#This Row],[Cumulative Principal With Extra Principal Payments]]+down_payment_dollars</f>
        <v>331996.2457134836</v>
      </c>
      <c r="AD234" s="200">
        <f t="shared" si="22"/>
        <v>0</v>
      </c>
      <c r="AE23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268003.75428651611</v>
      </c>
      <c r="AF234" s="187">
        <f t="shared" si="28"/>
        <v>324516.2555129308</v>
      </c>
      <c r="AG234" s="4">
        <f>IF(monthly_mortgage_schedule[[#This Row],[Loan Balance (BOY) Without Extra Principal Payments]]&gt;0,monthly_mortgage_schedule[[#This Row],[Loan Balance (BOY) Without Extra Principal Payments]]*monthly_interest_rate,0)</f>
        <v>1514.4091923936771</v>
      </c>
      <c r="AH234" s="4">
        <f>IF(monthly_mortgage_schedule[[#This Row],[Loan Balance (BOY) Without Extra Principal Payments]]&gt;1,monthly_principal_and_interest-monthly_mortgage_schedule[[#This Row],[Interest Without Extra Principal Payments]],0)</f>
        <v>1585.617303069731</v>
      </c>
      <c r="AI234" s="4">
        <f>AI233+monthly_mortgage_schedule[[#This Row],[Principal Without Extra Principal Payments]]</f>
        <v>217069.36179013902</v>
      </c>
      <c r="AJ234" s="4">
        <f>monthly_mortgage_schedule[[#This Row],[Cumulative Principal Without Extra Principal Payments]]+down_payment_dollars</f>
        <v>277069.361790139</v>
      </c>
      <c r="AK234" s="200">
        <f t="shared" si="23"/>
        <v>0</v>
      </c>
      <c r="AL23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322930.63820986106</v>
      </c>
      <c r="AN234" s="196">
        <f>monthly_mortgage_schedule[[#This Row],[Extra Payments Towards Equity]]+AN233+IF(monthly_mortgage_schedule[[#This Row],[Interest With Extra Principal Payments]]&gt;0,monthly_mortgage_schedule[[#This Row],[Interest Without Extra Principal Payments]]-monthly_mortgage_schedule[[#This Row],[Interest With Extra Principal Payments]],0)</f>
        <v>54926.88392334478</v>
      </c>
      <c r="AO234" s="4">
        <f>AO233+IF(monthly_mortgage_schedule[[#This Row],[Interest With Extra Principal Payments]]&gt;0,monthly_mortgage_schedule[[#This Row],[Interest Without Extra Principal Payments]]-monthly_mortgage_schedule[[#This Row],[Interest With Extra Principal Payments]],0)</f>
        <v>22676.883923344762</v>
      </c>
      <c r="AP234" s="4">
        <f>AP233+monthly_mortgage_schedule[[#This Row],[PMI Without Extra Principal Payments]]-monthly_mortgage_schedule[[#This Row],[PMI with Additional Payments]]</f>
        <v>990</v>
      </c>
      <c r="AQ234" s="4">
        <f t="shared" si="26"/>
        <v>70286.368579482805</v>
      </c>
      <c r="AR234" s="4">
        <f>Table60[[#This Row],[Cumulative Investments]]-monthly_mortgage_schedule[[#This Row],[Cumulative Extra Payments Towards Equity]]</f>
        <v>38036.368579482805</v>
      </c>
    </row>
    <row r="235" spans="9:44" x14ac:dyDescent="0.25">
      <c r="I235">
        <v>218</v>
      </c>
      <c r="J235">
        <f>IF(MOD(ROWS($J$18:J234),12)=0,J234+1,J234)</f>
        <v>2040</v>
      </c>
      <c r="K235" s="198">
        <f>IF(M235="#N/A",NA(),monthly_mortgage_schedule[[#This Row],[Month]])</f>
        <v>218</v>
      </c>
      <c r="L235" s="198">
        <f>IF(monthly_mortgage_schedule[[#This Row],[Calendar Year]]&gt;=$C$7,monthly_mortgage_schedule[[#This Row],[Calendar Year]],NA())</f>
        <v>2040</v>
      </c>
      <c r="M235" s="199">
        <f>IF((monthly_mortgage_schedule[[#This Row],[Calendar Year]]&gt;=$C$7)*(monthly_mortgage_schedule[[#This Row],[Calendar Year]]&lt;=$C$9),monthly_mortgage_schedule[[#This Row],[Begin Year (Range)]],NA())</f>
        <v>2040</v>
      </c>
      <c r="N235" s="214">
        <f>IF((monthly_mortgage_schedule[[#This Row],[Year (Range)]]&gt;=$C$7)*(monthly_mortgage_schedule[[#This Row],[Year (Range)]]&lt;=$C$9),X235,NA())</f>
        <v>1250.6841866704085</v>
      </c>
      <c r="O235" s="214">
        <f>IF((monthly_mortgage_schedule[[#This Row],[Year (Range)]]&gt;=$C$7)*(monthly_mortgage_schedule[[#This Row],[Year (Range)]]&lt;=$C$9),Y235,NA())</f>
        <v>1849.3423087929996</v>
      </c>
      <c r="P235" s="214">
        <f>IF((monthly_mortgage_schedule[[#This Row],[Year (Range)]]&gt;=$C$7)*(monthly_mortgage_schedule[[#This Row],[Year (Range)]]&lt;=$C$9),AG235,NA())</f>
        <v>1507.0096449793518</v>
      </c>
      <c r="Q235" s="214">
        <f>IF((monthly_mortgage_schedule[[#This Row],[Year (Range)]]&gt;=$C$7)*(monthly_mortgage_schedule[[#This Row],[Year (Range)]]&lt;=$C$9),AH235,NA())</f>
        <v>1593.0168504840562</v>
      </c>
      <c r="R235" s="214">
        <f>IF((monthly_mortgage_schedule[[#This Row],[Year (Range)]]&gt;=$C$7)*(monthly_mortgage_schedule[[#This Row],[Year (Range)]]&lt;=$C$9),AO235,NA())</f>
        <v>22933.209381653705</v>
      </c>
      <c r="S235" s="214">
        <f>IF((monthly_mortgage_schedule[[#This Row],[Year (Range)]]&gt;=$C$7)*(monthly_mortgage_schedule[[#This Row],[Year (Range)]]&lt;=$C$9),AP235,NA())</f>
        <v>990</v>
      </c>
      <c r="T235" s="214">
        <f>IF((monthly_mortgage_schedule[[#This Row],[Year (Range)]]&gt;=$C$7)*(monthly_mortgage_schedule[[#This Row],[Year (Range)]]&lt;=$C$9),AR235,NA())</f>
        <v>38504.944370012687</v>
      </c>
      <c r="U235" s="214">
        <f>IF((monthly_mortgage_schedule[[#This Row],[Year (Range)]]&gt;=$C$7)*(monthly_mortgage_schedule[[#This Row],[Year (Range)]]&lt;=$C$9),AB235,NA())</f>
        <v>273845.58802227658</v>
      </c>
      <c r="V235" s="214">
        <f>IF((monthly_mortgage_schedule[[#This Row],[Year (Range)]]&gt;=$C$7)*(monthly_mortgage_schedule[[#This Row],[Year (Range)]]&lt;=$C$9),AI235,NA())</f>
        <v>218662.37864062309</v>
      </c>
      <c r="W235" s="187">
        <f t="shared" si="24"/>
        <v>268003.75428651611</v>
      </c>
      <c r="X235" s="4">
        <f t="shared" si="27"/>
        <v>1250.6841866704085</v>
      </c>
      <c r="Y235" s="4">
        <f t="shared" si="25"/>
        <v>1849.3423087929996</v>
      </c>
      <c r="Z235" s="4">
        <f>_xlfn.IFNA(INDEX(additional_mortgage_payments[],MATCH(monthly_mortgage_schedule[[#This Row],[Month]],additional_mortgage_payments[Month],0),3),0)</f>
        <v>0</v>
      </c>
      <c r="AA235" s="4">
        <f>AA234+monthly_mortgage_schedule[[#This Row],[Extra Payments Towards Equity]]</f>
        <v>32250</v>
      </c>
      <c r="AB235" s="4">
        <f>AB234+monthly_mortgage_schedule[[#This Row],[Principal With Extra Principal Payments]]+monthly_mortgage_schedule[[#This Row],[Extra Payments Towards Equity]]</f>
        <v>273845.58802227658</v>
      </c>
      <c r="AC235" s="4">
        <f>monthly_mortgage_schedule[[#This Row],[Cumulative Principal With Extra Principal Payments]]+down_payment_dollars</f>
        <v>333845.58802227658</v>
      </c>
      <c r="AD235" s="200">
        <f t="shared" si="22"/>
        <v>0</v>
      </c>
      <c r="AE23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266154.41197772312</v>
      </c>
      <c r="AF235" s="187">
        <f t="shared" si="28"/>
        <v>322930.63820986106</v>
      </c>
      <c r="AG235" s="4">
        <f>IF(monthly_mortgage_schedule[[#This Row],[Loan Balance (BOY) Without Extra Principal Payments]]&gt;0,monthly_mortgage_schedule[[#This Row],[Loan Balance (BOY) Without Extra Principal Payments]]*monthly_interest_rate,0)</f>
        <v>1507.0096449793518</v>
      </c>
      <c r="AH235" s="4">
        <f>IF(monthly_mortgage_schedule[[#This Row],[Loan Balance (BOY) Without Extra Principal Payments]]&gt;1,monthly_principal_and_interest-monthly_mortgage_schedule[[#This Row],[Interest Without Extra Principal Payments]],0)</f>
        <v>1593.0168504840562</v>
      </c>
      <c r="AI235" s="4">
        <f>AI234+monthly_mortgage_schedule[[#This Row],[Principal Without Extra Principal Payments]]</f>
        <v>218662.37864062309</v>
      </c>
      <c r="AJ235" s="4">
        <f>monthly_mortgage_schedule[[#This Row],[Cumulative Principal Without Extra Principal Payments]]+down_payment_dollars</f>
        <v>278662.37864062306</v>
      </c>
      <c r="AK235" s="200">
        <f t="shared" si="23"/>
        <v>0</v>
      </c>
      <c r="AL23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321337.62135937699</v>
      </c>
      <c r="AN235" s="196">
        <f>monthly_mortgage_schedule[[#This Row],[Extra Payments Towards Equity]]+AN234+IF(monthly_mortgage_schedule[[#This Row],[Interest With Extra Principal Payments]]&gt;0,monthly_mortgage_schedule[[#This Row],[Interest Without Extra Principal Payments]]-monthly_mortgage_schedule[[#This Row],[Interest With Extra Principal Payments]],0)</f>
        <v>55183.209381653724</v>
      </c>
      <c r="AO235" s="4">
        <f>AO234+IF(monthly_mortgage_schedule[[#This Row],[Interest With Extra Principal Payments]]&gt;0,monthly_mortgage_schedule[[#This Row],[Interest Without Extra Principal Payments]]-monthly_mortgage_schedule[[#This Row],[Interest With Extra Principal Payments]],0)</f>
        <v>22933.209381653705</v>
      </c>
      <c r="AP235" s="4">
        <f>AP234+monthly_mortgage_schedule[[#This Row],[PMI Without Extra Principal Payments]]-monthly_mortgage_schedule[[#This Row],[PMI with Additional Payments]]</f>
        <v>990</v>
      </c>
      <c r="AQ235" s="4">
        <f t="shared" si="26"/>
        <v>70754.944370012687</v>
      </c>
      <c r="AR235" s="4">
        <f>Table60[[#This Row],[Cumulative Investments]]-monthly_mortgage_schedule[[#This Row],[Cumulative Extra Payments Towards Equity]]</f>
        <v>38504.944370012687</v>
      </c>
    </row>
    <row r="236" spans="9:44" x14ac:dyDescent="0.25">
      <c r="I236">
        <v>219</v>
      </c>
      <c r="J236">
        <f>IF(MOD(ROWS($J$18:J235),12)=0,J235+1,J235)</f>
        <v>2040</v>
      </c>
      <c r="K236" s="198">
        <f>IF(M236="#N/A",NA(),monthly_mortgage_schedule[[#This Row],[Month]])</f>
        <v>219</v>
      </c>
      <c r="L236" s="198">
        <f>IF(monthly_mortgage_schedule[[#This Row],[Calendar Year]]&gt;=$C$7,monthly_mortgage_schedule[[#This Row],[Calendar Year]],NA())</f>
        <v>2040</v>
      </c>
      <c r="M236" s="199">
        <f>IF((monthly_mortgage_schedule[[#This Row],[Calendar Year]]&gt;=$C$7)*(monthly_mortgage_schedule[[#This Row],[Calendar Year]]&lt;=$C$9),monthly_mortgage_schedule[[#This Row],[Begin Year (Range)]],NA())</f>
        <v>2040</v>
      </c>
      <c r="N236" s="214">
        <f>IF((monthly_mortgage_schedule[[#This Row],[Year (Range)]]&gt;=$C$7)*(monthly_mortgage_schedule[[#This Row],[Year (Range)]]&lt;=$C$9),X236,NA())</f>
        <v>1242.0539225627081</v>
      </c>
      <c r="O236" s="214">
        <f>IF((monthly_mortgage_schedule[[#This Row],[Year (Range)]]&gt;=$C$7)*(monthly_mortgage_schedule[[#This Row],[Year (Range)]]&lt;=$C$9),Y236,NA())</f>
        <v>1857.9725729007</v>
      </c>
      <c r="P236" s="214">
        <f>IF((monthly_mortgage_schedule[[#This Row],[Year (Range)]]&gt;=$C$7)*(monthly_mortgage_schedule[[#This Row],[Year (Range)]]&lt;=$C$9),AG236,NA())</f>
        <v>1499.5755663437594</v>
      </c>
      <c r="Q236" s="214">
        <f>IF((monthly_mortgage_schedule[[#This Row],[Year (Range)]]&gt;=$C$7)*(monthly_mortgage_schedule[[#This Row],[Year (Range)]]&lt;=$C$9),AH236,NA())</f>
        <v>1600.4509291196487</v>
      </c>
      <c r="R236" s="214">
        <f>IF((monthly_mortgage_schedule[[#This Row],[Year (Range)]]&gt;=$C$7)*(monthly_mortgage_schedule[[#This Row],[Year (Range)]]&lt;=$C$9),AO236,NA())</f>
        <v>23190.731025434758</v>
      </c>
      <c r="S236" s="214">
        <f>IF((monthly_mortgage_schedule[[#This Row],[Year (Range)]]&gt;=$C$7)*(monthly_mortgage_schedule[[#This Row],[Year (Range)]]&lt;=$C$9),AP236,NA())</f>
        <v>990</v>
      </c>
      <c r="T236" s="214">
        <f>IF((monthly_mortgage_schedule[[#This Row],[Year (Range)]]&gt;=$C$7)*(monthly_mortgage_schedule[[#This Row],[Year (Range)]]&lt;=$C$9),AR236,NA())</f>
        <v>38976.643999146094</v>
      </c>
      <c r="U236" s="214">
        <f>IF((monthly_mortgage_schedule[[#This Row],[Year (Range)]]&gt;=$C$7)*(monthly_mortgage_schedule[[#This Row],[Year (Range)]]&lt;=$C$9),AB236,NA())</f>
        <v>275703.56059517729</v>
      </c>
      <c r="V236" s="214">
        <f>IF((monthly_mortgage_schedule[[#This Row],[Year (Range)]]&gt;=$C$7)*(monthly_mortgage_schedule[[#This Row],[Year (Range)]]&lt;=$C$9),AI236,NA())</f>
        <v>220262.82956974275</v>
      </c>
      <c r="W236" s="187">
        <f t="shared" si="24"/>
        <v>266154.41197772312</v>
      </c>
      <c r="X236" s="4">
        <f t="shared" si="27"/>
        <v>1242.0539225627081</v>
      </c>
      <c r="Y236" s="4">
        <f t="shared" si="25"/>
        <v>1857.9725729007</v>
      </c>
      <c r="Z236" s="4">
        <f>_xlfn.IFNA(INDEX(additional_mortgage_payments[],MATCH(monthly_mortgage_schedule[[#This Row],[Month]],additional_mortgage_payments[Month],0),3),0)</f>
        <v>0</v>
      </c>
      <c r="AA236" s="4">
        <f>AA235+monthly_mortgage_schedule[[#This Row],[Extra Payments Towards Equity]]</f>
        <v>32250</v>
      </c>
      <c r="AB236" s="4">
        <f>AB235+monthly_mortgage_schedule[[#This Row],[Principal With Extra Principal Payments]]+monthly_mortgage_schedule[[#This Row],[Extra Payments Towards Equity]]</f>
        <v>275703.56059517729</v>
      </c>
      <c r="AC236" s="4">
        <f>monthly_mortgage_schedule[[#This Row],[Cumulative Principal With Extra Principal Payments]]+down_payment_dollars</f>
        <v>335703.56059517729</v>
      </c>
      <c r="AD236" s="200">
        <f t="shared" si="22"/>
        <v>0</v>
      </c>
      <c r="AE23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264296.43940482242</v>
      </c>
      <c r="AF236" s="187">
        <f t="shared" si="28"/>
        <v>321337.62135937699</v>
      </c>
      <c r="AG236" s="4">
        <f>IF(monthly_mortgage_schedule[[#This Row],[Loan Balance (BOY) Without Extra Principal Payments]]&gt;0,monthly_mortgage_schedule[[#This Row],[Loan Balance (BOY) Without Extra Principal Payments]]*monthly_interest_rate,0)</f>
        <v>1499.5755663437594</v>
      </c>
      <c r="AH236" s="4">
        <f>IF(monthly_mortgage_schedule[[#This Row],[Loan Balance (BOY) Without Extra Principal Payments]]&gt;1,monthly_principal_and_interest-monthly_mortgage_schedule[[#This Row],[Interest Without Extra Principal Payments]],0)</f>
        <v>1600.4509291196487</v>
      </c>
      <c r="AI236" s="4">
        <f>AI235+monthly_mortgage_schedule[[#This Row],[Principal Without Extra Principal Payments]]</f>
        <v>220262.82956974275</v>
      </c>
      <c r="AJ236" s="4">
        <f>monthly_mortgage_schedule[[#This Row],[Cumulative Principal Without Extra Principal Payments]]+down_payment_dollars</f>
        <v>280262.82956974278</v>
      </c>
      <c r="AK236" s="200">
        <f t="shared" si="23"/>
        <v>0</v>
      </c>
      <c r="AL23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319737.17043025733</v>
      </c>
      <c r="AN236" s="196">
        <f>monthly_mortgage_schedule[[#This Row],[Extra Payments Towards Equity]]+AN235+IF(monthly_mortgage_schedule[[#This Row],[Interest With Extra Principal Payments]]&gt;0,monthly_mortgage_schedule[[#This Row],[Interest Without Extra Principal Payments]]-monthly_mortgage_schedule[[#This Row],[Interest With Extra Principal Payments]],0)</f>
        <v>55440.731025434776</v>
      </c>
      <c r="AO236" s="4">
        <f>AO235+IF(monthly_mortgage_schedule[[#This Row],[Interest With Extra Principal Payments]]&gt;0,monthly_mortgage_schedule[[#This Row],[Interest Without Extra Principal Payments]]-monthly_mortgage_schedule[[#This Row],[Interest With Extra Principal Payments]],0)</f>
        <v>23190.731025434758</v>
      </c>
      <c r="AP236" s="4">
        <f>AP235+monthly_mortgage_schedule[[#This Row],[PMI Without Extra Principal Payments]]-monthly_mortgage_schedule[[#This Row],[PMI with Additional Payments]]</f>
        <v>990</v>
      </c>
      <c r="AQ236" s="4">
        <f t="shared" si="26"/>
        <v>71226.643999146094</v>
      </c>
      <c r="AR236" s="4">
        <f>Table60[[#This Row],[Cumulative Investments]]-monthly_mortgage_schedule[[#This Row],[Cumulative Extra Payments Towards Equity]]</f>
        <v>38976.643999146094</v>
      </c>
    </row>
    <row r="237" spans="9:44" x14ac:dyDescent="0.25">
      <c r="I237">
        <v>220</v>
      </c>
      <c r="J237">
        <f>IF(MOD(ROWS($J$18:J236),12)=0,J236+1,J236)</f>
        <v>2040</v>
      </c>
      <c r="K237" s="198">
        <f>IF(M237="#N/A",NA(),monthly_mortgage_schedule[[#This Row],[Month]])</f>
        <v>220</v>
      </c>
      <c r="L237" s="198">
        <f>IF(monthly_mortgage_schedule[[#This Row],[Calendar Year]]&gt;=$C$7,monthly_mortgage_schedule[[#This Row],[Calendar Year]],NA())</f>
        <v>2040</v>
      </c>
      <c r="M237" s="199">
        <f>IF((monthly_mortgage_schedule[[#This Row],[Calendar Year]]&gt;=$C$7)*(monthly_mortgage_schedule[[#This Row],[Calendar Year]]&lt;=$C$9),monthly_mortgage_schedule[[#This Row],[Begin Year (Range)]],NA())</f>
        <v>2040</v>
      </c>
      <c r="N237" s="214">
        <f>IF((monthly_mortgage_schedule[[#This Row],[Year (Range)]]&gt;=$C$7)*(monthly_mortgage_schedule[[#This Row],[Year (Range)]]&lt;=$C$9),X237,NA())</f>
        <v>1233.3833838891715</v>
      </c>
      <c r="O237" s="214">
        <f>IF((monthly_mortgage_schedule[[#This Row],[Year (Range)]]&gt;=$C$7)*(monthly_mortgage_schedule[[#This Row],[Year (Range)]]&lt;=$C$9),Y237,NA())</f>
        <v>1866.6431115742366</v>
      </c>
      <c r="P237" s="214">
        <f>IF((monthly_mortgage_schedule[[#This Row],[Year (Range)]]&gt;=$C$7)*(monthly_mortgage_schedule[[#This Row],[Year (Range)]]&lt;=$C$9),AG237,NA())</f>
        <v>1492.106795341201</v>
      </c>
      <c r="Q237" s="214">
        <f>IF((monthly_mortgage_schedule[[#This Row],[Year (Range)]]&gt;=$C$7)*(monthly_mortgage_schedule[[#This Row],[Year (Range)]]&lt;=$C$9),AH237,NA())</f>
        <v>1607.9197001222071</v>
      </c>
      <c r="R237" s="214">
        <f>IF((monthly_mortgage_schedule[[#This Row],[Year (Range)]]&gt;=$C$7)*(monthly_mortgage_schedule[[#This Row],[Year (Range)]]&lt;=$C$9),AO237,NA())</f>
        <v>23449.454436886786</v>
      </c>
      <c r="S237" s="214">
        <f>IF((monthly_mortgage_schedule[[#This Row],[Year (Range)]]&gt;=$C$7)*(monthly_mortgage_schedule[[#This Row],[Year (Range)]]&lt;=$C$9),AP237,NA())</f>
        <v>990</v>
      </c>
      <c r="T237" s="214">
        <f>IF((monthly_mortgage_schedule[[#This Row],[Year (Range)]]&gt;=$C$7)*(monthly_mortgage_schedule[[#This Row],[Year (Range)]]&lt;=$C$9),AR237,NA())</f>
        <v>39454.821625807061</v>
      </c>
      <c r="U237" s="214">
        <f>IF((monthly_mortgage_schedule[[#This Row],[Year (Range)]]&gt;=$C$7)*(monthly_mortgage_schedule[[#This Row],[Year (Range)]]&lt;=$C$9),AB237,NA())</f>
        <v>278070.20370675152</v>
      </c>
      <c r="V237" s="214">
        <f>IF((monthly_mortgage_schedule[[#This Row],[Year (Range)]]&gt;=$C$7)*(monthly_mortgage_schedule[[#This Row],[Year (Range)]]&lt;=$C$9),AI237,NA())</f>
        <v>221870.74926986496</v>
      </c>
      <c r="W237" s="187">
        <f t="shared" si="24"/>
        <v>264296.43940482242</v>
      </c>
      <c r="X237" s="4">
        <f t="shared" si="27"/>
        <v>1233.3833838891715</v>
      </c>
      <c r="Y237" s="4">
        <f t="shared" si="25"/>
        <v>1866.6431115742366</v>
      </c>
      <c r="Z237" s="4">
        <f>_xlfn.IFNA(INDEX(additional_mortgage_payments[],MATCH(monthly_mortgage_schedule[[#This Row],[Month]],additional_mortgage_payments[Month],0),3),0)</f>
        <v>500</v>
      </c>
      <c r="AA237" s="4">
        <f>AA236+monthly_mortgage_schedule[[#This Row],[Extra Payments Towards Equity]]</f>
        <v>32750</v>
      </c>
      <c r="AB237" s="4">
        <f>AB236+monthly_mortgage_schedule[[#This Row],[Principal With Extra Principal Payments]]+monthly_mortgage_schedule[[#This Row],[Extra Payments Towards Equity]]</f>
        <v>278070.20370675152</v>
      </c>
      <c r="AC237" s="4">
        <f>monthly_mortgage_schedule[[#This Row],[Cumulative Principal With Extra Principal Payments]]+down_payment_dollars</f>
        <v>338070.20370675152</v>
      </c>
      <c r="AD237" s="200">
        <f t="shared" si="22"/>
        <v>0</v>
      </c>
      <c r="AE23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261929.79629324819</v>
      </c>
      <c r="AF237" s="187">
        <f t="shared" si="28"/>
        <v>319737.17043025733</v>
      </c>
      <c r="AG237" s="4">
        <f>IF(monthly_mortgage_schedule[[#This Row],[Loan Balance (BOY) Without Extra Principal Payments]]&gt;0,monthly_mortgage_schedule[[#This Row],[Loan Balance (BOY) Without Extra Principal Payments]]*monthly_interest_rate,0)</f>
        <v>1492.106795341201</v>
      </c>
      <c r="AH237" s="4">
        <f>IF(monthly_mortgage_schedule[[#This Row],[Loan Balance (BOY) Without Extra Principal Payments]]&gt;1,monthly_principal_and_interest-monthly_mortgage_schedule[[#This Row],[Interest Without Extra Principal Payments]],0)</f>
        <v>1607.9197001222071</v>
      </c>
      <c r="AI237" s="4">
        <f>AI236+monthly_mortgage_schedule[[#This Row],[Principal Without Extra Principal Payments]]</f>
        <v>221870.74926986496</v>
      </c>
      <c r="AJ237" s="4">
        <f>monthly_mortgage_schedule[[#This Row],[Cumulative Principal Without Extra Principal Payments]]+down_payment_dollars</f>
        <v>281870.74926986499</v>
      </c>
      <c r="AK237" s="200">
        <f t="shared" si="23"/>
        <v>0</v>
      </c>
      <c r="AL23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318129.25073013513</v>
      </c>
      <c r="AN237" s="196">
        <f>monthly_mortgage_schedule[[#This Row],[Extra Payments Towards Equity]]+AN236+IF(monthly_mortgage_schedule[[#This Row],[Interest With Extra Principal Payments]]&gt;0,monthly_mortgage_schedule[[#This Row],[Interest Without Extra Principal Payments]]-monthly_mortgage_schedule[[#This Row],[Interest With Extra Principal Payments]],0)</f>
        <v>56199.454436886808</v>
      </c>
      <c r="AO237" s="4">
        <f>AO236+IF(monthly_mortgage_schedule[[#This Row],[Interest With Extra Principal Payments]]&gt;0,monthly_mortgage_schedule[[#This Row],[Interest Without Extra Principal Payments]]-monthly_mortgage_schedule[[#This Row],[Interest With Extra Principal Payments]],0)</f>
        <v>23449.454436886786</v>
      </c>
      <c r="AP237" s="4">
        <f>AP236+monthly_mortgage_schedule[[#This Row],[PMI Without Extra Principal Payments]]-monthly_mortgage_schedule[[#This Row],[PMI with Additional Payments]]</f>
        <v>990</v>
      </c>
      <c r="AQ237" s="4">
        <f t="shared" si="26"/>
        <v>72204.821625807061</v>
      </c>
      <c r="AR237" s="4">
        <f>Table60[[#This Row],[Cumulative Investments]]-monthly_mortgage_schedule[[#This Row],[Cumulative Extra Payments Towards Equity]]</f>
        <v>39454.821625807061</v>
      </c>
    </row>
    <row r="238" spans="9:44" x14ac:dyDescent="0.25">
      <c r="I238">
        <v>221</v>
      </c>
      <c r="J238">
        <f>IF(MOD(ROWS($J$18:J237),12)=0,J237+1,J237)</f>
        <v>2040</v>
      </c>
      <c r="K238" s="198">
        <f>IF(M238="#N/A",NA(),monthly_mortgage_schedule[[#This Row],[Month]])</f>
        <v>221</v>
      </c>
      <c r="L238" s="198">
        <f>IF(monthly_mortgage_schedule[[#This Row],[Calendar Year]]&gt;=$C$7,monthly_mortgage_schedule[[#This Row],[Calendar Year]],NA())</f>
        <v>2040</v>
      </c>
      <c r="M238" s="199">
        <f>IF((monthly_mortgage_schedule[[#This Row],[Calendar Year]]&gt;=$C$7)*(monthly_mortgage_schedule[[#This Row],[Calendar Year]]&lt;=$C$9),monthly_mortgage_schedule[[#This Row],[Begin Year (Range)]],NA())</f>
        <v>2040</v>
      </c>
      <c r="N238" s="214">
        <f>IF((monthly_mortgage_schedule[[#This Row],[Year (Range)]]&gt;=$C$7)*(monthly_mortgage_schedule[[#This Row],[Year (Range)]]&lt;=$C$9),X238,NA())</f>
        <v>1222.3390493684917</v>
      </c>
      <c r="O238" s="214">
        <f>IF((monthly_mortgage_schedule[[#This Row],[Year (Range)]]&gt;=$C$7)*(monthly_mortgage_schedule[[#This Row],[Year (Range)]]&lt;=$C$9),Y238,NA())</f>
        <v>1877.6874460949164</v>
      </c>
      <c r="P238" s="214">
        <f>IF((monthly_mortgage_schedule[[#This Row],[Year (Range)]]&gt;=$C$7)*(monthly_mortgage_schedule[[#This Row],[Year (Range)]]&lt;=$C$9),AG238,NA())</f>
        <v>1484.6031700739641</v>
      </c>
      <c r="Q238" s="214">
        <f>IF((monthly_mortgage_schedule[[#This Row],[Year (Range)]]&gt;=$C$7)*(monthly_mortgage_schedule[[#This Row],[Year (Range)]]&lt;=$C$9),AH238,NA())</f>
        <v>1615.423325389444</v>
      </c>
      <c r="R238" s="214">
        <f>IF((monthly_mortgage_schedule[[#This Row],[Year (Range)]]&gt;=$C$7)*(monthly_mortgage_schedule[[#This Row],[Year (Range)]]&lt;=$C$9),AO238,NA())</f>
        <v>23711.718557592259</v>
      </c>
      <c r="S238" s="214">
        <f>IF((monthly_mortgage_schedule[[#This Row],[Year (Range)]]&gt;=$C$7)*(monthly_mortgage_schedule[[#This Row],[Year (Range)]]&lt;=$C$9),AP238,NA())</f>
        <v>990</v>
      </c>
      <c r="T238" s="214">
        <f>IF((monthly_mortgage_schedule[[#This Row],[Year (Range)]]&gt;=$C$7)*(monthly_mortgage_schedule[[#This Row],[Year (Range)]]&lt;=$C$9),AR238,NA())</f>
        <v>39936.187103312433</v>
      </c>
      <c r="U238" s="214">
        <f>IF((monthly_mortgage_schedule[[#This Row],[Year (Range)]]&gt;=$C$7)*(monthly_mortgage_schedule[[#This Row],[Year (Range)]]&lt;=$C$9),AB238,NA())</f>
        <v>279947.89115284645</v>
      </c>
      <c r="V238" s="214">
        <f>IF((monthly_mortgage_schedule[[#This Row],[Year (Range)]]&gt;=$C$7)*(monthly_mortgage_schedule[[#This Row],[Year (Range)]]&lt;=$C$9),AI238,NA())</f>
        <v>223486.17259525441</v>
      </c>
      <c r="W238" s="187">
        <f t="shared" si="24"/>
        <v>261929.79629324819</v>
      </c>
      <c r="X238" s="4">
        <f t="shared" si="27"/>
        <v>1222.3390493684917</v>
      </c>
      <c r="Y238" s="4">
        <f t="shared" si="25"/>
        <v>1877.6874460949164</v>
      </c>
      <c r="Z238" s="4">
        <f>_xlfn.IFNA(INDEX(additional_mortgage_payments[],MATCH(monthly_mortgage_schedule[[#This Row],[Month]],additional_mortgage_payments[Month],0),3),0)</f>
        <v>0</v>
      </c>
      <c r="AA238" s="4">
        <f>AA237+monthly_mortgage_schedule[[#This Row],[Extra Payments Towards Equity]]</f>
        <v>32750</v>
      </c>
      <c r="AB238" s="4">
        <f>AB237+monthly_mortgage_schedule[[#This Row],[Principal With Extra Principal Payments]]+monthly_mortgage_schedule[[#This Row],[Extra Payments Towards Equity]]</f>
        <v>279947.89115284645</v>
      </c>
      <c r="AC238" s="4">
        <f>monthly_mortgage_schedule[[#This Row],[Cumulative Principal With Extra Principal Payments]]+down_payment_dollars</f>
        <v>339947.89115284645</v>
      </c>
      <c r="AD238" s="200">
        <f t="shared" si="22"/>
        <v>0</v>
      </c>
      <c r="AE23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260052.10884715329</v>
      </c>
      <c r="AF238" s="187">
        <f t="shared" si="28"/>
        <v>318129.25073013513</v>
      </c>
      <c r="AG238" s="4">
        <f>IF(monthly_mortgage_schedule[[#This Row],[Loan Balance (BOY) Without Extra Principal Payments]]&gt;0,monthly_mortgage_schedule[[#This Row],[Loan Balance (BOY) Without Extra Principal Payments]]*monthly_interest_rate,0)</f>
        <v>1484.6031700739641</v>
      </c>
      <c r="AH238" s="4">
        <f>IF(monthly_mortgage_schedule[[#This Row],[Loan Balance (BOY) Without Extra Principal Payments]]&gt;1,monthly_principal_and_interest-monthly_mortgage_schedule[[#This Row],[Interest Without Extra Principal Payments]],0)</f>
        <v>1615.423325389444</v>
      </c>
      <c r="AI238" s="4">
        <f>AI237+monthly_mortgage_schedule[[#This Row],[Principal Without Extra Principal Payments]]</f>
        <v>223486.17259525441</v>
      </c>
      <c r="AJ238" s="4">
        <f>monthly_mortgage_schedule[[#This Row],[Cumulative Principal Without Extra Principal Payments]]+down_payment_dollars</f>
        <v>283486.17259525438</v>
      </c>
      <c r="AK238" s="200">
        <f t="shared" si="23"/>
        <v>0</v>
      </c>
      <c r="AL23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316513.82740474568</v>
      </c>
      <c r="AN238" s="196">
        <f>monthly_mortgage_schedule[[#This Row],[Extra Payments Towards Equity]]+AN237+IF(monthly_mortgage_schedule[[#This Row],[Interest With Extra Principal Payments]]&gt;0,monthly_mortgage_schedule[[#This Row],[Interest Without Extra Principal Payments]]-monthly_mortgage_schedule[[#This Row],[Interest With Extra Principal Payments]],0)</f>
        <v>56461.718557592278</v>
      </c>
      <c r="AO238" s="4">
        <f>AO237+IF(monthly_mortgage_schedule[[#This Row],[Interest With Extra Principal Payments]]&gt;0,monthly_mortgage_schedule[[#This Row],[Interest Without Extra Principal Payments]]-monthly_mortgage_schedule[[#This Row],[Interest With Extra Principal Payments]],0)</f>
        <v>23711.718557592259</v>
      </c>
      <c r="AP238" s="4">
        <f>AP237+monthly_mortgage_schedule[[#This Row],[PMI Without Extra Principal Payments]]-monthly_mortgage_schedule[[#This Row],[PMI with Additional Payments]]</f>
        <v>990</v>
      </c>
      <c r="AQ238" s="4">
        <f t="shared" si="26"/>
        <v>72686.187103312433</v>
      </c>
      <c r="AR238" s="4">
        <f>Table60[[#This Row],[Cumulative Investments]]-monthly_mortgage_schedule[[#This Row],[Cumulative Extra Payments Towards Equity]]</f>
        <v>39936.187103312433</v>
      </c>
    </row>
    <row r="239" spans="9:44" x14ac:dyDescent="0.25">
      <c r="I239">
        <v>222</v>
      </c>
      <c r="J239">
        <f>IF(MOD(ROWS($J$18:J238),12)=0,J238+1,J238)</f>
        <v>2040</v>
      </c>
      <c r="K239" s="198">
        <f>IF(M239="#N/A",NA(),monthly_mortgage_schedule[[#This Row],[Month]])</f>
        <v>222</v>
      </c>
      <c r="L239" s="198">
        <f>IF(monthly_mortgage_schedule[[#This Row],[Calendar Year]]&gt;=$C$7,monthly_mortgage_schedule[[#This Row],[Calendar Year]],NA())</f>
        <v>2040</v>
      </c>
      <c r="M239" s="199">
        <f>IF((monthly_mortgage_schedule[[#This Row],[Calendar Year]]&gt;=$C$7)*(monthly_mortgage_schedule[[#This Row],[Calendar Year]]&lt;=$C$9),monthly_mortgage_schedule[[#This Row],[Begin Year (Range)]],NA())</f>
        <v>2040</v>
      </c>
      <c r="N239" s="214">
        <f>IF((monthly_mortgage_schedule[[#This Row],[Year (Range)]]&gt;=$C$7)*(monthly_mortgage_schedule[[#This Row],[Year (Range)]]&lt;=$C$9),X239,NA())</f>
        <v>1213.5765079533821</v>
      </c>
      <c r="O239" s="214">
        <f>IF((monthly_mortgage_schedule[[#This Row],[Year (Range)]]&gt;=$C$7)*(monthly_mortgage_schedule[[#This Row],[Year (Range)]]&lt;=$C$9),Y239,NA())</f>
        <v>1886.4499875100259</v>
      </c>
      <c r="P239" s="214">
        <f>IF((monthly_mortgage_schedule[[#This Row],[Year (Range)]]&gt;=$C$7)*(monthly_mortgage_schedule[[#This Row],[Year (Range)]]&lt;=$C$9),AG239,NA())</f>
        <v>1477.0645278888132</v>
      </c>
      <c r="Q239" s="214">
        <f>IF((monthly_mortgage_schedule[[#This Row],[Year (Range)]]&gt;=$C$7)*(monthly_mortgage_schedule[[#This Row],[Year (Range)]]&lt;=$C$9),AH239,NA())</f>
        <v>1622.9619675745948</v>
      </c>
      <c r="R239" s="214">
        <f>IF((monthly_mortgage_schedule[[#This Row],[Year (Range)]]&gt;=$C$7)*(monthly_mortgage_schedule[[#This Row],[Year (Range)]]&lt;=$C$9),AO239,NA())</f>
        <v>23975.20657752769</v>
      </c>
      <c r="S239" s="214">
        <f>IF((monthly_mortgage_schedule[[#This Row],[Year (Range)]]&gt;=$C$7)*(monthly_mortgage_schedule[[#This Row],[Year (Range)]]&lt;=$C$9),AP239,NA())</f>
        <v>990</v>
      </c>
      <c r="T239" s="214">
        <f>IF((monthly_mortgage_schedule[[#This Row],[Year (Range)]]&gt;=$C$7)*(monthly_mortgage_schedule[[#This Row],[Year (Range)]]&lt;=$C$9),AR239,NA())</f>
        <v>40420.761684001176</v>
      </c>
      <c r="U239" s="214">
        <f>IF((monthly_mortgage_schedule[[#This Row],[Year (Range)]]&gt;=$C$7)*(monthly_mortgage_schedule[[#This Row],[Year (Range)]]&lt;=$C$9),AB239,NA())</f>
        <v>281834.3411403565</v>
      </c>
      <c r="V239" s="214">
        <f>IF((monthly_mortgage_schedule[[#This Row],[Year (Range)]]&gt;=$C$7)*(monthly_mortgage_schedule[[#This Row],[Year (Range)]]&lt;=$C$9),AI239,NA())</f>
        <v>225109.13456282901</v>
      </c>
      <c r="W239" s="187">
        <f t="shared" si="24"/>
        <v>260052.10884715329</v>
      </c>
      <c r="X239" s="4">
        <f t="shared" si="27"/>
        <v>1213.5765079533821</v>
      </c>
      <c r="Y239" s="4">
        <f t="shared" si="25"/>
        <v>1886.4499875100259</v>
      </c>
      <c r="Z239" s="4">
        <f>_xlfn.IFNA(INDEX(additional_mortgage_payments[],MATCH(monthly_mortgage_schedule[[#This Row],[Month]],additional_mortgage_payments[Month],0),3),0)</f>
        <v>0</v>
      </c>
      <c r="AA239" s="4">
        <f>AA238+monthly_mortgage_schedule[[#This Row],[Extra Payments Towards Equity]]</f>
        <v>32750</v>
      </c>
      <c r="AB239" s="4">
        <f>AB238+monthly_mortgage_schedule[[#This Row],[Principal With Extra Principal Payments]]+monthly_mortgage_schedule[[#This Row],[Extra Payments Towards Equity]]</f>
        <v>281834.3411403565</v>
      </c>
      <c r="AC239" s="4">
        <f>monthly_mortgage_schedule[[#This Row],[Cumulative Principal With Extra Principal Payments]]+down_payment_dollars</f>
        <v>341834.3411403565</v>
      </c>
      <c r="AD239" s="200">
        <f t="shared" si="22"/>
        <v>0</v>
      </c>
      <c r="AE23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258165.65885964327</v>
      </c>
      <c r="AF239" s="187">
        <f t="shared" si="28"/>
        <v>316513.82740474568</v>
      </c>
      <c r="AG239" s="4">
        <f>IF(monthly_mortgage_schedule[[#This Row],[Loan Balance (BOY) Without Extra Principal Payments]]&gt;0,monthly_mortgage_schedule[[#This Row],[Loan Balance (BOY) Without Extra Principal Payments]]*monthly_interest_rate,0)</f>
        <v>1477.0645278888132</v>
      </c>
      <c r="AH239" s="4">
        <f>IF(monthly_mortgage_schedule[[#This Row],[Loan Balance (BOY) Without Extra Principal Payments]]&gt;1,monthly_principal_and_interest-monthly_mortgage_schedule[[#This Row],[Interest Without Extra Principal Payments]],0)</f>
        <v>1622.9619675745948</v>
      </c>
      <c r="AI239" s="4">
        <f>AI238+monthly_mortgage_schedule[[#This Row],[Principal Without Extra Principal Payments]]</f>
        <v>225109.13456282901</v>
      </c>
      <c r="AJ239" s="4">
        <f>monthly_mortgage_schedule[[#This Row],[Cumulative Principal Without Extra Principal Payments]]+down_payment_dollars</f>
        <v>285109.13456282904</v>
      </c>
      <c r="AK239" s="200">
        <f t="shared" si="23"/>
        <v>0</v>
      </c>
      <c r="AL23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314890.86543717107</v>
      </c>
      <c r="AN239" s="196">
        <f>monthly_mortgage_schedule[[#This Row],[Extra Payments Towards Equity]]+AN238+IF(monthly_mortgage_schedule[[#This Row],[Interest With Extra Principal Payments]]&gt;0,monthly_mortgage_schedule[[#This Row],[Interest Without Extra Principal Payments]]-monthly_mortgage_schedule[[#This Row],[Interest With Extra Principal Payments]],0)</f>
        <v>56725.206577527708</v>
      </c>
      <c r="AO239" s="4">
        <f>AO238+IF(monthly_mortgage_schedule[[#This Row],[Interest With Extra Principal Payments]]&gt;0,monthly_mortgage_schedule[[#This Row],[Interest Without Extra Principal Payments]]-monthly_mortgage_schedule[[#This Row],[Interest With Extra Principal Payments]],0)</f>
        <v>23975.20657752769</v>
      </c>
      <c r="AP239" s="4">
        <f>AP238+monthly_mortgage_schedule[[#This Row],[PMI Without Extra Principal Payments]]-monthly_mortgage_schedule[[#This Row],[PMI with Additional Payments]]</f>
        <v>990</v>
      </c>
      <c r="AQ239" s="4">
        <f t="shared" si="26"/>
        <v>73170.761684001176</v>
      </c>
      <c r="AR239" s="4">
        <f>Table60[[#This Row],[Cumulative Investments]]-monthly_mortgage_schedule[[#This Row],[Cumulative Extra Payments Towards Equity]]</f>
        <v>40420.761684001176</v>
      </c>
    </row>
    <row r="240" spans="9:44" x14ac:dyDescent="0.25">
      <c r="I240">
        <v>223</v>
      </c>
      <c r="J240">
        <f>IF(MOD(ROWS($J$18:J239),12)=0,J239+1,J239)</f>
        <v>2040</v>
      </c>
      <c r="K240" s="198">
        <f>IF(M240="#N/A",NA(),monthly_mortgage_schedule[[#This Row],[Month]])</f>
        <v>223</v>
      </c>
      <c r="L240" s="198">
        <f>IF(monthly_mortgage_schedule[[#This Row],[Calendar Year]]&gt;=$C$7,monthly_mortgage_schedule[[#This Row],[Calendar Year]],NA())</f>
        <v>2040</v>
      </c>
      <c r="M240" s="199">
        <f>IF((monthly_mortgage_schedule[[#This Row],[Calendar Year]]&gt;=$C$7)*(monthly_mortgage_schedule[[#This Row],[Calendar Year]]&lt;=$C$9),monthly_mortgage_schedule[[#This Row],[Begin Year (Range)]],NA())</f>
        <v>2040</v>
      </c>
      <c r="N240" s="214">
        <f>IF((monthly_mortgage_schedule[[#This Row],[Year (Range)]]&gt;=$C$7)*(monthly_mortgage_schedule[[#This Row],[Year (Range)]]&lt;=$C$9),X240,NA())</f>
        <v>1204.7730746783354</v>
      </c>
      <c r="O240" s="214">
        <f>IF((monthly_mortgage_schedule[[#This Row],[Year (Range)]]&gt;=$C$7)*(monthly_mortgage_schedule[[#This Row],[Year (Range)]]&lt;=$C$9),Y240,NA())</f>
        <v>1895.2534207850726</v>
      </c>
      <c r="P240" s="214">
        <f>IF((monthly_mortgage_schedule[[#This Row],[Year (Range)]]&gt;=$C$7)*(monthly_mortgage_schedule[[#This Row],[Year (Range)]]&lt;=$C$9),AG240,NA())</f>
        <v>1469.4907053734651</v>
      </c>
      <c r="Q240" s="214">
        <f>IF((monthly_mortgage_schedule[[#This Row],[Year (Range)]]&gt;=$C$7)*(monthly_mortgage_schedule[[#This Row],[Year (Range)]]&lt;=$C$9),AH240,NA())</f>
        <v>1630.535790089943</v>
      </c>
      <c r="R240" s="214">
        <f>IF((monthly_mortgage_schedule[[#This Row],[Year (Range)]]&gt;=$C$7)*(monthly_mortgage_schedule[[#This Row],[Year (Range)]]&lt;=$C$9),AO240,NA())</f>
        <v>24239.924208222819</v>
      </c>
      <c r="S240" s="214">
        <f>IF((monthly_mortgage_schedule[[#This Row],[Year (Range)]]&gt;=$C$7)*(monthly_mortgage_schedule[[#This Row],[Year (Range)]]&lt;=$C$9),AP240,NA())</f>
        <v>990</v>
      </c>
      <c r="T240" s="214">
        <f>IF((monthly_mortgage_schedule[[#This Row],[Year (Range)]]&gt;=$C$7)*(monthly_mortgage_schedule[[#This Row],[Year (Range)]]&lt;=$C$9),AR240,NA())</f>
        <v>40908.566761894515</v>
      </c>
      <c r="U240" s="214">
        <f>IF((monthly_mortgage_schedule[[#This Row],[Year (Range)]]&gt;=$C$7)*(monthly_mortgage_schedule[[#This Row],[Year (Range)]]&lt;=$C$9),AB240,NA())</f>
        <v>283729.59456114157</v>
      </c>
      <c r="V240" s="214">
        <f>IF((monthly_mortgage_schedule[[#This Row],[Year (Range)]]&gt;=$C$7)*(monthly_mortgage_schedule[[#This Row],[Year (Range)]]&lt;=$C$9),AI240,NA())</f>
        <v>226739.67035291897</v>
      </c>
      <c r="W240" s="187">
        <f t="shared" si="24"/>
        <v>258165.65885964327</v>
      </c>
      <c r="X240" s="4">
        <f t="shared" si="27"/>
        <v>1204.7730746783354</v>
      </c>
      <c r="Y240" s="4">
        <f t="shared" si="25"/>
        <v>1895.2534207850726</v>
      </c>
      <c r="Z240" s="4">
        <f>_xlfn.IFNA(INDEX(additional_mortgage_payments[],MATCH(monthly_mortgage_schedule[[#This Row],[Month]],additional_mortgage_payments[Month],0),3),0)</f>
        <v>0</v>
      </c>
      <c r="AA240" s="4">
        <f>AA239+monthly_mortgage_schedule[[#This Row],[Extra Payments Towards Equity]]</f>
        <v>32750</v>
      </c>
      <c r="AB240" s="4">
        <f>AB239+monthly_mortgage_schedule[[#This Row],[Principal With Extra Principal Payments]]+monthly_mortgage_schedule[[#This Row],[Extra Payments Towards Equity]]</f>
        <v>283729.59456114157</v>
      </c>
      <c r="AC240" s="4">
        <f>monthly_mortgage_schedule[[#This Row],[Cumulative Principal With Extra Principal Payments]]+down_payment_dollars</f>
        <v>343729.59456114157</v>
      </c>
      <c r="AD240" s="200">
        <f t="shared" si="22"/>
        <v>0</v>
      </c>
      <c r="AE24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256270.4054388582</v>
      </c>
      <c r="AF240" s="187">
        <f t="shared" si="28"/>
        <v>314890.86543717107</v>
      </c>
      <c r="AG240" s="4">
        <f>IF(monthly_mortgage_schedule[[#This Row],[Loan Balance (BOY) Without Extra Principal Payments]]&gt;0,monthly_mortgage_schedule[[#This Row],[Loan Balance (BOY) Without Extra Principal Payments]]*monthly_interest_rate,0)</f>
        <v>1469.4907053734651</v>
      </c>
      <c r="AH240" s="4">
        <f>IF(monthly_mortgage_schedule[[#This Row],[Loan Balance (BOY) Without Extra Principal Payments]]&gt;1,monthly_principal_and_interest-monthly_mortgage_schedule[[#This Row],[Interest Without Extra Principal Payments]],0)</f>
        <v>1630.535790089943</v>
      </c>
      <c r="AI240" s="4">
        <f>AI239+monthly_mortgage_schedule[[#This Row],[Principal Without Extra Principal Payments]]</f>
        <v>226739.67035291897</v>
      </c>
      <c r="AJ240" s="4">
        <f>monthly_mortgage_schedule[[#This Row],[Cumulative Principal Without Extra Principal Payments]]+down_payment_dollars</f>
        <v>286739.67035291897</v>
      </c>
      <c r="AK240" s="200">
        <f t="shared" si="23"/>
        <v>0</v>
      </c>
      <c r="AL24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313260.32964708115</v>
      </c>
      <c r="AN240" s="196">
        <f>monthly_mortgage_schedule[[#This Row],[Extra Payments Towards Equity]]+AN239+IF(monthly_mortgage_schedule[[#This Row],[Interest With Extra Principal Payments]]&gt;0,monthly_mortgage_schedule[[#This Row],[Interest Without Extra Principal Payments]]-monthly_mortgage_schedule[[#This Row],[Interest With Extra Principal Payments]],0)</f>
        <v>56989.924208222837</v>
      </c>
      <c r="AO240" s="4">
        <f>AO239+IF(monthly_mortgage_schedule[[#This Row],[Interest With Extra Principal Payments]]&gt;0,monthly_mortgage_schedule[[#This Row],[Interest Without Extra Principal Payments]]-monthly_mortgage_schedule[[#This Row],[Interest With Extra Principal Payments]],0)</f>
        <v>24239.924208222819</v>
      </c>
      <c r="AP240" s="4">
        <f>AP239+monthly_mortgage_schedule[[#This Row],[PMI Without Extra Principal Payments]]-monthly_mortgage_schedule[[#This Row],[PMI with Additional Payments]]</f>
        <v>990</v>
      </c>
      <c r="AQ240" s="4">
        <f t="shared" si="26"/>
        <v>73658.566761894515</v>
      </c>
      <c r="AR240" s="4">
        <f>Table60[[#This Row],[Cumulative Investments]]-monthly_mortgage_schedule[[#This Row],[Cumulative Extra Payments Towards Equity]]</f>
        <v>40908.566761894515</v>
      </c>
    </row>
    <row r="241" spans="9:44" x14ac:dyDescent="0.25">
      <c r="I241">
        <v>224</v>
      </c>
      <c r="J241">
        <f>IF(MOD(ROWS($J$18:J240),12)=0,J240+1,J240)</f>
        <v>2040</v>
      </c>
      <c r="K241" s="198">
        <f>IF(M241="#N/A",NA(),monthly_mortgage_schedule[[#This Row],[Month]])</f>
        <v>224</v>
      </c>
      <c r="L241" s="198">
        <f>IF(monthly_mortgage_schedule[[#This Row],[Calendar Year]]&gt;=$C$7,monthly_mortgage_schedule[[#This Row],[Calendar Year]],NA())</f>
        <v>2040</v>
      </c>
      <c r="M241" s="199">
        <f>IF((monthly_mortgage_schedule[[#This Row],[Calendar Year]]&gt;=$C$7)*(monthly_mortgage_schedule[[#This Row],[Calendar Year]]&lt;=$C$9),monthly_mortgage_schedule[[#This Row],[Begin Year (Range)]],NA())</f>
        <v>2040</v>
      </c>
      <c r="N241" s="214">
        <f>IF((monthly_mortgage_schedule[[#This Row],[Year (Range)]]&gt;=$C$7)*(monthly_mortgage_schedule[[#This Row],[Year (Range)]]&lt;=$C$9),X241,NA())</f>
        <v>1195.9285587146717</v>
      </c>
      <c r="O241" s="214">
        <f>IF((monthly_mortgage_schedule[[#This Row],[Year (Range)]]&gt;=$C$7)*(monthly_mortgage_schedule[[#This Row],[Year (Range)]]&lt;=$C$9),Y241,NA())</f>
        <v>1904.0979367487364</v>
      </c>
      <c r="P241" s="214">
        <f>IF((monthly_mortgage_schedule[[#This Row],[Year (Range)]]&gt;=$C$7)*(monthly_mortgage_schedule[[#This Row],[Year (Range)]]&lt;=$C$9),AG241,NA())</f>
        <v>1461.8815383530455</v>
      </c>
      <c r="Q241" s="214">
        <f>IF((monthly_mortgage_schedule[[#This Row],[Year (Range)]]&gt;=$C$7)*(monthly_mortgage_schedule[[#This Row],[Year (Range)]]&lt;=$C$9),AH241,NA())</f>
        <v>1638.1449571103626</v>
      </c>
      <c r="R241" s="214">
        <f>IF((monthly_mortgage_schedule[[#This Row],[Year (Range)]]&gt;=$C$7)*(monthly_mortgage_schedule[[#This Row],[Year (Range)]]&lt;=$C$9),AO241,NA())</f>
        <v>24505.877187861191</v>
      </c>
      <c r="S241" s="214">
        <f>IF((monthly_mortgage_schedule[[#This Row],[Year (Range)]]&gt;=$C$7)*(monthly_mortgage_schedule[[#This Row],[Year (Range)]]&lt;=$C$9),AP241,NA())</f>
        <v>990</v>
      </c>
      <c r="T241" s="214">
        <f>IF((monthly_mortgage_schedule[[#This Row],[Year (Range)]]&gt;=$C$7)*(monthly_mortgage_schedule[[#This Row],[Year (Range)]]&lt;=$C$9),AR241,NA())</f>
        <v>41399.623873640478</v>
      </c>
      <c r="U241" s="214">
        <f>IF((monthly_mortgage_schedule[[#This Row],[Year (Range)]]&gt;=$C$7)*(monthly_mortgage_schedule[[#This Row],[Year (Range)]]&lt;=$C$9),AB241,NA())</f>
        <v>285633.69249789033</v>
      </c>
      <c r="V241" s="214">
        <f>IF((monthly_mortgage_schedule[[#This Row],[Year (Range)]]&gt;=$C$7)*(monthly_mortgage_schedule[[#This Row],[Year (Range)]]&lt;=$C$9),AI241,NA())</f>
        <v>228377.81531002934</v>
      </c>
      <c r="W241" s="187">
        <f t="shared" si="24"/>
        <v>256270.4054388582</v>
      </c>
      <c r="X241" s="4">
        <f t="shared" si="27"/>
        <v>1195.9285587146717</v>
      </c>
      <c r="Y241" s="4">
        <f t="shared" si="25"/>
        <v>1904.0979367487364</v>
      </c>
      <c r="Z241" s="4">
        <f>_xlfn.IFNA(INDEX(additional_mortgage_payments[],MATCH(monthly_mortgage_schedule[[#This Row],[Month]],additional_mortgage_payments[Month],0),3),0)</f>
        <v>0</v>
      </c>
      <c r="AA241" s="4">
        <f>AA240+monthly_mortgage_schedule[[#This Row],[Extra Payments Towards Equity]]</f>
        <v>32750</v>
      </c>
      <c r="AB241" s="4">
        <f>AB240+monthly_mortgage_schedule[[#This Row],[Principal With Extra Principal Payments]]+monthly_mortgage_schedule[[#This Row],[Extra Payments Towards Equity]]</f>
        <v>285633.69249789033</v>
      </c>
      <c r="AC241" s="4">
        <f>monthly_mortgage_schedule[[#This Row],[Cumulative Principal With Extra Principal Payments]]+down_payment_dollars</f>
        <v>345633.69249789033</v>
      </c>
      <c r="AD241" s="200">
        <f t="shared" si="22"/>
        <v>0</v>
      </c>
      <c r="AE24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254366.30750210947</v>
      </c>
      <c r="AF241" s="187">
        <f t="shared" si="28"/>
        <v>313260.32964708115</v>
      </c>
      <c r="AG241" s="4">
        <f>IF(monthly_mortgage_schedule[[#This Row],[Loan Balance (BOY) Without Extra Principal Payments]]&gt;0,monthly_mortgage_schedule[[#This Row],[Loan Balance (BOY) Without Extra Principal Payments]]*monthly_interest_rate,0)</f>
        <v>1461.8815383530455</v>
      </c>
      <c r="AH241" s="4">
        <f>IF(monthly_mortgage_schedule[[#This Row],[Loan Balance (BOY) Without Extra Principal Payments]]&gt;1,monthly_principal_and_interest-monthly_mortgage_schedule[[#This Row],[Interest Without Extra Principal Payments]],0)</f>
        <v>1638.1449571103626</v>
      </c>
      <c r="AI241" s="4">
        <f>AI240+monthly_mortgage_schedule[[#This Row],[Principal Without Extra Principal Payments]]</f>
        <v>228377.81531002934</v>
      </c>
      <c r="AJ241" s="4">
        <f>monthly_mortgage_schedule[[#This Row],[Cumulative Principal Without Extra Principal Payments]]+down_payment_dollars</f>
        <v>288377.81531002931</v>
      </c>
      <c r="AK241" s="200">
        <f t="shared" si="23"/>
        <v>0</v>
      </c>
      <c r="AL24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311622.1846899708</v>
      </c>
      <c r="AN241" s="196">
        <f>monthly_mortgage_schedule[[#This Row],[Extra Payments Towards Equity]]+AN240+IF(monthly_mortgage_schedule[[#This Row],[Interest With Extra Principal Payments]]&gt;0,monthly_mortgage_schedule[[#This Row],[Interest Without Extra Principal Payments]]-monthly_mortgage_schedule[[#This Row],[Interest With Extra Principal Payments]],0)</f>
        <v>57255.87718786121</v>
      </c>
      <c r="AO241" s="4">
        <f>AO240+IF(monthly_mortgage_schedule[[#This Row],[Interest With Extra Principal Payments]]&gt;0,monthly_mortgage_schedule[[#This Row],[Interest Without Extra Principal Payments]]-monthly_mortgage_schedule[[#This Row],[Interest With Extra Principal Payments]],0)</f>
        <v>24505.877187861191</v>
      </c>
      <c r="AP241" s="4">
        <f>AP240+monthly_mortgage_schedule[[#This Row],[PMI Without Extra Principal Payments]]-monthly_mortgage_schedule[[#This Row],[PMI with Additional Payments]]</f>
        <v>990</v>
      </c>
      <c r="AQ241" s="4">
        <f t="shared" si="26"/>
        <v>74149.623873640478</v>
      </c>
      <c r="AR241" s="4">
        <f>Table60[[#This Row],[Cumulative Investments]]-monthly_mortgage_schedule[[#This Row],[Cumulative Extra Payments Towards Equity]]</f>
        <v>41399.623873640478</v>
      </c>
    </row>
    <row r="242" spans="9:44" x14ac:dyDescent="0.25">
      <c r="I242">
        <v>225</v>
      </c>
      <c r="J242">
        <f>IF(MOD(ROWS($J$18:J241),12)=0,J241+1,J241)</f>
        <v>2040</v>
      </c>
      <c r="K242" s="198">
        <f>IF(M242="#N/A",NA(),monthly_mortgage_schedule[[#This Row],[Month]])</f>
        <v>225</v>
      </c>
      <c r="L242" s="198">
        <f>IF(monthly_mortgage_schedule[[#This Row],[Calendar Year]]&gt;=$C$7,monthly_mortgage_schedule[[#This Row],[Calendar Year]],NA())</f>
        <v>2040</v>
      </c>
      <c r="M242" s="199">
        <f>IF((monthly_mortgage_schedule[[#This Row],[Calendar Year]]&gt;=$C$7)*(monthly_mortgage_schedule[[#This Row],[Calendar Year]]&lt;=$C$9),monthly_mortgage_schedule[[#This Row],[Begin Year (Range)]],NA())</f>
        <v>2040</v>
      </c>
      <c r="N242" s="214">
        <f>IF((monthly_mortgage_schedule[[#This Row],[Year (Range)]]&gt;=$C$7)*(monthly_mortgage_schedule[[#This Row],[Year (Range)]]&lt;=$C$9),X242,NA())</f>
        <v>1187.0427683431776</v>
      </c>
      <c r="O242" s="214">
        <f>IF((monthly_mortgage_schedule[[#This Row],[Year (Range)]]&gt;=$C$7)*(monthly_mortgage_schedule[[#This Row],[Year (Range)]]&lt;=$C$9),Y242,NA())</f>
        <v>1912.9837271202305</v>
      </c>
      <c r="P242" s="214">
        <f>IF((monthly_mortgage_schedule[[#This Row],[Year (Range)]]&gt;=$C$7)*(monthly_mortgage_schedule[[#This Row],[Year (Range)]]&lt;=$C$9),AG242,NA())</f>
        <v>1454.2368618865305</v>
      </c>
      <c r="Q242" s="214">
        <f>IF((monthly_mortgage_schedule[[#This Row],[Year (Range)]]&gt;=$C$7)*(monthly_mortgage_schedule[[#This Row],[Year (Range)]]&lt;=$C$9),AH242,NA())</f>
        <v>1645.7896335768776</v>
      </c>
      <c r="R242" s="214">
        <f>IF((monthly_mortgage_schedule[[#This Row],[Year (Range)]]&gt;=$C$7)*(monthly_mortgage_schedule[[#This Row],[Year (Range)]]&lt;=$C$9),AO242,NA())</f>
        <v>24773.071281404544</v>
      </c>
      <c r="S242" s="214">
        <f>IF((monthly_mortgage_schedule[[#This Row],[Year (Range)]]&gt;=$C$7)*(monthly_mortgage_schedule[[#This Row],[Year (Range)]]&lt;=$C$9),AP242,NA())</f>
        <v>990</v>
      </c>
      <c r="T242" s="214">
        <f>IF((monthly_mortgage_schedule[[#This Row],[Year (Range)]]&gt;=$C$7)*(monthly_mortgage_schedule[[#This Row],[Year (Range)]]&lt;=$C$9),AR242,NA())</f>
        <v>41893.954699464739</v>
      </c>
      <c r="U242" s="214">
        <f>IF((monthly_mortgage_schedule[[#This Row],[Year (Range)]]&gt;=$C$7)*(monthly_mortgage_schedule[[#This Row],[Year (Range)]]&lt;=$C$9),AB242,NA())</f>
        <v>287546.67622501054</v>
      </c>
      <c r="V242" s="214">
        <f>IF((monthly_mortgage_schedule[[#This Row],[Year (Range)]]&gt;=$C$7)*(monthly_mortgage_schedule[[#This Row],[Year (Range)]]&lt;=$C$9),AI242,NA())</f>
        <v>230023.60494360622</v>
      </c>
      <c r="W242" s="187">
        <f t="shared" si="24"/>
        <v>254366.30750210947</v>
      </c>
      <c r="X242" s="4">
        <f t="shared" si="27"/>
        <v>1187.0427683431776</v>
      </c>
      <c r="Y242" s="4">
        <f t="shared" si="25"/>
        <v>1912.9837271202305</v>
      </c>
      <c r="Z242" s="4">
        <f>_xlfn.IFNA(INDEX(additional_mortgage_payments[],MATCH(monthly_mortgage_schedule[[#This Row],[Month]],additional_mortgage_payments[Month],0),3),0)</f>
        <v>0</v>
      </c>
      <c r="AA242" s="4">
        <f>AA241+monthly_mortgage_schedule[[#This Row],[Extra Payments Towards Equity]]</f>
        <v>32750</v>
      </c>
      <c r="AB242" s="4">
        <f>AB241+monthly_mortgage_schedule[[#This Row],[Principal With Extra Principal Payments]]+monthly_mortgage_schedule[[#This Row],[Extra Payments Towards Equity]]</f>
        <v>287546.67622501054</v>
      </c>
      <c r="AC242" s="4">
        <f>monthly_mortgage_schedule[[#This Row],[Cumulative Principal With Extra Principal Payments]]+down_payment_dollars</f>
        <v>347546.67622501054</v>
      </c>
      <c r="AD242" s="200">
        <f t="shared" si="22"/>
        <v>0</v>
      </c>
      <c r="AE24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252453.32377498923</v>
      </c>
      <c r="AF242" s="187">
        <f t="shared" si="28"/>
        <v>311622.1846899708</v>
      </c>
      <c r="AG242" s="4">
        <f>IF(monthly_mortgage_schedule[[#This Row],[Loan Balance (BOY) Without Extra Principal Payments]]&gt;0,monthly_mortgage_schedule[[#This Row],[Loan Balance (BOY) Without Extra Principal Payments]]*monthly_interest_rate,0)</f>
        <v>1454.2368618865305</v>
      </c>
      <c r="AH242" s="4">
        <f>IF(monthly_mortgage_schedule[[#This Row],[Loan Balance (BOY) Without Extra Principal Payments]]&gt;1,monthly_principal_and_interest-monthly_mortgage_schedule[[#This Row],[Interest Without Extra Principal Payments]],0)</f>
        <v>1645.7896335768776</v>
      </c>
      <c r="AI242" s="4">
        <f>AI241+monthly_mortgage_schedule[[#This Row],[Principal Without Extra Principal Payments]]</f>
        <v>230023.60494360622</v>
      </c>
      <c r="AJ242" s="4">
        <f>monthly_mortgage_schedule[[#This Row],[Cumulative Principal Without Extra Principal Payments]]+down_payment_dollars</f>
        <v>290023.60494360619</v>
      </c>
      <c r="AK242" s="200">
        <f t="shared" si="23"/>
        <v>0</v>
      </c>
      <c r="AL24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309976.39505639393</v>
      </c>
      <c r="AN242" s="196">
        <f>monthly_mortgage_schedule[[#This Row],[Extra Payments Towards Equity]]+AN241+IF(monthly_mortgage_schedule[[#This Row],[Interest With Extra Principal Payments]]&gt;0,monthly_mortgage_schedule[[#This Row],[Interest Without Extra Principal Payments]]-monthly_mortgage_schedule[[#This Row],[Interest With Extra Principal Payments]],0)</f>
        <v>57523.071281404562</v>
      </c>
      <c r="AO242" s="4">
        <f>AO241+IF(monthly_mortgage_schedule[[#This Row],[Interest With Extra Principal Payments]]&gt;0,monthly_mortgage_schedule[[#This Row],[Interest Without Extra Principal Payments]]-monthly_mortgage_schedule[[#This Row],[Interest With Extra Principal Payments]],0)</f>
        <v>24773.071281404544</v>
      </c>
      <c r="AP242" s="4">
        <f>AP241+monthly_mortgage_schedule[[#This Row],[PMI Without Extra Principal Payments]]-monthly_mortgage_schedule[[#This Row],[PMI with Additional Payments]]</f>
        <v>990</v>
      </c>
      <c r="AQ242" s="4">
        <f t="shared" si="26"/>
        <v>74643.954699464739</v>
      </c>
      <c r="AR242" s="4">
        <f>Table60[[#This Row],[Cumulative Investments]]-monthly_mortgage_schedule[[#This Row],[Cumulative Extra Payments Towards Equity]]</f>
        <v>41893.954699464739</v>
      </c>
    </row>
    <row r="243" spans="9:44" x14ac:dyDescent="0.25">
      <c r="I243">
        <v>226</v>
      </c>
      <c r="J243">
        <f>IF(MOD(ROWS($J$18:J242),12)=0,J242+1,J242)</f>
        <v>2040</v>
      </c>
      <c r="K243" s="198">
        <f>IF(M243="#N/A",NA(),monthly_mortgage_schedule[[#This Row],[Month]])</f>
        <v>226</v>
      </c>
      <c r="L243" s="198">
        <f>IF(monthly_mortgage_schedule[[#This Row],[Calendar Year]]&gt;=$C$7,monthly_mortgage_schedule[[#This Row],[Calendar Year]],NA())</f>
        <v>2040</v>
      </c>
      <c r="M243" s="199">
        <f>IF((monthly_mortgage_schedule[[#This Row],[Calendar Year]]&gt;=$C$7)*(monthly_mortgage_schedule[[#This Row],[Calendar Year]]&lt;=$C$9),monthly_mortgage_schedule[[#This Row],[Begin Year (Range)]],NA())</f>
        <v>2040</v>
      </c>
      <c r="N243" s="214">
        <f>IF((monthly_mortgage_schedule[[#This Row],[Year (Range)]]&gt;=$C$7)*(monthly_mortgage_schedule[[#This Row],[Year (Range)]]&lt;=$C$9),X243,NA())</f>
        <v>1178.1155109499498</v>
      </c>
      <c r="O243" s="214">
        <f>IF((monthly_mortgage_schedule[[#This Row],[Year (Range)]]&gt;=$C$7)*(monthly_mortgage_schedule[[#This Row],[Year (Range)]]&lt;=$C$9),Y243,NA())</f>
        <v>1921.9109845134583</v>
      </c>
      <c r="P243" s="214">
        <f>IF((monthly_mortgage_schedule[[#This Row],[Year (Range)]]&gt;=$C$7)*(monthly_mortgage_schedule[[#This Row],[Year (Range)]]&lt;=$C$9),AG243,NA())</f>
        <v>1446.5565102631717</v>
      </c>
      <c r="Q243" s="214">
        <f>IF((monthly_mortgage_schedule[[#This Row],[Year (Range)]]&gt;=$C$7)*(monthly_mortgage_schedule[[#This Row],[Year (Range)]]&lt;=$C$9),AH243,NA())</f>
        <v>1653.4699852002364</v>
      </c>
      <c r="R243" s="214">
        <f>IF((monthly_mortgage_schedule[[#This Row],[Year (Range)]]&gt;=$C$7)*(monthly_mortgage_schedule[[#This Row],[Year (Range)]]&lt;=$C$9),AO243,NA())</f>
        <v>25041.512280717765</v>
      </c>
      <c r="S243" s="214">
        <f>IF((monthly_mortgage_schedule[[#This Row],[Year (Range)]]&gt;=$C$7)*(monthly_mortgage_schedule[[#This Row],[Year (Range)]]&lt;=$C$9),AP243,NA())</f>
        <v>990</v>
      </c>
      <c r="T243" s="214">
        <f>IF((monthly_mortgage_schedule[[#This Row],[Year (Range)]]&gt;=$C$7)*(monthly_mortgage_schedule[[#This Row],[Year (Range)]]&lt;=$C$9),AR243,NA())</f>
        <v>42391.581064127837</v>
      </c>
      <c r="U243" s="214">
        <f>IF((monthly_mortgage_schedule[[#This Row],[Year (Range)]]&gt;=$C$7)*(monthly_mortgage_schedule[[#This Row],[Year (Range)]]&lt;=$C$9),AB243,NA())</f>
        <v>289468.587209524</v>
      </c>
      <c r="V243" s="214">
        <f>IF((monthly_mortgage_schedule[[#This Row],[Year (Range)]]&gt;=$C$7)*(monthly_mortgage_schedule[[#This Row],[Year (Range)]]&lt;=$C$9),AI243,NA())</f>
        <v>231677.07492880645</v>
      </c>
      <c r="W243" s="187">
        <f t="shared" si="24"/>
        <v>252453.32377498923</v>
      </c>
      <c r="X243" s="4">
        <f t="shared" si="27"/>
        <v>1178.1155109499498</v>
      </c>
      <c r="Y243" s="4">
        <f t="shared" si="25"/>
        <v>1921.9109845134583</v>
      </c>
      <c r="Z243" s="4">
        <f>_xlfn.IFNA(INDEX(additional_mortgage_payments[],MATCH(monthly_mortgage_schedule[[#This Row],[Month]],additional_mortgage_payments[Month],0),3),0)</f>
        <v>0</v>
      </c>
      <c r="AA243" s="4">
        <f>AA242+monthly_mortgage_schedule[[#This Row],[Extra Payments Towards Equity]]</f>
        <v>32750</v>
      </c>
      <c r="AB243" s="4">
        <f>AB242+monthly_mortgage_schedule[[#This Row],[Principal With Extra Principal Payments]]+monthly_mortgage_schedule[[#This Row],[Extra Payments Towards Equity]]</f>
        <v>289468.587209524</v>
      </c>
      <c r="AC243" s="4">
        <f>monthly_mortgage_schedule[[#This Row],[Cumulative Principal With Extra Principal Payments]]+down_payment_dollars</f>
        <v>349468.587209524</v>
      </c>
      <c r="AD243" s="200">
        <f t="shared" si="22"/>
        <v>0</v>
      </c>
      <c r="AE24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250531.41279047576</v>
      </c>
      <c r="AF243" s="187">
        <f t="shared" si="28"/>
        <v>309976.39505639393</v>
      </c>
      <c r="AG243" s="4">
        <f>IF(monthly_mortgage_schedule[[#This Row],[Loan Balance (BOY) Without Extra Principal Payments]]&gt;0,monthly_mortgage_schedule[[#This Row],[Loan Balance (BOY) Without Extra Principal Payments]]*monthly_interest_rate,0)</f>
        <v>1446.5565102631717</v>
      </c>
      <c r="AH243" s="4">
        <f>IF(monthly_mortgage_schedule[[#This Row],[Loan Balance (BOY) Without Extra Principal Payments]]&gt;1,monthly_principal_and_interest-monthly_mortgage_schedule[[#This Row],[Interest Without Extra Principal Payments]],0)</f>
        <v>1653.4699852002364</v>
      </c>
      <c r="AI243" s="4">
        <f>AI242+monthly_mortgage_schedule[[#This Row],[Principal Without Extra Principal Payments]]</f>
        <v>231677.07492880645</v>
      </c>
      <c r="AJ243" s="4">
        <f>monthly_mortgage_schedule[[#This Row],[Cumulative Principal Without Extra Principal Payments]]+down_payment_dollars</f>
        <v>291677.07492880645</v>
      </c>
      <c r="AK243" s="200">
        <f t="shared" si="23"/>
        <v>0</v>
      </c>
      <c r="AL24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308322.92507119372</v>
      </c>
      <c r="AN243" s="196">
        <f>monthly_mortgage_schedule[[#This Row],[Extra Payments Towards Equity]]+AN242+IF(monthly_mortgage_schedule[[#This Row],[Interest With Extra Principal Payments]]&gt;0,monthly_mortgage_schedule[[#This Row],[Interest Without Extra Principal Payments]]-monthly_mortgage_schedule[[#This Row],[Interest With Extra Principal Payments]],0)</f>
        <v>57791.512280717783</v>
      </c>
      <c r="AO243" s="4">
        <f>AO242+IF(monthly_mortgage_schedule[[#This Row],[Interest With Extra Principal Payments]]&gt;0,monthly_mortgage_schedule[[#This Row],[Interest Without Extra Principal Payments]]-monthly_mortgage_schedule[[#This Row],[Interest With Extra Principal Payments]],0)</f>
        <v>25041.512280717765</v>
      </c>
      <c r="AP243" s="4">
        <f>AP242+monthly_mortgage_schedule[[#This Row],[PMI Without Extra Principal Payments]]-monthly_mortgage_schedule[[#This Row],[PMI with Additional Payments]]</f>
        <v>990</v>
      </c>
      <c r="AQ243" s="4">
        <f t="shared" si="26"/>
        <v>75141.581064127837</v>
      </c>
      <c r="AR243" s="4">
        <f>Table60[[#This Row],[Cumulative Investments]]-monthly_mortgage_schedule[[#This Row],[Cumulative Extra Payments Towards Equity]]</f>
        <v>42391.581064127837</v>
      </c>
    </row>
    <row r="244" spans="9:44" x14ac:dyDescent="0.25">
      <c r="I244">
        <v>227</v>
      </c>
      <c r="J244">
        <f>IF(MOD(ROWS($J$18:J243),12)=0,J243+1,J243)</f>
        <v>2040</v>
      </c>
      <c r="K244" s="198">
        <f>IF(M244="#N/A",NA(),monthly_mortgage_schedule[[#This Row],[Month]])</f>
        <v>227</v>
      </c>
      <c r="L244" s="198">
        <f>IF(monthly_mortgage_schedule[[#This Row],[Calendar Year]]&gt;=$C$7,monthly_mortgage_schedule[[#This Row],[Calendar Year]],NA())</f>
        <v>2040</v>
      </c>
      <c r="M244" s="199">
        <f>IF((monthly_mortgage_schedule[[#This Row],[Calendar Year]]&gt;=$C$7)*(monthly_mortgage_schedule[[#This Row],[Calendar Year]]&lt;=$C$9),monthly_mortgage_schedule[[#This Row],[Begin Year (Range)]],NA())</f>
        <v>2040</v>
      </c>
      <c r="N244" s="214">
        <f>IF((monthly_mortgage_schedule[[#This Row],[Year (Range)]]&gt;=$C$7)*(monthly_mortgage_schedule[[#This Row],[Year (Range)]]&lt;=$C$9),X244,NA())</f>
        <v>1169.1465930222203</v>
      </c>
      <c r="O244" s="214">
        <f>IF((monthly_mortgage_schedule[[#This Row],[Year (Range)]]&gt;=$C$7)*(monthly_mortgage_schedule[[#This Row],[Year (Range)]]&lt;=$C$9),Y244,NA())</f>
        <v>1930.8799024411878</v>
      </c>
      <c r="P244" s="214">
        <f>IF((monthly_mortgage_schedule[[#This Row],[Year (Range)]]&gt;=$C$7)*(monthly_mortgage_schedule[[#This Row],[Year (Range)]]&lt;=$C$9),AG244,NA())</f>
        <v>1438.8403169989042</v>
      </c>
      <c r="Q244" s="214">
        <f>IF((monthly_mortgage_schedule[[#This Row],[Year (Range)]]&gt;=$C$7)*(monthly_mortgage_schedule[[#This Row],[Year (Range)]]&lt;=$C$9),AH244,NA())</f>
        <v>1661.1861784645039</v>
      </c>
      <c r="R244" s="214">
        <f>IF((monthly_mortgage_schedule[[#This Row],[Year (Range)]]&gt;=$C$7)*(monthly_mortgage_schedule[[#This Row],[Year (Range)]]&lt;=$C$9),AO244,NA())</f>
        <v>25311.20600469445</v>
      </c>
      <c r="S244" s="214">
        <f>IF((monthly_mortgage_schedule[[#This Row],[Year (Range)]]&gt;=$C$7)*(monthly_mortgage_schedule[[#This Row],[Year (Range)]]&lt;=$C$9),AP244,NA())</f>
        <v>990</v>
      </c>
      <c r="T244" s="214">
        <f>IF((monthly_mortgage_schedule[[#This Row],[Year (Range)]]&gt;=$C$7)*(monthly_mortgage_schedule[[#This Row],[Year (Range)]]&lt;=$C$9),AR244,NA())</f>
        <v>42892.52493788868</v>
      </c>
      <c r="U244" s="214">
        <f>IF((monthly_mortgage_schedule[[#This Row],[Year (Range)]]&gt;=$C$7)*(monthly_mortgage_schedule[[#This Row],[Year (Range)]]&lt;=$C$9),AB244,NA())</f>
        <v>291399.46711196518</v>
      </c>
      <c r="V244" s="214">
        <f>IF((monthly_mortgage_schedule[[#This Row],[Year (Range)]]&gt;=$C$7)*(monthly_mortgage_schedule[[#This Row],[Year (Range)]]&lt;=$C$9),AI244,NA())</f>
        <v>233338.26110727096</v>
      </c>
      <c r="W244" s="187">
        <f t="shared" si="24"/>
        <v>250531.41279047576</v>
      </c>
      <c r="X244" s="4">
        <f t="shared" si="27"/>
        <v>1169.1465930222203</v>
      </c>
      <c r="Y244" s="4">
        <f t="shared" si="25"/>
        <v>1930.8799024411878</v>
      </c>
      <c r="Z244" s="4">
        <f>_xlfn.IFNA(INDEX(additional_mortgage_payments[],MATCH(monthly_mortgage_schedule[[#This Row],[Month]],additional_mortgage_payments[Month],0),3),0)</f>
        <v>0</v>
      </c>
      <c r="AA244" s="4">
        <f>AA243+monthly_mortgage_schedule[[#This Row],[Extra Payments Towards Equity]]</f>
        <v>32750</v>
      </c>
      <c r="AB244" s="4">
        <f>AB243+monthly_mortgage_schedule[[#This Row],[Principal With Extra Principal Payments]]+monthly_mortgage_schedule[[#This Row],[Extra Payments Towards Equity]]</f>
        <v>291399.46711196518</v>
      </c>
      <c r="AC244" s="4">
        <f>monthly_mortgage_schedule[[#This Row],[Cumulative Principal With Extra Principal Payments]]+down_payment_dollars</f>
        <v>351399.46711196518</v>
      </c>
      <c r="AD244" s="200">
        <f t="shared" si="22"/>
        <v>0</v>
      </c>
      <c r="AE24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248600.53288803456</v>
      </c>
      <c r="AF244" s="187">
        <f t="shared" si="28"/>
        <v>308322.92507119372</v>
      </c>
      <c r="AG244" s="4">
        <f>IF(monthly_mortgage_schedule[[#This Row],[Loan Balance (BOY) Without Extra Principal Payments]]&gt;0,monthly_mortgage_schedule[[#This Row],[Loan Balance (BOY) Without Extra Principal Payments]]*monthly_interest_rate,0)</f>
        <v>1438.8403169989042</v>
      </c>
      <c r="AH244" s="4">
        <f>IF(monthly_mortgage_schedule[[#This Row],[Loan Balance (BOY) Without Extra Principal Payments]]&gt;1,monthly_principal_and_interest-monthly_mortgage_schedule[[#This Row],[Interest Without Extra Principal Payments]],0)</f>
        <v>1661.1861784645039</v>
      </c>
      <c r="AI244" s="4">
        <f>AI243+monthly_mortgage_schedule[[#This Row],[Principal Without Extra Principal Payments]]</f>
        <v>233338.26110727096</v>
      </c>
      <c r="AJ244" s="4">
        <f>monthly_mortgage_schedule[[#This Row],[Cumulative Principal Without Extra Principal Payments]]+down_payment_dollars</f>
        <v>293338.26110727096</v>
      </c>
      <c r="AK244" s="200">
        <f t="shared" si="23"/>
        <v>0</v>
      </c>
      <c r="AL24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306661.73889272922</v>
      </c>
      <c r="AN244" s="196">
        <f>monthly_mortgage_schedule[[#This Row],[Extra Payments Towards Equity]]+AN243+IF(monthly_mortgage_schedule[[#This Row],[Interest With Extra Principal Payments]]&gt;0,monthly_mortgage_schedule[[#This Row],[Interest Without Extra Principal Payments]]-monthly_mortgage_schedule[[#This Row],[Interest With Extra Principal Payments]],0)</f>
        <v>58061.206004694468</v>
      </c>
      <c r="AO244" s="4">
        <f>AO243+IF(monthly_mortgage_schedule[[#This Row],[Interest With Extra Principal Payments]]&gt;0,monthly_mortgage_schedule[[#This Row],[Interest Without Extra Principal Payments]]-monthly_mortgage_schedule[[#This Row],[Interest With Extra Principal Payments]],0)</f>
        <v>25311.20600469445</v>
      </c>
      <c r="AP244" s="4">
        <f>AP243+monthly_mortgage_schedule[[#This Row],[PMI Without Extra Principal Payments]]-monthly_mortgage_schedule[[#This Row],[PMI with Additional Payments]]</f>
        <v>990</v>
      </c>
      <c r="AQ244" s="4">
        <f t="shared" si="26"/>
        <v>75642.52493788868</v>
      </c>
      <c r="AR244" s="4">
        <f>Table60[[#This Row],[Cumulative Investments]]-monthly_mortgage_schedule[[#This Row],[Cumulative Extra Payments Towards Equity]]</f>
        <v>42892.52493788868</v>
      </c>
    </row>
    <row r="245" spans="9:44" x14ac:dyDescent="0.25">
      <c r="I245">
        <v>228</v>
      </c>
      <c r="J245">
        <f>IF(MOD(ROWS($J$18:J244),12)=0,J244+1,J244)</f>
        <v>2040</v>
      </c>
      <c r="K245" s="198">
        <f>IF(M245="#N/A",NA(),monthly_mortgage_schedule[[#This Row],[Month]])</f>
        <v>228</v>
      </c>
      <c r="L245" s="198">
        <f>IF(monthly_mortgage_schedule[[#This Row],[Calendar Year]]&gt;=$C$7,monthly_mortgage_schedule[[#This Row],[Calendar Year]],NA())</f>
        <v>2040</v>
      </c>
      <c r="M245" s="199">
        <f>IF((monthly_mortgage_schedule[[#This Row],[Calendar Year]]&gt;=$C$7)*(monthly_mortgage_schedule[[#This Row],[Calendar Year]]&lt;=$C$9),monthly_mortgage_schedule[[#This Row],[Begin Year (Range)]],NA())</f>
        <v>2040</v>
      </c>
      <c r="N245" s="214">
        <f>IF((monthly_mortgage_schedule[[#This Row],[Year (Range)]]&gt;=$C$7)*(monthly_mortgage_schedule[[#This Row],[Year (Range)]]&lt;=$C$9),X245,NA())</f>
        <v>1160.1358201441615</v>
      </c>
      <c r="O245" s="214">
        <f>IF((monthly_mortgage_schedule[[#This Row],[Year (Range)]]&gt;=$C$7)*(monthly_mortgage_schedule[[#This Row],[Year (Range)]]&lt;=$C$9),Y245,NA())</f>
        <v>1939.8906753192466</v>
      </c>
      <c r="P245" s="214">
        <f>IF((monthly_mortgage_schedule[[#This Row],[Year (Range)]]&gt;=$C$7)*(monthly_mortgage_schedule[[#This Row],[Year (Range)]]&lt;=$C$9),AG245,NA())</f>
        <v>1431.0881148327364</v>
      </c>
      <c r="Q245" s="214">
        <f>IF((monthly_mortgage_schedule[[#This Row],[Year (Range)]]&gt;=$C$7)*(monthly_mortgage_schedule[[#This Row],[Year (Range)]]&lt;=$C$9),AH245,NA())</f>
        <v>1668.9383806306716</v>
      </c>
      <c r="R245" s="214">
        <f>IF((monthly_mortgage_schedule[[#This Row],[Year (Range)]]&gt;=$C$7)*(monthly_mortgage_schedule[[#This Row],[Year (Range)]]&lt;=$C$9),AO245,NA())</f>
        <v>25582.158299383023</v>
      </c>
      <c r="S245" s="214">
        <f>IF((monthly_mortgage_schedule[[#This Row],[Year (Range)]]&gt;=$C$7)*(monthly_mortgage_schedule[[#This Row],[Year (Range)]]&lt;=$C$9),AP245,NA())</f>
        <v>990</v>
      </c>
      <c r="T245" s="214">
        <f>IF((monthly_mortgage_schedule[[#This Row],[Year (Range)]]&gt;=$C$7)*(monthly_mortgage_schedule[[#This Row],[Year (Range)]]&lt;=$C$9),AR245,NA())</f>
        <v>43396.808437474596</v>
      </c>
      <c r="U245" s="214">
        <f>IF((monthly_mortgage_schedule[[#This Row],[Year (Range)]]&gt;=$C$7)*(monthly_mortgage_schedule[[#This Row],[Year (Range)]]&lt;=$C$9),AB245,NA())</f>
        <v>293339.35778728442</v>
      </c>
      <c r="V245" s="214">
        <f>IF((monthly_mortgage_schedule[[#This Row],[Year (Range)]]&gt;=$C$7)*(monthly_mortgage_schedule[[#This Row],[Year (Range)]]&lt;=$C$9),AI245,NA())</f>
        <v>235007.19948790161</v>
      </c>
      <c r="W245" s="187">
        <f t="shared" si="24"/>
        <v>248600.53288803456</v>
      </c>
      <c r="X245" s="4">
        <f t="shared" si="27"/>
        <v>1160.1358201441615</v>
      </c>
      <c r="Y245" s="4">
        <f t="shared" si="25"/>
        <v>1939.8906753192466</v>
      </c>
      <c r="Z245" s="4">
        <f>_xlfn.IFNA(INDEX(additional_mortgage_payments[],MATCH(monthly_mortgage_schedule[[#This Row],[Month]],additional_mortgage_payments[Month],0),3),0)</f>
        <v>0</v>
      </c>
      <c r="AA245" s="4">
        <f>AA244+monthly_mortgage_schedule[[#This Row],[Extra Payments Towards Equity]]</f>
        <v>32750</v>
      </c>
      <c r="AB245" s="4">
        <f>AB244+monthly_mortgage_schedule[[#This Row],[Principal With Extra Principal Payments]]+monthly_mortgage_schedule[[#This Row],[Extra Payments Towards Equity]]</f>
        <v>293339.35778728442</v>
      </c>
      <c r="AC245" s="4">
        <f>monthly_mortgage_schedule[[#This Row],[Cumulative Principal With Extra Principal Payments]]+down_payment_dollars</f>
        <v>353339.35778728442</v>
      </c>
      <c r="AD245" s="200">
        <f t="shared" si="22"/>
        <v>0</v>
      </c>
      <c r="AE24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246660.64221271532</v>
      </c>
      <c r="AF245" s="187">
        <f t="shared" si="28"/>
        <v>306661.73889272922</v>
      </c>
      <c r="AG245" s="4">
        <f>IF(monthly_mortgage_schedule[[#This Row],[Loan Balance (BOY) Without Extra Principal Payments]]&gt;0,monthly_mortgage_schedule[[#This Row],[Loan Balance (BOY) Without Extra Principal Payments]]*monthly_interest_rate,0)</f>
        <v>1431.0881148327364</v>
      </c>
      <c r="AH245" s="4">
        <f>IF(monthly_mortgage_schedule[[#This Row],[Loan Balance (BOY) Without Extra Principal Payments]]&gt;1,monthly_principal_and_interest-monthly_mortgage_schedule[[#This Row],[Interest Without Extra Principal Payments]],0)</f>
        <v>1668.9383806306716</v>
      </c>
      <c r="AI245" s="4">
        <f>AI244+monthly_mortgage_schedule[[#This Row],[Principal Without Extra Principal Payments]]</f>
        <v>235007.19948790161</v>
      </c>
      <c r="AJ245" s="4">
        <f>monthly_mortgage_schedule[[#This Row],[Cumulative Principal Without Extra Principal Payments]]+down_payment_dollars</f>
        <v>295007.19948790164</v>
      </c>
      <c r="AK245" s="200">
        <f t="shared" si="23"/>
        <v>0</v>
      </c>
      <c r="AL24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304992.80051209853</v>
      </c>
      <c r="AN245" s="196">
        <f>monthly_mortgage_schedule[[#This Row],[Extra Payments Towards Equity]]+AN244+IF(monthly_mortgage_schedule[[#This Row],[Interest With Extra Principal Payments]]&gt;0,monthly_mortgage_schedule[[#This Row],[Interest Without Extra Principal Payments]]-monthly_mortgage_schedule[[#This Row],[Interest With Extra Principal Payments]],0)</f>
        <v>58332.158299383045</v>
      </c>
      <c r="AO245" s="4">
        <f>AO244+IF(monthly_mortgage_schedule[[#This Row],[Interest With Extra Principal Payments]]&gt;0,monthly_mortgage_schedule[[#This Row],[Interest Without Extra Principal Payments]]-monthly_mortgage_schedule[[#This Row],[Interest With Extra Principal Payments]],0)</f>
        <v>25582.158299383023</v>
      </c>
      <c r="AP245" s="4">
        <f>AP244+monthly_mortgage_schedule[[#This Row],[PMI Without Extra Principal Payments]]-monthly_mortgage_schedule[[#This Row],[PMI with Additional Payments]]</f>
        <v>990</v>
      </c>
      <c r="AQ245" s="4">
        <f t="shared" si="26"/>
        <v>76146.808437474596</v>
      </c>
      <c r="AR245" s="4">
        <f>Table60[[#This Row],[Cumulative Investments]]-monthly_mortgage_schedule[[#This Row],[Cumulative Extra Payments Towards Equity]]</f>
        <v>43396.808437474596</v>
      </c>
    </row>
    <row r="246" spans="9:44" x14ac:dyDescent="0.25">
      <c r="I246">
        <v>229</v>
      </c>
      <c r="J246">
        <f>IF(MOD(ROWS($J$18:J245),12)=0,J245+1,J245)</f>
        <v>2041</v>
      </c>
      <c r="K246" s="198">
        <f>IF(M246="#N/A",NA(),monthly_mortgage_schedule[[#This Row],[Month]])</f>
        <v>229</v>
      </c>
      <c r="L246" s="198">
        <f>IF(monthly_mortgage_schedule[[#This Row],[Calendar Year]]&gt;=$C$7,monthly_mortgage_schedule[[#This Row],[Calendar Year]],NA())</f>
        <v>2041</v>
      </c>
      <c r="M246" s="199">
        <f>IF((monthly_mortgage_schedule[[#This Row],[Calendar Year]]&gt;=$C$7)*(monthly_mortgage_schedule[[#This Row],[Calendar Year]]&lt;=$C$9),monthly_mortgage_schedule[[#This Row],[Begin Year (Range)]],NA())</f>
        <v>2041</v>
      </c>
      <c r="N246" s="214">
        <f>IF((monthly_mortgage_schedule[[#This Row],[Year (Range)]]&gt;=$C$7)*(monthly_mortgage_schedule[[#This Row],[Year (Range)]]&lt;=$C$9),X246,NA())</f>
        <v>1151.0829969926715</v>
      </c>
      <c r="O246" s="214">
        <f>IF((monthly_mortgage_schedule[[#This Row],[Year (Range)]]&gt;=$C$7)*(monthly_mortgage_schedule[[#This Row],[Year (Range)]]&lt;=$C$9),Y246,NA())</f>
        <v>1948.9434984707366</v>
      </c>
      <c r="P246" s="214">
        <f>IF((monthly_mortgage_schedule[[#This Row],[Year (Range)]]&gt;=$C$7)*(monthly_mortgage_schedule[[#This Row],[Year (Range)]]&lt;=$C$9),AG246,NA())</f>
        <v>1423.2997357231266</v>
      </c>
      <c r="Q246" s="214">
        <f>IF((monthly_mortgage_schedule[[#This Row],[Year (Range)]]&gt;=$C$7)*(monthly_mortgage_schedule[[#This Row],[Year (Range)]]&lt;=$C$9),AH246,NA())</f>
        <v>1676.7267597402815</v>
      </c>
      <c r="R246" s="214">
        <f>IF((monthly_mortgage_schedule[[#This Row],[Year (Range)]]&gt;=$C$7)*(monthly_mortgage_schedule[[#This Row],[Year (Range)]]&lt;=$C$9),AO246,NA())</f>
        <v>25854.375038113478</v>
      </c>
      <c r="S246" s="214">
        <f>IF((monthly_mortgage_schedule[[#This Row],[Year (Range)]]&gt;=$C$7)*(monthly_mortgage_schedule[[#This Row],[Year (Range)]]&lt;=$C$9),AP246,NA())</f>
        <v>990</v>
      </c>
      <c r="T246" s="214">
        <f>IF((monthly_mortgage_schedule[[#This Row],[Year (Range)]]&gt;=$C$7)*(monthly_mortgage_schedule[[#This Row],[Year (Range)]]&lt;=$C$9),AR246,NA())</f>
        <v>43904.453827057761</v>
      </c>
      <c r="U246" s="214">
        <f>IF((monthly_mortgage_schedule[[#This Row],[Year (Range)]]&gt;=$C$7)*(monthly_mortgage_schedule[[#This Row],[Year (Range)]]&lt;=$C$9),AB246,NA())</f>
        <v>295288.30128575518</v>
      </c>
      <c r="V246" s="214">
        <f>IF((monthly_mortgage_schedule[[#This Row],[Year (Range)]]&gt;=$C$7)*(monthly_mortgage_schedule[[#This Row],[Year (Range)]]&lt;=$C$9),AI246,NA())</f>
        <v>236683.92624764188</v>
      </c>
      <c r="W246" s="187">
        <f t="shared" si="24"/>
        <v>246660.64221271532</v>
      </c>
      <c r="X246" s="4">
        <f t="shared" si="27"/>
        <v>1151.0829969926715</v>
      </c>
      <c r="Y246" s="4">
        <f t="shared" si="25"/>
        <v>1948.9434984707366</v>
      </c>
      <c r="Z246" s="4">
        <f>_xlfn.IFNA(INDEX(additional_mortgage_payments[],MATCH(monthly_mortgage_schedule[[#This Row],[Month]],additional_mortgage_payments[Month],0),3),0)</f>
        <v>0</v>
      </c>
      <c r="AA246" s="4">
        <f>AA245+monthly_mortgage_schedule[[#This Row],[Extra Payments Towards Equity]]</f>
        <v>32750</v>
      </c>
      <c r="AB246" s="4">
        <f>AB245+monthly_mortgage_schedule[[#This Row],[Principal With Extra Principal Payments]]+monthly_mortgage_schedule[[#This Row],[Extra Payments Towards Equity]]</f>
        <v>295288.30128575518</v>
      </c>
      <c r="AC246" s="4">
        <f>monthly_mortgage_schedule[[#This Row],[Cumulative Principal With Extra Principal Payments]]+down_payment_dollars</f>
        <v>355288.30128575518</v>
      </c>
      <c r="AD246" s="200">
        <f t="shared" si="22"/>
        <v>0</v>
      </c>
      <c r="AE24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244711.69871424459</v>
      </c>
      <c r="AF246" s="187">
        <f t="shared" si="28"/>
        <v>304992.80051209853</v>
      </c>
      <c r="AG246" s="4">
        <f>IF(monthly_mortgage_schedule[[#This Row],[Loan Balance (BOY) Without Extra Principal Payments]]&gt;0,monthly_mortgage_schedule[[#This Row],[Loan Balance (BOY) Without Extra Principal Payments]]*monthly_interest_rate,0)</f>
        <v>1423.2997357231266</v>
      </c>
      <c r="AH246" s="4">
        <f>IF(monthly_mortgage_schedule[[#This Row],[Loan Balance (BOY) Without Extra Principal Payments]]&gt;1,monthly_principal_and_interest-monthly_mortgage_schedule[[#This Row],[Interest Without Extra Principal Payments]],0)</f>
        <v>1676.7267597402815</v>
      </c>
      <c r="AI246" s="4">
        <f>AI245+monthly_mortgage_schedule[[#This Row],[Principal Without Extra Principal Payments]]</f>
        <v>236683.92624764188</v>
      </c>
      <c r="AJ246" s="4">
        <f>monthly_mortgage_schedule[[#This Row],[Cumulative Principal Without Extra Principal Payments]]+down_payment_dollars</f>
        <v>296683.92624764191</v>
      </c>
      <c r="AK246" s="200">
        <f t="shared" si="23"/>
        <v>0</v>
      </c>
      <c r="AL24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303316.07375235826</v>
      </c>
      <c r="AN246" s="196">
        <f>monthly_mortgage_schedule[[#This Row],[Extra Payments Towards Equity]]+AN245+IF(monthly_mortgage_schedule[[#This Row],[Interest With Extra Principal Payments]]&gt;0,monthly_mortgage_schedule[[#This Row],[Interest Without Extra Principal Payments]]-monthly_mortgage_schedule[[#This Row],[Interest With Extra Principal Payments]],0)</f>
        <v>58604.375038113503</v>
      </c>
      <c r="AO246" s="4">
        <f>AO245+IF(monthly_mortgage_schedule[[#This Row],[Interest With Extra Principal Payments]]&gt;0,monthly_mortgage_schedule[[#This Row],[Interest Without Extra Principal Payments]]-monthly_mortgage_schedule[[#This Row],[Interest With Extra Principal Payments]],0)</f>
        <v>25854.375038113478</v>
      </c>
      <c r="AP246" s="4">
        <f>AP245+monthly_mortgage_schedule[[#This Row],[PMI Without Extra Principal Payments]]-monthly_mortgage_schedule[[#This Row],[PMI with Additional Payments]]</f>
        <v>990</v>
      </c>
      <c r="AQ246" s="4">
        <f t="shared" si="26"/>
        <v>76654.453827057761</v>
      </c>
      <c r="AR246" s="4">
        <f>Table60[[#This Row],[Cumulative Investments]]-monthly_mortgage_schedule[[#This Row],[Cumulative Extra Payments Towards Equity]]</f>
        <v>43904.453827057761</v>
      </c>
    </row>
    <row r="247" spans="9:44" x14ac:dyDescent="0.25">
      <c r="I247">
        <v>230</v>
      </c>
      <c r="J247">
        <f>IF(MOD(ROWS($J$18:J246),12)=0,J246+1,J246)</f>
        <v>2041</v>
      </c>
      <c r="K247" s="198">
        <f>IF(M247="#N/A",NA(),monthly_mortgage_schedule[[#This Row],[Month]])</f>
        <v>230</v>
      </c>
      <c r="L247" s="198">
        <f>IF(monthly_mortgage_schedule[[#This Row],[Calendar Year]]&gt;=$C$7,monthly_mortgage_schedule[[#This Row],[Calendar Year]],NA())</f>
        <v>2041</v>
      </c>
      <c r="M247" s="199">
        <f>IF((monthly_mortgage_schedule[[#This Row],[Calendar Year]]&gt;=$C$7)*(monthly_mortgage_schedule[[#This Row],[Calendar Year]]&lt;=$C$9),monthly_mortgage_schedule[[#This Row],[Begin Year (Range)]],NA())</f>
        <v>2041</v>
      </c>
      <c r="N247" s="214">
        <f>IF((monthly_mortgage_schedule[[#This Row],[Year (Range)]]&gt;=$C$7)*(monthly_mortgage_schedule[[#This Row],[Year (Range)]]&lt;=$C$9),X247,NA())</f>
        <v>1141.9879273331414</v>
      </c>
      <c r="O247" s="214">
        <f>IF((monthly_mortgage_schedule[[#This Row],[Year (Range)]]&gt;=$C$7)*(monthly_mortgage_schedule[[#This Row],[Year (Range)]]&lt;=$C$9),Y247,NA())</f>
        <v>1958.0385681302666</v>
      </c>
      <c r="P247" s="214">
        <f>IF((monthly_mortgage_schedule[[#This Row],[Year (Range)]]&gt;=$C$7)*(monthly_mortgage_schedule[[#This Row],[Year (Range)]]&lt;=$C$9),AG247,NA())</f>
        <v>1415.4750108443386</v>
      </c>
      <c r="Q247" s="214">
        <f>IF((monthly_mortgage_schedule[[#This Row],[Year (Range)]]&gt;=$C$7)*(monthly_mortgage_schedule[[#This Row],[Year (Range)]]&lt;=$C$9),AH247,NA())</f>
        <v>1684.5514846190695</v>
      </c>
      <c r="R247" s="214">
        <f>IF((monthly_mortgage_schedule[[#This Row],[Year (Range)]]&gt;=$C$7)*(monthly_mortgage_schedule[[#This Row],[Year (Range)]]&lt;=$C$9),AO247,NA())</f>
        <v>26127.862121624676</v>
      </c>
      <c r="S247" s="214">
        <f>IF((monthly_mortgage_schedule[[#This Row],[Year (Range)]]&gt;=$C$7)*(monthly_mortgage_schedule[[#This Row],[Year (Range)]]&lt;=$C$9),AP247,NA())</f>
        <v>990</v>
      </c>
      <c r="T247" s="214">
        <f>IF((monthly_mortgage_schedule[[#This Row],[Year (Range)]]&gt;=$C$7)*(monthly_mortgage_schedule[[#This Row],[Year (Range)]]&lt;=$C$9),AR247,NA())</f>
        <v>44418.816852571472</v>
      </c>
      <c r="U247" s="214">
        <f>IF((monthly_mortgage_schedule[[#This Row],[Year (Range)]]&gt;=$C$7)*(monthly_mortgage_schedule[[#This Row],[Year (Range)]]&lt;=$C$9),AB247,NA())</f>
        <v>297746.33985388547</v>
      </c>
      <c r="V247" s="214">
        <f>IF((monthly_mortgage_schedule[[#This Row],[Year (Range)]]&gt;=$C$7)*(monthly_mortgage_schedule[[#This Row],[Year (Range)]]&lt;=$C$9),AI247,NA())</f>
        <v>238368.47773226094</v>
      </c>
      <c r="W247" s="187">
        <f t="shared" si="24"/>
        <v>244711.69871424459</v>
      </c>
      <c r="X247" s="4">
        <f t="shared" si="27"/>
        <v>1141.9879273331414</v>
      </c>
      <c r="Y247" s="4">
        <f t="shared" si="25"/>
        <v>1958.0385681302666</v>
      </c>
      <c r="Z247" s="4">
        <f>_xlfn.IFNA(INDEX(additional_mortgage_payments[],MATCH(monthly_mortgage_schedule[[#This Row],[Month]],additional_mortgage_payments[Month],0),3),0)</f>
        <v>500</v>
      </c>
      <c r="AA247" s="4">
        <f>AA246+monthly_mortgage_schedule[[#This Row],[Extra Payments Towards Equity]]</f>
        <v>33250</v>
      </c>
      <c r="AB247" s="4">
        <f>AB246+monthly_mortgage_schedule[[#This Row],[Principal With Extra Principal Payments]]+monthly_mortgage_schedule[[#This Row],[Extra Payments Towards Equity]]</f>
        <v>297746.33985388547</v>
      </c>
      <c r="AC247" s="4">
        <f>monthly_mortgage_schedule[[#This Row],[Cumulative Principal With Extra Principal Payments]]+down_payment_dollars</f>
        <v>357746.33985388547</v>
      </c>
      <c r="AD247" s="200">
        <f t="shared" si="22"/>
        <v>0</v>
      </c>
      <c r="AE24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242253.66014611433</v>
      </c>
      <c r="AF247" s="187">
        <f t="shared" si="28"/>
        <v>303316.07375235826</v>
      </c>
      <c r="AG247" s="4">
        <f>IF(monthly_mortgage_schedule[[#This Row],[Loan Balance (BOY) Without Extra Principal Payments]]&gt;0,monthly_mortgage_schedule[[#This Row],[Loan Balance (BOY) Without Extra Principal Payments]]*monthly_interest_rate,0)</f>
        <v>1415.4750108443386</v>
      </c>
      <c r="AH247" s="4">
        <f>IF(monthly_mortgage_schedule[[#This Row],[Loan Balance (BOY) Without Extra Principal Payments]]&gt;1,monthly_principal_and_interest-monthly_mortgage_schedule[[#This Row],[Interest Without Extra Principal Payments]],0)</f>
        <v>1684.5514846190695</v>
      </c>
      <c r="AI247" s="4">
        <f>AI246+monthly_mortgage_schedule[[#This Row],[Principal Without Extra Principal Payments]]</f>
        <v>238368.47773226094</v>
      </c>
      <c r="AJ247" s="4">
        <f>monthly_mortgage_schedule[[#This Row],[Cumulative Principal Without Extra Principal Payments]]+down_payment_dollars</f>
        <v>298368.47773226094</v>
      </c>
      <c r="AK247" s="200">
        <f t="shared" si="23"/>
        <v>0</v>
      </c>
      <c r="AL24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301631.52226773917</v>
      </c>
      <c r="AN247" s="196">
        <f>monthly_mortgage_schedule[[#This Row],[Extra Payments Towards Equity]]+AN246+IF(monthly_mortgage_schedule[[#This Row],[Interest With Extra Principal Payments]]&gt;0,monthly_mortgage_schedule[[#This Row],[Interest Without Extra Principal Payments]]-monthly_mortgage_schedule[[#This Row],[Interest With Extra Principal Payments]],0)</f>
        <v>59377.862121624697</v>
      </c>
      <c r="AO247" s="4">
        <f>AO246+IF(monthly_mortgage_schedule[[#This Row],[Interest With Extra Principal Payments]]&gt;0,monthly_mortgage_schedule[[#This Row],[Interest Without Extra Principal Payments]]-monthly_mortgage_schedule[[#This Row],[Interest With Extra Principal Payments]],0)</f>
        <v>26127.862121624676</v>
      </c>
      <c r="AP247" s="4">
        <f>AP246+monthly_mortgage_schedule[[#This Row],[PMI Without Extra Principal Payments]]-monthly_mortgage_schedule[[#This Row],[PMI with Additional Payments]]</f>
        <v>990</v>
      </c>
      <c r="AQ247" s="4">
        <f t="shared" si="26"/>
        <v>77668.816852571472</v>
      </c>
      <c r="AR247" s="4">
        <f>Table60[[#This Row],[Cumulative Investments]]-monthly_mortgage_schedule[[#This Row],[Cumulative Extra Payments Towards Equity]]</f>
        <v>44418.816852571472</v>
      </c>
    </row>
    <row r="248" spans="9:44" x14ac:dyDescent="0.25">
      <c r="I248">
        <v>231</v>
      </c>
      <c r="J248">
        <f>IF(MOD(ROWS($J$18:J247),12)=0,J247+1,J247)</f>
        <v>2041</v>
      </c>
      <c r="K248" s="198">
        <f>IF(M248="#N/A",NA(),monthly_mortgage_schedule[[#This Row],[Month]])</f>
        <v>231</v>
      </c>
      <c r="L248" s="198">
        <f>IF(monthly_mortgage_schedule[[#This Row],[Calendar Year]]&gt;=$C$7,monthly_mortgage_schedule[[#This Row],[Calendar Year]],NA())</f>
        <v>2041</v>
      </c>
      <c r="M248" s="199">
        <f>IF((monthly_mortgage_schedule[[#This Row],[Calendar Year]]&gt;=$C$7)*(monthly_mortgage_schedule[[#This Row],[Calendar Year]]&lt;=$C$9),monthly_mortgage_schedule[[#This Row],[Begin Year (Range)]],NA())</f>
        <v>2041</v>
      </c>
      <c r="N248" s="214">
        <f>IF((monthly_mortgage_schedule[[#This Row],[Year (Range)]]&gt;=$C$7)*(monthly_mortgage_schedule[[#This Row],[Year (Range)]]&lt;=$C$9),X248,NA())</f>
        <v>1130.5170806818669</v>
      </c>
      <c r="O248" s="214">
        <f>IF((monthly_mortgage_schedule[[#This Row],[Year (Range)]]&gt;=$C$7)*(monthly_mortgage_schedule[[#This Row],[Year (Range)]]&lt;=$C$9),Y248,NA())</f>
        <v>1969.5094147815412</v>
      </c>
      <c r="P248" s="214">
        <f>IF((monthly_mortgage_schedule[[#This Row],[Year (Range)]]&gt;=$C$7)*(monthly_mortgage_schedule[[#This Row],[Year (Range)]]&lt;=$C$9),AG248,NA())</f>
        <v>1407.613770582783</v>
      </c>
      <c r="Q248" s="214">
        <f>IF((monthly_mortgage_schedule[[#This Row],[Year (Range)]]&gt;=$C$7)*(monthly_mortgage_schedule[[#This Row],[Year (Range)]]&lt;=$C$9),AH248,NA())</f>
        <v>1692.4127248806251</v>
      </c>
      <c r="R248" s="214">
        <f>IF((monthly_mortgage_schedule[[#This Row],[Year (Range)]]&gt;=$C$7)*(monthly_mortgage_schedule[[#This Row],[Year (Range)]]&lt;=$C$9),AO248,NA())</f>
        <v>26404.95881152559</v>
      </c>
      <c r="S248" s="214">
        <f>IF((monthly_mortgage_schedule[[#This Row],[Year (Range)]]&gt;=$C$7)*(monthly_mortgage_schedule[[#This Row],[Year (Range)]]&lt;=$C$9),AP248,NA())</f>
        <v>990</v>
      </c>
      <c r="T248" s="214">
        <f>IF((monthly_mortgage_schedule[[#This Row],[Year (Range)]]&gt;=$C$7)*(monthly_mortgage_schedule[[#This Row],[Year (Range)]]&lt;=$C$9),AR248,NA())</f>
        <v>44936.60896492195</v>
      </c>
      <c r="U248" s="214">
        <f>IF((monthly_mortgage_schedule[[#This Row],[Year (Range)]]&gt;=$C$7)*(monthly_mortgage_schedule[[#This Row],[Year (Range)]]&lt;=$C$9),AB248,NA())</f>
        <v>299715.84926866699</v>
      </c>
      <c r="V248" s="214">
        <f>IF((monthly_mortgage_schedule[[#This Row],[Year (Range)]]&gt;=$C$7)*(monthly_mortgage_schedule[[#This Row],[Year (Range)]]&lt;=$C$9),AI248,NA())</f>
        <v>240060.89045714156</v>
      </c>
      <c r="W248" s="187">
        <f t="shared" si="24"/>
        <v>242253.66014611433</v>
      </c>
      <c r="X248" s="4">
        <f t="shared" si="27"/>
        <v>1130.5170806818669</v>
      </c>
      <c r="Y248" s="4">
        <f t="shared" si="25"/>
        <v>1969.5094147815412</v>
      </c>
      <c r="Z248" s="4">
        <f>_xlfn.IFNA(INDEX(additional_mortgage_payments[],MATCH(monthly_mortgage_schedule[[#This Row],[Month]],additional_mortgage_payments[Month],0),3),0)</f>
        <v>0</v>
      </c>
      <c r="AA248" s="4">
        <f>AA247+monthly_mortgage_schedule[[#This Row],[Extra Payments Towards Equity]]</f>
        <v>33250</v>
      </c>
      <c r="AB248" s="4">
        <f>AB247+monthly_mortgage_schedule[[#This Row],[Principal With Extra Principal Payments]]+monthly_mortgage_schedule[[#This Row],[Extra Payments Towards Equity]]</f>
        <v>299715.84926866699</v>
      </c>
      <c r="AC248" s="4">
        <f>monthly_mortgage_schedule[[#This Row],[Cumulative Principal With Extra Principal Payments]]+down_payment_dollars</f>
        <v>359715.84926866699</v>
      </c>
      <c r="AD248" s="200">
        <f t="shared" si="22"/>
        <v>0</v>
      </c>
      <c r="AE24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240284.15073133277</v>
      </c>
      <c r="AF248" s="187">
        <f t="shared" si="28"/>
        <v>301631.52226773917</v>
      </c>
      <c r="AG248" s="4">
        <f>IF(monthly_mortgage_schedule[[#This Row],[Loan Balance (BOY) Without Extra Principal Payments]]&gt;0,monthly_mortgage_schedule[[#This Row],[Loan Balance (BOY) Without Extra Principal Payments]]*monthly_interest_rate,0)</f>
        <v>1407.613770582783</v>
      </c>
      <c r="AH248" s="4">
        <f>IF(monthly_mortgage_schedule[[#This Row],[Loan Balance (BOY) Without Extra Principal Payments]]&gt;1,monthly_principal_and_interest-monthly_mortgage_schedule[[#This Row],[Interest Without Extra Principal Payments]],0)</f>
        <v>1692.4127248806251</v>
      </c>
      <c r="AI248" s="4">
        <f>AI247+monthly_mortgage_schedule[[#This Row],[Principal Without Extra Principal Payments]]</f>
        <v>240060.89045714156</v>
      </c>
      <c r="AJ248" s="4">
        <f>monthly_mortgage_schedule[[#This Row],[Cumulative Principal Without Extra Principal Payments]]+down_payment_dollars</f>
        <v>300060.89045714156</v>
      </c>
      <c r="AK248" s="200">
        <f t="shared" si="23"/>
        <v>0</v>
      </c>
      <c r="AL24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299939.10954285855</v>
      </c>
      <c r="AN248" s="196">
        <f>monthly_mortgage_schedule[[#This Row],[Extra Payments Towards Equity]]+AN247+IF(monthly_mortgage_schedule[[#This Row],[Interest With Extra Principal Payments]]&gt;0,monthly_mortgage_schedule[[#This Row],[Interest Without Extra Principal Payments]]-monthly_mortgage_schedule[[#This Row],[Interest With Extra Principal Payments]],0)</f>
        <v>59654.958811525612</v>
      </c>
      <c r="AO248" s="4">
        <f>AO247+IF(monthly_mortgage_schedule[[#This Row],[Interest With Extra Principal Payments]]&gt;0,monthly_mortgage_schedule[[#This Row],[Interest Without Extra Principal Payments]]-monthly_mortgage_schedule[[#This Row],[Interest With Extra Principal Payments]],0)</f>
        <v>26404.95881152559</v>
      </c>
      <c r="AP248" s="4">
        <f>AP247+monthly_mortgage_schedule[[#This Row],[PMI Without Extra Principal Payments]]-monthly_mortgage_schedule[[#This Row],[PMI with Additional Payments]]</f>
        <v>990</v>
      </c>
      <c r="AQ248" s="4">
        <f t="shared" si="26"/>
        <v>78186.60896492195</v>
      </c>
      <c r="AR248" s="4">
        <f>Table60[[#This Row],[Cumulative Investments]]-monthly_mortgage_schedule[[#This Row],[Cumulative Extra Payments Towards Equity]]</f>
        <v>44936.60896492195</v>
      </c>
    </row>
    <row r="249" spans="9:44" x14ac:dyDescent="0.25">
      <c r="I249">
        <v>232</v>
      </c>
      <c r="J249">
        <f>IF(MOD(ROWS($J$18:J248),12)=0,J248+1,J248)</f>
        <v>2041</v>
      </c>
      <c r="K249" s="198">
        <f>IF(M249="#N/A",NA(),monthly_mortgage_schedule[[#This Row],[Month]])</f>
        <v>232</v>
      </c>
      <c r="L249" s="198">
        <f>IF(monthly_mortgage_schedule[[#This Row],[Calendar Year]]&gt;=$C$7,monthly_mortgage_schedule[[#This Row],[Calendar Year]],NA())</f>
        <v>2041</v>
      </c>
      <c r="M249" s="199">
        <f>IF((monthly_mortgage_schedule[[#This Row],[Calendar Year]]&gt;=$C$7)*(monthly_mortgage_schedule[[#This Row],[Calendar Year]]&lt;=$C$9),monthly_mortgage_schedule[[#This Row],[Begin Year (Range)]],NA())</f>
        <v>2041</v>
      </c>
      <c r="N249" s="214">
        <f>IF((monthly_mortgage_schedule[[#This Row],[Year (Range)]]&gt;=$C$7)*(monthly_mortgage_schedule[[#This Row],[Year (Range)]]&lt;=$C$9),X249,NA())</f>
        <v>1121.3260367462196</v>
      </c>
      <c r="O249" s="214">
        <f>IF((monthly_mortgage_schedule[[#This Row],[Year (Range)]]&gt;=$C$7)*(monthly_mortgage_schedule[[#This Row],[Year (Range)]]&lt;=$C$9),Y249,NA())</f>
        <v>1978.7004587171884</v>
      </c>
      <c r="P249" s="214">
        <f>IF((monthly_mortgage_schedule[[#This Row],[Year (Range)]]&gt;=$C$7)*(monthly_mortgage_schedule[[#This Row],[Year (Range)]]&lt;=$C$9),AG249,NA())</f>
        <v>1399.71584453334</v>
      </c>
      <c r="Q249" s="214">
        <f>IF((monthly_mortgage_schedule[[#This Row],[Year (Range)]]&gt;=$C$7)*(monthly_mortgage_schedule[[#This Row],[Year (Range)]]&lt;=$C$9),AH249,NA())</f>
        <v>1700.3106509300681</v>
      </c>
      <c r="R249" s="214">
        <f>IF((monthly_mortgage_schedule[[#This Row],[Year (Range)]]&gt;=$C$7)*(monthly_mortgage_schedule[[#This Row],[Year (Range)]]&lt;=$C$9),AO249,NA())</f>
        <v>26683.34861931271</v>
      </c>
      <c r="S249" s="214">
        <f>IF((monthly_mortgage_schedule[[#This Row],[Year (Range)]]&gt;=$C$7)*(monthly_mortgage_schedule[[#This Row],[Year (Range)]]&lt;=$C$9),AP249,NA())</f>
        <v>990</v>
      </c>
      <c r="T249" s="214">
        <f>IF((monthly_mortgage_schedule[[#This Row],[Year (Range)]]&gt;=$C$7)*(monthly_mortgage_schedule[[#This Row],[Year (Range)]]&lt;=$C$9),AR249,NA())</f>
        <v>45457.853024688098</v>
      </c>
      <c r="U249" s="214">
        <f>IF((monthly_mortgage_schedule[[#This Row],[Year (Range)]]&gt;=$C$7)*(monthly_mortgage_schedule[[#This Row],[Year (Range)]]&lt;=$C$9),AB249,NA())</f>
        <v>301694.54972738418</v>
      </c>
      <c r="V249" s="214">
        <f>IF((monthly_mortgage_schedule[[#This Row],[Year (Range)]]&gt;=$C$7)*(monthly_mortgage_schedule[[#This Row],[Year (Range)]]&lt;=$C$9),AI249,NA())</f>
        <v>241761.20110807163</v>
      </c>
      <c r="W249" s="187">
        <f t="shared" si="24"/>
        <v>240284.15073133277</v>
      </c>
      <c r="X249" s="4">
        <f t="shared" si="27"/>
        <v>1121.3260367462196</v>
      </c>
      <c r="Y249" s="4">
        <f t="shared" si="25"/>
        <v>1978.7004587171884</v>
      </c>
      <c r="Z249" s="4">
        <f>_xlfn.IFNA(INDEX(additional_mortgage_payments[],MATCH(monthly_mortgage_schedule[[#This Row],[Month]],additional_mortgage_payments[Month],0),3),0)</f>
        <v>0</v>
      </c>
      <c r="AA249" s="4">
        <f>AA248+monthly_mortgage_schedule[[#This Row],[Extra Payments Towards Equity]]</f>
        <v>33250</v>
      </c>
      <c r="AB249" s="4">
        <f>AB248+monthly_mortgage_schedule[[#This Row],[Principal With Extra Principal Payments]]+monthly_mortgage_schedule[[#This Row],[Extra Payments Towards Equity]]</f>
        <v>301694.54972738418</v>
      </c>
      <c r="AC249" s="4">
        <f>monthly_mortgage_schedule[[#This Row],[Cumulative Principal With Extra Principal Payments]]+down_payment_dollars</f>
        <v>361694.54972738418</v>
      </c>
      <c r="AD249" s="200">
        <f t="shared" si="22"/>
        <v>0</v>
      </c>
      <c r="AE24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238305.45027261559</v>
      </c>
      <c r="AF249" s="187">
        <f t="shared" si="28"/>
        <v>299939.10954285855</v>
      </c>
      <c r="AG249" s="4">
        <f>IF(monthly_mortgage_schedule[[#This Row],[Loan Balance (BOY) Without Extra Principal Payments]]&gt;0,monthly_mortgage_schedule[[#This Row],[Loan Balance (BOY) Without Extra Principal Payments]]*monthly_interest_rate,0)</f>
        <v>1399.71584453334</v>
      </c>
      <c r="AH249" s="4">
        <f>IF(monthly_mortgage_schedule[[#This Row],[Loan Balance (BOY) Without Extra Principal Payments]]&gt;1,monthly_principal_and_interest-monthly_mortgage_schedule[[#This Row],[Interest Without Extra Principal Payments]],0)</f>
        <v>1700.3106509300681</v>
      </c>
      <c r="AI249" s="4">
        <f>AI248+monthly_mortgage_schedule[[#This Row],[Principal Without Extra Principal Payments]]</f>
        <v>241761.20110807163</v>
      </c>
      <c r="AJ249" s="4">
        <f>monthly_mortgage_schedule[[#This Row],[Cumulative Principal Without Extra Principal Payments]]+down_payment_dollars</f>
        <v>301761.2011080716</v>
      </c>
      <c r="AK249" s="200">
        <f t="shared" si="23"/>
        <v>0</v>
      </c>
      <c r="AL24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298238.79889192851</v>
      </c>
      <c r="AN249" s="196">
        <f>monthly_mortgage_schedule[[#This Row],[Extra Payments Towards Equity]]+AN248+IF(monthly_mortgage_schedule[[#This Row],[Interest With Extra Principal Payments]]&gt;0,monthly_mortgage_schedule[[#This Row],[Interest Without Extra Principal Payments]]-monthly_mortgage_schedule[[#This Row],[Interest With Extra Principal Payments]],0)</f>
        <v>59933.348619312732</v>
      </c>
      <c r="AO249" s="4">
        <f>AO248+IF(monthly_mortgage_schedule[[#This Row],[Interest With Extra Principal Payments]]&gt;0,monthly_mortgage_schedule[[#This Row],[Interest Without Extra Principal Payments]]-monthly_mortgage_schedule[[#This Row],[Interest With Extra Principal Payments]],0)</f>
        <v>26683.34861931271</v>
      </c>
      <c r="AP249" s="4">
        <f>AP248+monthly_mortgage_schedule[[#This Row],[PMI Without Extra Principal Payments]]-monthly_mortgage_schedule[[#This Row],[PMI with Additional Payments]]</f>
        <v>990</v>
      </c>
      <c r="AQ249" s="4">
        <f t="shared" si="26"/>
        <v>78707.853024688098</v>
      </c>
      <c r="AR249" s="4">
        <f>Table60[[#This Row],[Cumulative Investments]]-monthly_mortgage_schedule[[#This Row],[Cumulative Extra Payments Towards Equity]]</f>
        <v>45457.853024688098</v>
      </c>
    </row>
    <row r="250" spans="9:44" x14ac:dyDescent="0.25">
      <c r="I250">
        <v>233</v>
      </c>
      <c r="J250">
        <f>IF(MOD(ROWS($J$18:J249),12)=0,J249+1,J249)</f>
        <v>2041</v>
      </c>
      <c r="K250" s="198">
        <f>IF(M250="#N/A",NA(),monthly_mortgage_schedule[[#This Row],[Month]])</f>
        <v>233</v>
      </c>
      <c r="L250" s="198">
        <f>IF(monthly_mortgage_schedule[[#This Row],[Calendar Year]]&gt;=$C$7,monthly_mortgage_schedule[[#This Row],[Calendar Year]],NA())</f>
        <v>2041</v>
      </c>
      <c r="M250" s="199">
        <f>IF((monthly_mortgage_schedule[[#This Row],[Calendar Year]]&gt;=$C$7)*(monthly_mortgage_schedule[[#This Row],[Calendar Year]]&lt;=$C$9),monthly_mortgage_schedule[[#This Row],[Begin Year (Range)]],NA())</f>
        <v>2041</v>
      </c>
      <c r="N250" s="214">
        <f>IF((monthly_mortgage_schedule[[#This Row],[Year (Range)]]&gt;=$C$7)*(monthly_mortgage_schedule[[#This Row],[Year (Range)]]&lt;=$C$9),X250,NA())</f>
        <v>1112.0921012722063</v>
      </c>
      <c r="O250" s="214">
        <f>IF((monthly_mortgage_schedule[[#This Row],[Year (Range)]]&gt;=$C$7)*(monthly_mortgage_schedule[[#This Row],[Year (Range)]]&lt;=$C$9),Y250,NA())</f>
        <v>1987.9343941912018</v>
      </c>
      <c r="P250" s="214">
        <f>IF((monthly_mortgage_schedule[[#This Row],[Year (Range)]]&gt;=$C$7)*(monthly_mortgage_schedule[[#This Row],[Year (Range)]]&lt;=$C$9),AG250,NA())</f>
        <v>1391.7810614956666</v>
      </c>
      <c r="Q250" s="214">
        <f>IF((monthly_mortgage_schedule[[#This Row],[Year (Range)]]&gt;=$C$7)*(monthly_mortgage_schedule[[#This Row],[Year (Range)]]&lt;=$C$9),AH250,NA())</f>
        <v>1708.2454339677415</v>
      </c>
      <c r="R250" s="214">
        <f>IF((monthly_mortgage_schedule[[#This Row],[Year (Range)]]&gt;=$C$7)*(monthly_mortgage_schedule[[#This Row],[Year (Range)]]&lt;=$C$9),AO250,NA())</f>
        <v>26963.037579536169</v>
      </c>
      <c r="S250" s="214">
        <f>IF((monthly_mortgage_schedule[[#This Row],[Year (Range)]]&gt;=$C$7)*(monthly_mortgage_schedule[[#This Row],[Year (Range)]]&lt;=$C$9),AP250,NA())</f>
        <v>990</v>
      </c>
      <c r="T250" s="214">
        <f>IF((monthly_mortgage_schedule[[#This Row],[Year (Range)]]&gt;=$C$7)*(monthly_mortgage_schedule[[#This Row],[Year (Range)]]&lt;=$C$9),AR250,NA())</f>
        <v>45982.572044852684</v>
      </c>
      <c r="U250" s="214">
        <f>IF((monthly_mortgage_schedule[[#This Row],[Year (Range)]]&gt;=$C$7)*(monthly_mortgage_schedule[[#This Row],[Year (Range)]]&lt;=$C$9),AB250,NA())</f>
        <v>303682.48412157537</v>
      </c>
      <c r="V250" s="214">
        <f>IF((monthly_mortgage_schedule[[#This Row],[Year (Range)]]&gt;=$C$7)*(monthly_mortgage_schedule[[#This Row],[Year (Range)]]&lt;=$C$9),AI250,NA())</f>
        <v>243469.44654203937</v>
      </c>
      <c r="W250" s="187">
        <f t="shared" si="24"/>
        <v>238305.45027261559</v>
      </c>
      <c r="X250" s="4">
        <f t="shared" si="27"/>
        <v>1112.0921012722063</v>
      </c>
      <c r="Y250" s="4">
        <f t="shared" si="25"/>
        <v>1987.9343941912018</v>
      </c>
      <c r="Z250" s="4">
        <f>_xlfn.IFNA(INDEX(additional_mortgage_payments[],MATCH(monthly_mortgage_schedule[[#This Row],[Month]],additional_mortgage_payments[Month],0),3),0)</f>
        <v>0</v>
      </c>
      <c r="AA250" s="4">
        <f>AA249+monthly_mortgage_schedule[[#This Row],[Extra Payments Towards Equity]]</f>
        <v>33250</v>
      </c>
      <c r="AB250" s="4">
        <f>AB249+monthly_mortgage_schedule[[#This Row],[Principal With Extra Principal Payments]]+monthly_mortgage_schedule[[#This Row],[Extra Payments Towards Equity]]</f>
        <v>303682.48412157537</v>
      </c>
      <c r="AC250" s="4">
        <f>monthly_mortgage_schedule[[#This Row],[Cumulative Principal With Extra Principal Payments]]+down_payment_dollars</f>
        <v>363682.48412157537</v>
      </c>
      <c r="AD250" s="200">
        <f t="shared" si="22"/>
        <v>0</v>
      </c>
      <c r="AE25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236317.5158784244</v>
      </c>
      <c r="AF250" s="187">
        <f t="shared" si="28"/>
        <v>298238.79889192851</v>
      </c>
      <c r="AG250" s="4">
        <f>IF(monthly_mortgage_schedule[[#This Row],[Loan Balance (BOY) Without Extra Principal Payments]]&gt;0,monthly_mortgage_schedule[[#This Row],[Loan Balance (BOY) Without Extra Principal Payments]]*monthly_interest_rate,0)</f>
        <v>1391.7810614956666</v>
      </c>
      <c r="AH250" s="4">
        <f>IF(monthly_mortgage_schedule[[#This Row],[Loan Balance (BOY) Without Extra Principal Payments]]&gt;1,monthly_principal_and_interest-monthly_mortgage_schedule[[#This Row],[Interest Without Extra Principal Payments]],0)</f>
        <v>1708.2454339677415</v>
      </c>
      <c r="AI250" s="4">
        <f>AI249+monthly_mortgage_schedule[[#This Row],[Principal Without Extra Principal Payments]]</f>
        <v>243469.44654203937</v>
      </c>
      <c r="AJ250" s="4">
        <f>monthly_mortgage_schedule[[#This Row],[Cumulative Principal Without Extra Principal Payments]]+down_payment_dollars</f>
        <v>303469.4465420394</v>
      </c>
      <c r="AK250" s="200">
        <f t="shared" si="23"/>
        <v>0</v>
      </c>
      <c r="AL25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296530.55345796078</v>
      </c>
      <c r="AN250" s="196">
        <f>monthly_mortgage_schedule[[#This Row],[Extra Payments Towards Equity]]+AN249+IF(monthly_mortgage_schedule[[#This Row],[Interest With Extra Principal Payments]]&gt;0,monthly_mortgage_schedule[[#This Row],[Interest Without Extra Principal Payments]]-monthly_mortgage_schedule[[#This Row],[Interest With Extra Principal Payments]],0)</f>
        <v>60213.037579536191</v>
      </c>
      <c r="AO250" s="4">
        <f>AO249+IF(monthly_mortgage_schedule[[#This Row],[Interest With Extra Principal Payments]]&gt;0,monthly_mortgage_schedule[[#This Row],[Interest Without Extra Principal Payments]]-monthly_mortgage_schedule[[#This Row],[Interest With Extra Principal Payments]],0)</f>
        <v>26963.037579536169</v>
      </c>
      <c r="AP250" s="4">
        <f>AP249+monthly_mortgage_schedule[[#This Row],[PMI Without Extra Principal Payments]]-monthly_mortgage_schedule[[#This Row],[PMI with Additional Payments]]</f>
        <v>990</v>
      </c>
      <c r="AQ250" s="4">
        <f t="shared" si="26"/>
        <v>79232.572044852684</v>
      </c>
      <c r="AR250" s="4">
        <f>Table60[[#This Row],[Cumulative Investments]]-monthly_mortgage_schedule[[#This Row],[Cumulative Extra Payments Towards Equity]]</f>
        <v>45982.572044852684</v>
      </c>
    </row>
    <row r="251" spans="9:44" x14ac:dyDescent="0.25">
      <c r="I251">
        <v>234</v>
      </c>
      <c r="J251">
        <f>IF(MOD(ROWS($J$18:J250),12)=0,J250+1,J250)</f>
        <v>2041</v>
      </c>
      <c r="K251" s="198">
        <f>IF(M251="#N/A",NA(),monthly_mortgage_schedule[[#This Row],[Month]])</f>
        <v>234</v>
      </c>
      <c r="L251" s="198">
        <f>IF(monthly_mortgage_schedule[[#This Row],[Calendar Year]]&gt;=$C$7,monthly_mortgage_schedule[[#This Row],[Calendar Year]],NA())</f>
        <v>2041</v>
      </c>
      <c r="M251" s="199">
        <f>IF((monthly_mortgage_schedule[[#This Row],[Calendar Year]]&gt;=$C$7)*(monthly_mortgage_schedule[[#This Row],[Calendar Year]]&lt;=$C$9),monthly_mortgage_schedule[[#This Row],[Begin Year (Range)]],NA())</f>
        <v>2041</v>
      </c>
      <c r="N251" s="214">
        <f>IF((monthly_mortgage_schedule[[#This Row],[Year (Range)]]&gt;=$C$7)*(monthly_mortgage_schedule[[#This Row],[Year (Range)]]&lt;=$C$9),X251,NA())</f>
        <v>1102.815074099314</v>
      </c>
      <c r="O251" s="214">
        <f>IF((monthly_mortgage_schedule[[#This Row],[Year (Range)]]&gt;=$C$7)*(monthly_mortgage_schedule[[#This Row],[Year (Range)]]&lt;=$C$9),Y251,NA())</f>
        <v>1997.2114213640941</v>
      </c>
      <c r="P251" s="214">
        <f>IF((monthly_mortgage_schedule[[#This Row],[Year (Range)]]&gt;=$C$7)*(monthly_mortgage_schedule[[#This Row],[Year (Range)]]&lt;=$C$9),AG251,NA())</f>
        <v>1383.8092494704838</v>
      </c>
      <c r="Q251" s="214">
        <f>IF((monthly_mortgage_schedule[[#This Row],[Year (Range)]]&gt;=$C$7)*(monthly_mortgage_schedule[[#This Row],[Year (Range)]]&lt;=$C$9),AH251,NA())</f>
        <v>1716.2172459929243</v>
      </c>
      <c r="R251" s="214">
        <f>IF((monthly_mortgage_schedule[[#This Row],[Year (Range)]]&gt;=$C$7)*(monthly_mortgage_schedule[[#This Row],[Year (Range)]]&lt;=$C$9),AO251,NA())</f>
        <v>27244.031754907337</v>
      </c>
      <c r="S251" s="214">
        <f>IF((monthly_mortgage_schedule[[#This Row],[Year (Range)]]&gt;=$C$7)*(monthly_mortgage_schedule[[#This Row],[Year (Range)]]&lt;=$C$9),AP251,NA())</f>
        <v>990</v>
      </c>
      <c r="T251" s="214">
        <f>IF((monthly_mortgage_schedule[[#This Row],[Year (Range)]]&gt;=$C$7)*(monthly_mortgage_schedule[[#This Row],[Year (Range)]]&lt;=$C$9),AR251,NA())</f>
        <v>46510.78919181836</v>
      </c>
      <c r="U251" s="214">
        <f>IF((monthly_mortgage_schedule[[#This Row],[Year (Range)]]&gt;=$C$7)*(monthly_mortgage_schedule[[#This Row],[Year (Range)]]&lt;=$C$9),AB251,NA())</f>
        <v>305679.69554293947</v>
      </c>
      <c r="V251" s="214">
        <f>IF((monthly_mortgage_schedule[[#This Row],[Year (Range)]]&gt;=$C$7)*(monthly_mortgage_schedule[[#This Row],[Year (Range)]]&lt;=$C$9),AI251,NA())</f>
        <v>245185.66378803228</v>
      </c>
      <c r="W251" s="187">
        <f t="shared" si="24"/>
        <v>236317.5158784244</v>
      </c>
      <c r="X251" s="4">
        <f t="shared" si="27"/>
        <v>1102.815074099314</v>
      </c>
      <c r="Y251" s="4">
        <f t="shared" si="25"/>
        <v>1997.2114213640941</v>
      </c>
      <c r="Z251" s="4">
        <f>_xlfn.IFNA(INDEX(additional_mortgage_payments[],MATCH(monthly_mortgage_schedule[[#This Row],[Month]],additional_mortgage_payments[Month],0),3),0)</f>
        <v>0</v>
      </c>
      <c r="AA251" s="4">
        <f>AA250+monthly_mortgage_schedule[[#This Row],[Extra Payments Towards Equity]]</f>
        <v>33250</v>
      </c>
      <c r="AB251" s="4">
        <f>AB250+monthly_mortgage_schedule[[#This Row],[Principal With Extra Principal Payments]]+monthly_mortgage_schedule[[#This Row],[Extra Payments Towards Equity]]</f>
        <v>305679.69554293947</v>
      </c>
      <c r="AC251" s="4">
        <f>monthly_mortgage_schedule[[#This Row],[Cumulative Principal With Extra Principal Payments]]+down_payment_dollars</f>
        <v>365679.69554293947</v>
      </c>
      <c r="AD251" s="200">
        <f t="shared" si="22"/>
        <v>0</v>
      </c>
      <c r="AE25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234320.30445706029</v>
      </c>
      <c r="AF251" s="187">
        <f t="shared" si="28"/>
        <v>296530.55345796078</v>
      </c>
      <c r="AG251" s="4">
        <f>IF(monthly_mortgage_schedule[[#This Row],[Loan Balance (BOY) Without Extra Principal Payments]]&gt;0,monthly_mortgage_schedule[[#This Row],[Loan Balance (BOY) Without Extra Principal Payments]]*monthly_interest_rate,0)</f>
        <v>1383.8092494704838</v>
      </c>
      <c r="AH251" s="4">
        <f>IF(monthly_mortgage_schedule[[#This Row],[Loan Balance (BOY) Without Extra Principal Payments]]&gt;1,monthly_principal_and_interest-monthly_mortgage_schedule[[#This Row],[Interest Without Extra Principal Payments]],0)</f>
        <v>1716.2172459929243</v>
      </c>
      <c r="AI251" s="4">
        <f>AI250+monthly_mortgage_schedule[[#This Row],[Principal Without Extra Principal Payments]]</f>
        <v>245185.66378803228</v>
      </c>
      <c r="AJ251" s="4">
        <f>monthly_mortgage_schedule[[#This Row],[Cumulative Principal Without Extra Principal Payments]]+down_payment_dollars</f>
        <v>305185.66378803225</v>
      </c>
      <c r="AK251" s="200">
        <f t="shared" si="23"/>
        <v>0</v>
      </c>
      <c r="AL25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294814.33621196786</v>
      </c>
      <c r="AN251" s="196">
        <f>monthly_mortgage_schedule[[#This Row],[Extra Payments Towards Equity]]+AN250+IF(monthly_mortgage_schedule[[#This Row],[Interest With Extra Principal Payments]]&gt;0,monthly_mortgage_schedule[[#This Row],[Interest Without Extra Principal Payments]]-monthly_mortgage_schedule[[#This Row],[Interest With Extra Principal Payments]],0)</f>
        <v>60494.031754907359</v>
      </c>
      <c r="AO251" s="4">
        <f>AO250+IF(monthly_mortgage_schedule[[#This Row],[Interest With Extra Principal Payments]]&gt;0,monthly_mortgage_schedule[[#This Row],[Interest Without Extra Principal Payments]]-monthly_mortgage_schedule[[#This Row],[Interest With Extra Principal Payments]],0)</f>
        <v>27244.031754907337</v>
      </c>
      <c r="AP251" s="4">
        <f>AP250+monthly_mortgage_schedule[[#This Row],[PMI Without Extra Principal Payments]]-monthly_mortgage_schedule[[#This Row],[PMI with Additional Payments]]</f>
        <v>990</v>
      </c>
      <c r="AQ251" s="4">
        <f t="shared" si="26"/>
        <v>79760.78919181836</v>
      </c>
      <c r="AR251" s="4">
        <f>Table60[[#This Row],[Cumulative Investments]]-monthly_mortgage_schedule[[#This Row],[Cumulative Extra Payments Towards Equity]]</f>
        <v>46510.78919181836</v>
      </c>
    </row>
    <row r="252" spans="9:44" x14ac:dyDescent="0.25">
      <c r="I252">
        <v>235</v>
      </c>
      <c r="J252">
        <f>IF(MOD(ROWS($J$18:J251),12)=0,J251+1,J251)</f>
        <v>2041</v>
      </c>
      <c r="K252" s="198">
        <f>IF(M252="#N/A",NA(),monthly_mortgage_schedule[[#This Row],[Month]])</f>
        <v>235</v>
      </c>
      <c r="L252" s="198">
        <f>IF(monthly_mortgage_schedule[[#This Row],[Calendar Year]]&gt;=$C$7,monthly_mortgage_schedule[[#This Row],[Calendar Year]],NA())</f>
        <v>2041</v>
      </c>
      <c r="M252" s="199">
        <f>IF((monthly_mortgage_schedule[[#This Row],[Calendar Year]]&gt;=$C$7)*(monthly_mortgage_schedule[[#This Row],[Calendar Year]]&lt;=$C$9),monthly_mortgage_schedule[[#This Row],[Begin Year (Range)]],NA())</f>
        <v>2041</v>
      </c>
      <c r="N252" s="214">
        <f>IF((monthly_mortgage_schedule[[#This Row],[Year (Range)]]&gt;=$C$7)*(monthly_mortgage_schedule[[#This Row],[Year (Range)]]&lt;=$C$9),X252,NA())</f>
        <v>1093.4947541329482</v>
      </c>
      <c r="O252" s="214">
        <f>IF((monthly_mortgage_schedule[[#This Row],[Year (Range)]]&gt;=$C$7)*(monthly_mortgage_schedule[[#This Row],[Year (Range)]]&lt;=$C$9),Y252,NA())</f>
        <v>2006.5317413304599</v>
      </c>
      <c r="P252" s="214">
        <f>IF((monthly_mortgage_schedule[[#This Row],[Year (Range)]]&gt;=$C$7)*(monthly_mortgage_schedule[[#This Row],[Year (Range)]]&lt;=$C$9),AG252,NA())</f>
        <v>1375.8002356558502</v>
      </c>
      <c r="Q252" s="214">
        <f>IF((monthly_mortgage_schedule[[#This Row],[Year (Range)]]&gt;=$C$7)*(monthly_mortgage_schedule[[#This Row],[Year (Range)]]&lt;=$C$9),AH252,NA())</f>
        <v>1724.2262598075579</v>
      </c>
      <c r="R252" s="214">
        <f>IF((monthly_mortgage_schedule[[#This Row],[Year (Range)]]&gt;=$C$7)*(monthly_mortgage_schedule[[#This Row],[Year (Range)]]&lt;=$C$9),AO252,NA())</f>
        <v>27526.337236430238</v>
      </c>
      <c r="S252" s="214">
        <f>IF((monthly_mortgage_schedule[[#This Row],[Year (Range)]]&gt;=$C$7)*(monthly_mortgage_schedule[[#This Row],[Year (Range)]]&lt;=$C$9),AP252,NA())</f>
        <v>990</v>
      </c>
      <c r="T252" s="214">
        <f>IF((monthly_mortgage_schedule[[#This Row],[Year (Range)]]&gt;=$C$7)*(monthly_mortgage_schedule[[#This Row],[Year (Range)]]&lt;=$C$9),AR252,NA())</f>
        <v>47042.527786430481</v>
      </c>
      <c r="U252" s="214">
        <f>IF((monthly_mortgage_schedule[[#This Row],[Year (Range)]]&gt;=$C$7)*(monthly_mortgage_schedule[[#This Row],[Year (Range)]]&lt;=$C$9),AB252,NA())</f>
        <v>307686.22728426993</v>
      </c>
      <c r="V252" s="214">
        <f>IF((monthly_mortgage_schedule[[#This Row],[Year (Range)]]&gt;=$C$7)*(monthly_mortgage_schedule[[#This Row],[Year (Range)]]&lt;=$C$9),AI252,NA())</f>
        <v>246909.89004783984</v>
      </c>
      <c r="W252" s="187">
        <f t="shared" si="24"/>
        <v>234320.30445706029</v>
      </c>
      <c r="X252" s="4">
        <f t="shared" si="27"/>
        <v>1093.4947541329482</v>
      </c>
      <c r="Y252" s="4">
        <f t="shared" si="25"/>
        <v>2006.5317413304599</v>
      </c>
      <c r="Z252" s="4">
        <f>_xlfn.IFNA(INDEX(additional_mortgage_payments[],MATCH(monthly_mortgage_schedule[[#This Row],[Month]],additional_mortgage_payments[Month],0),3),0)</f>
        <v>0</v>
      </c>
      <c r="AA252" s="4">
        <f>AA251+monthly_mortgage_schedule[[#This Row],[Extra Payments Towards Equity]]</f>
        <v>33250</v>
      </c>
      <c r="AB252" s="4">
        <f>AB251+monthly_mortgage_schedule[[#This Row],[Principal With Extra Principal Payments]]+monthly_mortgage_schedule[[#This Row],[Extra Payments Towards Equity]]</f>
        <v>307686.22728426993</v>
      </c>
      <c r="AC252" s="4">
        <f>monthly_mortgage_schedule[[#This Row],[Cumulative Principal With Extra Principal Payments]]+down_payment_dollars</f>
        <v>367686.22728426993</v>
      </c>
      <c r="AD252" s="200">
        <f t="shared" si="22"/>
        <v>0</v>
      </c>
      <c r="AE25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232313.77271572984</v>
      </c>
      <c r="AF252" s="187">
        <f t="shared" si="28"/>
        <v>294814.33621196786</v>
      </c>
      <c r="AG252" s="4">
        <f>IF(monthly_mortgage_schedule[[#This Row],[Loan Balance (BOY) Without Extra Principal Payments]]&gt;0,monthly_mortgage_schedule[[#This Row],[Loan Balance (BOY) Without Extra Principal Payments]]*monthly_interest_rate,0)</f>
        <v>1375.8002356558502</v>
      </c>
      <c r="AH252" s="4">
        <f>IF(monthly_mortgage_schedule[[#This Row],[Loan Balance (BOY) Without Extra Principal Payments]]&gt;1,monthly_principal_and_interest-monthly_mortgage_schedule[[#This Row],[Interest Without Extra Principal Payments]],0)</f>
        <v>1724.2262598075579</v>
      </c>
      <c r="AI252" s="4">
        <f>AI251+monthly_mortgage_schedule[[#This Row],[Principal Without Extra Principal Payments]]</f>
        <v>246909.89004783984</v>
      </c>
      <c r="AJ252" s="4">
        <f>monthly_mortgage_schedule[[#This Row],[Cumulative Principal Without Extra Principal Payments]]+down_payment_dollars</f>
        <v>306909.89004783984</v>
      </c>
      <c r="AK252" s="200">
        <f t="shared" si="23"/>
        <v>0</v>
      </c>
      <c r="AL25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293090.10995216033</v>
      </c>
      <c r="AN252" s="196">
        <f>monthly_mortgage_schedule[[#This Row],[Extra Payments Towards Equity]]+AN251+IF(monthly_mortgage_schedule[[#This Row],[Interest With Extra Principal Payments]]&gt;0,monthly_mortgage_schedule[[#This Row],[Interest Without Extra Principal Payments]]-monthly_mortgage_schedule[[#This Row],[Interest With Extra Principal Payments]],0)</f>
        <v>60776.337236430263</v>
      </c>
      <c r="AO252" s="4">
        <f>AO251+IF(monthly_mortgage_schedule[[#This Row],[Interest With Extra Principal Payments]]&gt;0,monthly_mortgage_schedule[[#This Row],[Interest Without Extra Principal Payments]]-monthly_mortgage_schedule[[#This Row],[Interest With Extra Principal Payments]],0)</f>
        <v>27526.337236430238</v>
      </c>
      <c r="AP252" s="4">
        <f>AP251+monthly_mortgage_schedule[[#This Row],[PMI Without Extra Principal Payments]]-monthly_mortgage_schedule[[#This Row],[PMI with Additional Payments]]</f>
        <v>990</v>
      </c>
      <c r="AQ252" s="4">
        <f t="shared" si="26"/>
        <v>80292.527786430481</v>
      </c>
      <c r="AR252" s="4">
        <f>Table60[[#This Row],[Cumulative Investments]]-monthly_mortgage_schedule[[#This Row],[Cumulative Extra Payments Towards Equity]]</f>
        <v>47042.527786430481</v>
      </c>
    </row>
    <row r="253" spans="9:44" x14ac:dyDescent="0.25">
      <c r="I253">
        <v>236</v>
      </c>
      <c r="J253">
        <f>IF(MOD(ROWS($J$18:J252),12)=0,J252+1,J252)</f>
        <v>2041</v>
      </c>
      <c r="K253" s="198">
        <f>IF(M253="#N/A",NA(),monthly_mortgage_schedule[[#This Row],[Month]])</f>
        <v>236</v>
      </c>
      <c r="L253" s="198">
        <f>IF(monthly_mortgage_schedule[[#This Row],[Calendar Year]]&gt;=$C$7,monthly_mortgage_schedule[[#This Row],[Calendar Year]],NA())</f>
        <v>2041</v>
      </c>
      <c r="M253" s="199">
        <f>IF((monthly_mortgage_schedule[[#This Row],[Calendar Year]]&gt;=$C$7)*(monthly_mortgage_schedule[[#This Row],[Calendar Year]]&lt;=$C$9),monthly_mortgage_schedule[[#This Row],[Begin Year (Range)]],NA())</f>
        <v>2041</v>
      </c>
      <c r="N253" s="214">
        <f>IF((monthly_mortgage_schedule[[#This Row],[Year (Range)]]&gt;=$C$7)*(monthly_mortgage_schedule[[#This Row],[Year (Range)]]&lt;=$C$9),X253,NA())</f>
        <v>1084.1309393400727</v>
      </c>
      <c r="O253" s="214">
        <f>IF((monthly_mortgage_schedule[[#This Row],[Year (Range)]]&gt;=$C$7)*(monthly_mortgage_schedule[[#This Row],[Year (Range)]]&lt;=$C$9),Y253,NA())</f>
        <v>2015.8955561233354</v>
      </c>
      <c r="P253" s="214">
        <f>IF((monthly_mortgage_schedule[[#This Row],[Year (Range)]]&gt;=$C$7)*(monthly_mortgage_schedule[[#This Row],[Year (Range)]]&lt;=$C$9),AG253,NA())</f>
        <v>1367.7538464434149</v>
      </c>
      <c r="Q253" s="214">
        <f>IF((monthly_mortgage_schedule[[#This Row],[Year (Range)]]&gt;=$C$7)*(monthly_mortgage_schedule[[#This Row],[Year (Range)]]&lt;=$C$9),AH253,NA())</f>
        <v>1732.2726490199932</v>
      </c>
      <c r="R253" s="214">
        <f>IF((monthly_mortgage_schedule[[#This Row],[Year (Range)]]&gt;=$C$7)*(monthly_mortgage_schedule[[#This Row],[Year (Range)]]&lt;=$C$9),AO253,NA())</f>
        <v>27809.960143533579</v>
      </c>
      <c r="S253" s="214">
        <f>IF((monthly_mortgage_schedule[[#This Row],[Year (Range)]]&gt;=$C$7)*(monthly_mortgage_schedule[[#This Row],[Year (Range)]]&lt;=$C$9),AP253,NA())</f>
        <v>990</v>
      </c>
      <c r="T253" s="214">
        <f>IF((monthly_mortgage_schedule[[#This Row],[Year (Range)]]&gt;=$C$7)*(monthly_mortgage_schedule[[#This Row],[Year (Range)]]&lt;=$C$9),AR253,NA())</f>
        <v>47577.811305006675</v>
      </c>
      <c r="U253" s="214">
        <f>IF((monthly_mortgage_schedule[[#This Row],[Year (Range)]]&gt;=$C$7)*(monthly_mortgage_schedule[[#This Row],[Year (Range)]]&lt;=$C$9),AB253,NA())</f>
        <v>309702.12284039328</v>
      </c>
      <c r="V253" s="214">
        <f>IF((monthly_mortgage_schedule[[#This Row],[Year (Range)]]&gt;=$C$7)*(monthly_mortgage_schedule[[#This Row],[Year (Range)]]&lt;=$C$9),AI253,NA())</f>
        <v>248642.16269685983</v>
      </c>
      <c r="W253" s="187">
        <f t="shared" si="24"/>
        <v>232313.77271572984</v>
      </c>
      <c r="X253" s="4">
        <f t="shared" si="27"/>
        <v>1084.1309393400727</v>
      </c>
      <c r="Y253" s="4">
        <f t="shared" si="25"/>
        <v>2015.8955561233354</v>
      </c>
      <c r="Z253" s="4">
        <f>_xlfn.IFNA(INDEX(additional_mortgage_payments[],MATCH(monthly_mortgage_schedule[[#This Row],[Month]],additional_mortgage_payments[Month],0),3),0)</f>
        <v>0</v>
      </c>
      <c r="AA253" s="4">
        <f>AA252+monthly_mortgage_schedule[[#This Row],[Extra Payments Towards Equity]]</f>
        <v>33250</v>
      </c>
      <c r="AB253" s="4">
        <f>AB252+monthly_mortgage_schedule[[#This Row],[Principal With Extra Principal Payments]]+monthly_mortgage_schedule[[#This Row],[Extra Payments Towards Equity]]</f>
        <v>309702.12284039328</v>
      </c>
      <c r="AC253" s="4">
        <f>monthly_mortgage_schedule[[#This Row],[Cumulative Principal With Extra Principal Payments]]+down_payment_dollars</f>
        <v>369702.12284039328</v>
      </c>
      <c r="AD253" s="200">
        <f t="shared" si="22"/>
        <v>0</v>
      </c>
      <c r="AE25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230297.87715960649</v>
      </c>
      <c r="AF253" s="187">
        <f t="shared" si="28"/>
        <v>293090.10995216033</v>
      </c>
      <c r="AG253" s="4">
        <f>IF(monthly_mortgage_schedule[[#This Row],[Loan Balance (BOY) Without Extra Principal Payments]]&gt;0,monthly_mortgage_schedule[[#This Row],[Loan Balance (BOY) Without Extra Principal Payments]]*monthly_interest_rate,0)</f>
        <v>1367.7538464434149</v>
      </c>
      <c r="AH253" s="4">
        <f>IF(monthly_mortgage_schedule[[#This Row],[Loan Balance (BOY) Without Extra Principal Payments]]&gt;1,monthly_principal_and_interest-monthly_mortgage_schedule[[#This Row],[Interest Without Extra Principal Payments]],0)</f>
        <v>1732.2726490199932</v>
      </c>
      <c r="AI253" s="4">
        <f>AI252+monthly_mortgage_schedule[[#This Row],[Principal Without Extra Principal Payments]]</f>
        <v>248642.16269685983</v>
      </c>
      <c r="AJ253" s="4">
        <f>monthly_mortgage_schedule[[#This Row],[Cumulative Principal Without Extra Principal Payments]]+down_payment_dollars</f>
        <v>308642.1626968598</v>
      </c>
      <c r="AK253" s="200">
        <f t="shared" si="23"/>
        <v>0</v>
      </c>
      <c r="AL25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291357.83730314032</v>
      </c>
      <c r="AN253" s="196">
        <f>monthly_mortgage_schedule[[#This Row],[Extra Payments Towards Equity]]+AN252+IF(monthly_mortgage_schedule[[#This Row],[Interest With Extra Principal Payments]]&gt;0,monthly_mortgage_schedule[[#This Row],[Interest Without Extra Principal Payments]]-monthly_mortgage_schedule[[#This Row],[Interest With Extra Principal Payments]],0)</f>
        <v>61059.960143533608</v>
      </c>
      <c r="AO253" s="4">
        <f>AO252+IF(monthly_mortgage_schedule[[#This Row],[Interest With Extra Principal Payments]]&gt;0,monthly_mortgage_schedule[[#This Row],[Interest Without Extra Principal Payments]]-monthly_mortgage_schedule[[#This Row],[Interest With Extra Principal Payments]],0)</f>
        <v>27809.960143533579</v>
      </c>
      <c r="AP253" s="4">
        <f>AP252+monthly_mortgage_schedule[[#This Row],[PMI Without Extra Principal Payments]]-monthly_mortgage_schedule[[#This Row],[PMI with Additional Payments]]</f>
        <v>990</v>
      </c>
      <c r="AQ253" s="4">
        <f t="shared" si="26"/>
        <v>80827.811305006675</v>
      </c>
      <c r="AR253" s="4">
        <f>Table60[[#This Row],[Cumulative Investments]]-monthly_mortgage_schedule[[#This Row],[Cumulative Extra Payments Towards Equity]]</f>
        <v>47577.811305006675</v>
      </c>
    </row>
    <row r="254" spans="9:44" x14ac:dyDescent="0.25">
      <c r="I254">
        <v>237</v>
      </c>
      <c r="J254">
        <f>IF(MOD(ROWS($J$18:J253),12)=0,J253+1,J253)</f>
        <v>2041</v>
      </c>
      <c r="K254" s="198">
        <f>IF(M254="#N/A",NA(),monthly_mortgage_schedule[[#This Row],[Month]])</f>
        <v>237</v>
      </c>
      <c r="L254" s="198">
        <f>IF(monthly_mortgage_schedule[[#This Row],[Calendar Year]]&gt;=$C$7,monthly_mortgage_schedule[[#This Row],[Calendar Year]],NA())</f>
        <v>2041</v>
      </c>
      <c r="M254" s="199">
        <f>IF((monthly_mortgage_schedule[[#This Row],[Calendar Year]]&gt;=$C$7)*(monthly_mortgage_schedule[[#This Row],[Calendar Year]]&lt;=$C$9),monthly_mortgage_schedule[[#This Row],[Begin Year (Range)]],NA())</f>
        <v>2041</v>
      </c>
      <c r="N254" s="214">
        <f>IF((monthly_mortgage_schedule[[#This Row],[Year (Range)]]&gt;=$C$7)*(monthly_mortgage_schedule[[#This Row],[Year (Range)]]&lt;=$C$9),X254,NA())</f>
        <v>1074.7234267448305</v>
      </c>
      <c r="O254" s="214">
        <f>IF((monthly_mortgage_schedule[[#This Row],[Year (Range)]]&gt;=$C$7)*(monthly_mortgage_schedule[[#This Row],[Year (Range)]]&lt;=$C$9),Y254,NA())</f>
        <v>2025.3030687185776</v>
      </c>
      <c r="P254" s="214">
        <f>IF((monthly_mortgage_schedule[[#This Row],[Year (Range)]]&gt;=$C$7)*(monthly_mortgage_schedule[[#This Row],[Year (Range)]]&lt;=$C$9),AG254,NA())</f>
        <v>1359.669907414655</v>
      </c>
      <c r="Q254" s="214">
        <f>IF((monthly_mortgage_schedule[[#This Row],[Year (Range)]]&gt;=$C$7)*(monthly_mortgage_schedule[[#This Row],[Year (Range)]]&lt;=$C$9),AH254,NA())</f>
        <v>1740.3565880487531</v>
      </c>
      <c r="R254" s="214">
        <f>IF((monthly_mortgage_schedule[[#This Row],[Year (Range)]]&gt;=$C$7)*(monthly_mortgage_schedule[[#This Row],[Year (Range)]]&lt;=$C$9),AO254,NA())</f>
        <v>28094.906624203402</v>
      </c>
      <c r="S254" s="214">
        <f>IF((monthly_mortgage_schedule[[#This Row],[Year (Range)]]&gt;=$C$7)*(monthly_mortgage_schedule[[#This Row],[Year (Range)]]&lt;=$C$9),AP254,NA())</f>
        <v>990</v>
      </c>
      <c r="T254" s="214">
        <f>IF((monthly_mortgage_schedule[[#This Row],[Year (Range)]]&gt;=$C$7)*(monthly_mortgage_schedule[[#This Row],[Year (Range)]]&lt;=$C$9),AR254,NA())</f>
        <v>48116.663380373386</v>
      </c>
      <c r="U254" s="214">
        <f>IF((monthly_mortgage_schedule[[#This Row],[Year (Range)]]&gt;=$C$7)*(monthly_mortgage_schedule[[#This Row],[Year (Range)]]&lt;=$C$9),AB254,NA())</f>
        <v>311727.42590911186</v>
      </c>
      <c r="V254" s="214">
        <f>IF((monthly_mortgage_schedule[[#This Row],[Year (Range)]]&gt;=$C$7)*(monthly_mortgage_schedule[[#This Row],[Year (Range)]]&lt;=$C$9),AI254,NA())</f>
        <v>250382.51928490857</v>
      </c>
      <c r="W254" s="187">
        <f t="shared" si="24"/>
        <v>230297.87715960649</v>
      </c>
      <c r="X254" s="4">
        <f t="shared" si="27"/>
        <v>1074.7234267448305</v>
      </c>
      <c r="Y254" s="4">
        <f t="shared" si="25"/>
        <v>2025.3030687185776</v>
      </c>
      <c r="Z254" s="4">
        <f>_xlfn.IFNA(INDEX(additional_mortgage_payments[],MATCH(monthly_mortgage_schedule[[#This Row],[Month]],additional_mortgage_payments[Month],0),3),0)</f>
        <v>0</v>
      </c>
      <c r="AA254" s="4">
        <f>AA253+monthly_mortgage_schedule[[#This Row],[Extra Payments Towards Equity]]</f>
        <v>33250</v>
      </c>
      <c r="AB254" s="4">
        <f>AB253+monthly_mortgage_schedule[[#This Row],[Principal With Extra Principal Payments]]+monthly_mortgage_schedule[[#This Row],[Extra Payments Towards Equity]]</f>
        <v>311727.42590911186</v>
      </c>
      <c r="AC254" s="4">
        <f>monthly_mortgage_schedule[[#This Row],[Cumulative Principal With Extra Principal Payments]]+down_payment_dollars</f>
        <v>371727.42590911186</v>
      </c>
      <c r="AD254" s="200">
        <f t="shared" si="22"/>
        <v>0</v>
      </c>
      <c r="AE25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228272.57409088791</v>
      </c>
      <c r="AF254" s="187">
        <f t="shared" si="28"/>
        <v>291357.83730314032</v>
      </c>
      <c r="AG254" s="4">
        <f>IF(monthly_mortgage_schedule[[#This Row],[Loan Balance (BOY) Without Extra Principal Payments]]&gt;0,monthly_mortgage_schedule[[#This Row],[Loan Balance (BOY) Without Extra Principal Payments]]*monthly_interest_rate,0)</f>
        <v>1359.669907414655</v>
      </c>
      <c r="AH254" s="4">
        <f>IF(monthly_mortgage_schedule[[#This Row],[Loan Balance (BOY) Without Extra Principal Payments]]&gt;1,monthly_principal_and_interest-monthly_mortgage_schedule[[#This Row],[Interest Without Extra Principal Payments]],0)</f>
        <v>1740.3565880487531</v>
      </c>
      <c r="AI254" s="4">
        <f>AI253+monthly_mortgage_schedule[[#This Row],[Principal Without Extra Principal Payments]]</f>
        <v>250382.51928490857</v>
      </c>
      <c r="AJ254" s="4">
        <f>monthly_mortgage_schedule[[#This Row],[Cumulative Principal Without Extra Principal Payments]]+down_payment_dollars</f>
        <v>310382.51928490854</v>
      </c>
      <c r="AK254" s="200">
        <f t="shared" si="23"/>
        <v>0</v>
      </c>
      <c r="AL25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289617.48071509157</v>
      </c>
      <c r="AN254" s="196">
        <f>monthly_mortgage_schedule[[#This Row],[Extra Payments Towards Equity]]+AN253+IF(monthly_mortgage_schedule[[#This Row],[Interest With Extra Principal Payments]]&gt;0,monthly_mortgage_schedule[[#This Row],[Interest Without Extra Principal Payments]]-monthly_mortgage_schedule[[#This Row],[Interest With Extra Principal Payments]],0)</f>
        <v>61344.906624203431</v>
      </c>
      <c r="AO254" s="4">
        <f>AO253+IF(monthly_mortgage_schedule[[#This Row],[Interest With Extra Principal Payments]]&gt;0,monthly_mortgage_schedule[[#This Row],[Interest Without Extra Principal Payments]]-monthly_mortgage_schedule[[#This Row],[Interest With Extra Principal Payments]],0)</f>
        <v>28094.906624203402</v>
      </c>
      <c r="AP254" s="4">
        <f>AP253+monthly_mortgage_schedule[[#This Row],[PMI Without Extra Principal Payments]]-monthly_mortgage_schedule[[#This Row],[PMI with Additional Payments]]</f>
        <v>990</v>
      </c>
      <c r="AQ254" s="4">
        <f t="shared" si="26"/>
        <v>81366.663380373386</v>
      </c>
      <c r="AR254" s="4">
        <f>Table60[[#This Row],[Cumulative Investments]]-monthly_mortgage_schedule[[#This Row],[Cumulative Extra Payments Towards Equity]]</f>
        <v>48116.663380373386</v>
      </c>
    </row>
    <row r="255" spans="9:44" x14ac:dyDescent="0.25">
      <c r="I255">
        <v>238</v>
      </c>
      <c r="J255">
        <f>IF(MOD(ROWS($J$18:J254),12)=0,J254+1,J254)</f>
        <v>2041</v>
      </c>
      <c r="K255" s="198">
        <f>IF(M255="#N/A",NA(),monthly_mortgage_schedule[[#This Row],[Month]])</f>
        <v>238</v>
      </c>
      <c r="L255" s="198">
        <f>IF(monthly_mortgage_schedule[[#This Row],[Calendar Year]]&gt;=$C$7,monthly_mortgage_schedule[[#This Row],[Calendar Year]],NA())</f>
        <v>2041</v>
      </c>
      <c r="M255" s="199">
        <f>IF((monthly_mortgage_schedule[[#This Row],[Calendar Year]]&gt;=$C$7)*(monthly_mortgage_schedule[[#This Row],[Calendar Year]]&lt;=$C$9),monthly_mortgage_schedule[[#This Row],[Begin Year (Range)]],NA())</f>
        <v>2041</v>
      </c>
      <c r="N255" s="214">
        <f>IF((monthly_mortgage_schedule[[#This Row],[Year (Range)]]&gt;=$C$7)*(monthly_mortgage_schedule[[#This Row],[Year (Range)]]&lt;=$C$9),X255,NA())</f>
        <v>1065.2720124241437</v>
      </c>
      <c r="O255" s="214">
        <f>IF((monthly_mortgage_schedule[[#This Row],[Year (Range)]]&gt;=$C$7)*(monthly_mortgage_schedule[[#This Row],[Year (Range)]]&lt;=$C$9),Y255,NA())</f>
        <v>2034.7544830392644</v>
      </c>
      <c r="P255" s="214">
        <f>IF((monthly_mortgage_schedule[[#This Row],[Year (Range)]]&gt;=$C$7)*(monthly_mortgage_schedule[[#This Row],[Year (Range)]]&lt;=$C$9),AG255,NA())</f>
        <v>1351.5482433370942</v>
      </c>
      <c r="Q255" s="214">
        <f>IF((monthly_mortgage_schedule[[#This Row],[Year (Range)]]&gt;=$C$7)*(monthly_mortgage_schedule[[#This Row],[Year (Range)]]&lt;=$C$9),AH255,NA())</f>
        <v>1748.4782521263139</v>
      </c>
      <c r="R255" s="214">
        <f>IF((monthly_mortgage_schedule[[#This Row],[Year (Range)]]&gt;=$C$7)*(monthly_mortgage_schedule[[#This Row],[Year (Range)]]&lt;=$C$9),AO255,NA())</f>
        <v>28381.182855116353</v>
      </c>
      <c r="S255" s="214">
        <f>IF((monthly_mortgage_schedule[[#This Row],[Year (Range)]]&gt;=$C$7)*(monthly_mortgage_schedule[[#This Row],[Year (Range)]]&lt;=$C$9),AP255,NA())</f>
        <v>990</v>
      </c>
      <c r="T255" s="214">
        <f>IF((monthly_mortgage_schedule[[#This Row],[Year (Range)]]&gt;=$C$7)*(monthly_mortgage_schedule[[#This Row],[Year (Range)]]&lt;=$C$9),AR255,NA())</f>
        <v>48659.107802909202</v>
      </c>
      <c r="U255" s="214">
        <f>IF((monthly_mortgage_schedule[[#This Row],[Year (Range)]]&gt;=$C$7)*(monthly_mortgage_schedule[[#This Row],[Year (Range)]]&lt;=$C$9),AB255,NA())</f>
        <v>313762.18039215112</v>
      </c>
      <c r="V255" s="214">
        <f>IF((monthly_mortgage_schedule[[#This Row],[Year (Range)]]&gt;=$C$7)*(monthly_mortgage_schedule[[#This Row],[Year (Range)]]&lt;=$C$9),AI255,NA())</f>
        <v>252130.99753703488</v>
      </c>
      <c r="W255" s="187">
        <f t="shared" si="24"/>
        <v>228272.57409088791</v>
      </c>
      <c r="X255" s="4">
        <f t="shared" si="27"/>
        <v>1065.2720124241437</v>
      </c>
      <c r="Y255" s="4">
        <f t="shared" si="25"/>
        <v>2034.7544830392644</v>
      </c>
      <c r="Z255" s="4">
        <f>_xlfn.IFNA(INDEX(additional_mortgage_payments[],MATCH(monthly_mortgage_schedule[[#This Row],[Month]],additional_mortgage_payments[Month],0),3),0)</f>
        <v>0</v>
      </c>
      <c r="AA255" s="4">
        <f>AA254+monthly_mortgage_schedule[[#This Row],[Extra Payments Towards Equity]]</f>
        <v>33250</v>
      </c>
      <c r="AB255" s="4">
        <f>AB254+monthly_mortgage_schedule[[#This Row],[Principal With Extra Principal Payments]]+monthly_mortgage_schedule[[#This Row],[Extra Payments Towards Equity]]</f>
        <v>313762.18039215112</v>
      </c>
      <c r="AC255" s="4">
        <f>monthly_mortgage_schedule[[#This Row],[Cumulative Principal With Extra Principal Payments]]+down_payment_dollars</f>
        <v>373762.18039215112</v>
      </c>
      <c r="AD255" s="200">
        <f t="shared" si="22"/>
        <v>0</v>
      </c>
      <c r="AE25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226237.81960784865</v>
      </c>
      <c r="AF255" s="187">
        <f t="shared" si="28"/>
        <v>289617.48071509157</v>
      </c>
      <c r="AG255" s="4">
        <f>IF(monthly_mortgage_schedule[[#This Row],[Loan Balance (BOY) Without Extra Principal Payments]]&gt;0,monthly_mortgage_schedule[[#This Row],[Loan Balance (BOY) Without Extra Principal Payments]]*monthly_interest_rate,0)</f>
        <v>1351.5482433370942</v>
      </c>
      <c r="AH255" s="4">
        <f>IF(monthly_mortgage_schedule[[#This Row],[Loan Balance (BOY) Without Extra Principal Payments]]&gt;1,monthly_principal_and_interest-monthly_mortgage_schedule[[#This Row],[Interest Without Extra Principal Payments]],0)</f>
        <v>1748.4782521263139</v>
      </c>
      <c r="AI255" s="4">
        <f>AI254+monthly_mortgage_schedule[[#This Row],[Principal Without Extra Principal Payments]]</f>
        <v>252130.99753703488</v>
      </c>
      <c r="AJ255" s="4">
        <f>monthly_mortgage_schedule[[#This Row],[Cumulative Principal Without Extra Principal Payments]]+down_payment_dollars</f>
        <v>312130.99753703491</v>
      </c>
      <c r="AK255" s="200">
        <f t="shared" si="23"/>
        <v>0</v>
      </c>
      <c r="AL25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287869.00246296526</v>
      </c>
      <c r="AN255" s="196">
        <f>monthly_mortgage_schedule[[#This Row],[Extra Payments Towards Equity]]+AN254+IF(monthly_mortgage_schedule[[#This Row],[Interest With Extra Principal Payments]]&gt;0,monthly_mortgage_schedule[[#This Row],[Interest Without Extra Principal Payments]]-monthly_mortgage_schedule[[#This Row],[Interest With Extra Principal Payments]],0)</f>
        <v>61631.182855116385</v>
      </c>
      <c r="AO255" s="4">
        <f>AO254+IF(monthly_mortgage_schedule[[#This Row],[Interest With Extra Principal Payments]]&gt;0,monthly_mortgage_schedule[[#This Row],[Interest Without Extra Principal Payments]]-monthly_mortgage_schedule[[#This Row],[Interest With Extra Principal Payments]],0)</f>
        <v>28381.182855116353</v>
      </c>
      <c r="AP255" s="4">
        <f>AP254+monthly_mortgage_schedule[[#This Row],[PMI Without Extra Principal Payments]]-monthly_mortgage_schedule[[#This Row],[PMI with Additional Payments]]</f>
        <v>990</v>
      </c>
      <c r="AQ255" s="4">
        <f t="shared" si="26"/>
        <v>81909.107802909202</v>
      </c>
      <c r="AR255" s="4">
        <f>Table60[[#This Row],[Cumulative Investments]]-monthly_mortgage_schedule[[#This Row],[Cumulative Extra Payments Towards Equity]]</f>
        <v>48659.107802909202</v>
      </c>
    </row>
    <row r="256" spans="9:44" x14ac:dyDescent="0.25">
      <c r="I256">
        <v>239</v>
      </c>
      <c r="J256">
        <f>IF(MOD(ROWS($J$18:J255),12)=0,J255+1,J255)</f>
        <v>2041</v>
      </c>
      <c r="K256" s="198">
        <f>IF(M256="#N/A",NA(),monthly_mortgage_schedule[[#This Row],[Month]])</f>
        <v>239</v>
      </c>
      <c r="L256" s="198">
        <f>IF(monthly_mortgage_schedule[[#This Row],[Calendar Year]]&gt;=$C$7,monthly_mortgage_schedule[[#This Row],[Calendar Year]],NA())</f>
        <v>2041</v>
      </c>
      <c r="M256" s="199">
        <f>IF((monthly_mortgage_schedule[[#This Row],[Calendar Year]]&gt;=$C$7)*(monthly_mortgage_schedule[[#This Row],[Calendar Year]]&lt;=$C$9),monthly_mortgage_schedule[[#This Row],[Begin Year (Range)]],NA())</f>
        <v>2041</v>
      </c>
      <c r="N256" s="214">
        <f>IF((monthly_mortgage_schedule[[#This Row],[Year (Range)]]&gt;=$C$7)*(monthly_mortgage_schedule[[#This Row],[Year (Range)]]&lt;=$C$9),X256,NA())</f>
        <v>1055.7764915032938</v>
      </c>
      <c r="O256" s="214">
        <f>IF((monthly_mortgage_schedule[[#This Row],[Year (Range)]]&gt;=$C$7)*(monthly_mortgage_schedule[[#This Row],[Year (Range)]]&lt;=$C$9),Y256,NA())</f>
        <v>2044.2500039601143</v>
      </c>
      <c r="P256" s="214">
        <f>IF((monthly_mortgage_schedule[[#This Row],[Year (Range)]]&gt;=$C$7)*(monthly_mortgage_schedule[[#This Row],[Year (Range)]]&lt;=$C$9),AG256,NA())</f>
        <v>1343.3886781605047</v>
      </c>
      <c r="Q256" s="214">
        <f>IF((monthly_mortgage_schedule[[#This Row],[Year (Range)]]&gt;=$C$7)*(monthly_mortgage_schedule[[#This Row],[Year (Range)]]&lt;=$C$9),AH256,NA())</f>
        <v>1756.6378173029034</v>
      </c>
      <c r="R256" s="214">
        <f>IF((monthly_mortgage_schedule[[#This Row],[Year (Range)]]&gt;=$C$7)*(monthly_mortgage_schedule[[#This Row],[Year (Range)]]&lt;=$C$9),AO256,NA())</f>
        <v>28668.795041773563</v>
      </c>
      <c r="S256" s="214">
        <f>IF((monthly_mortgage_schedule[[#This Row],[Year (Range)]]&gt;=$C$7)*(monthly_mortgage_schedule[[#This Row],[Year (Range)]]&lt;=$C$9),AP256,NA())</f>
        <v>990</v>
      </c>
      <c r="T256" s="214">
        <f>IF((monthly_mortgage_schedule[[#This Row],[Year (Range)]]&gt;=$C$7)*(monthly_mortgage_schedule[[#This Row],[Year (Range)]]&lt;=$C$9),AR256,NA())</f>
        <v>49205.16852159526</v>
      </c>
      <c r="U256" s="214">
        <f>IF((monthly_mortgage_schedule[[#This Row],[Year (Range)]]&gt;=$C$7)*(monthly_mortgage_schedule[[#This Row],[Year (Range)]]&lt;=$C$9),AB256,NA())</f>
        <v>315806.43039611122</v>
      </c>
      <c r="V256" s="214">
        <f>IF((monthly_mortgage_schedule[[#This Row],[Year (Range)]]&gt;=$C$7)*(monthly_mortgage_schedule[[#This Row],[Year (Range)]]&lt;=$C$9),AI256,NA())</f>
        <v>253887.63535433778</v>
      </c>
      <c r="W256" s="187">
        <f t="shared" si="24"/>
        <v>226237.81960784865</v>
      </c>
      <c r="X256" s="4">
        <f t="shared" si="27"/>
        <v>1055.7764915032938</v>
      </c>
      <c r="Y256" s="4">
        <f t="shared" si="25"/>
        <v>2044.2500039601143</v>
      </c>
      <c r="Z256" s="4">
        <f>_xlfn.IFNA(INDEX(additional_mortgage_payments[],MATCH(monthly_mortgage_schedule[[#This Row],[Month]],additional_mortgage_payments[Month],0),3),0)</f>
        <v>0</v>
      </c>
      <c r="AA256" s="4">
        <f>AA255+monthly_mortgage_schedule[[#This Row],[Extra Payments Towards Equity]]</f>
        <v>33250</v>
      </c>
      <c r="AB256" s="4">
        <f>AB255+monthly_mortgage_schedule[[#This Row],[Principal With Extra Principal Payments]]+monthly_mortgage_schedule[[#This Row],[Extra Payments Towards Equity]]</f>
        <v>315806.43039611122</v>
      </c>
      <c r="AC256" s="4">
        <f>monthly_mortgage_schedule[[#This Row],[Cumulative Principal With Extra Principal Payments]]+down_payment_dollars</f>
        <v>375806.43039611122</v>
      </c>
      <c r="AD256" s="200">
        <f t="shared" si="22"/>
        <v>0</v>
      </c>
      <c r="AE25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224193.56960388855</v>
      </c>
      <c r="AF256" s="187">
        <f t="shared" si="28"/>
        <v>287869.00246296526</v>
      </c>
      <c r="AG256" s="4">
        <f>IF(monthly_mortgage_schedule[[#This Row],[Loan Balance (BOY) Without Extra Principal Payments]]&gt;0,monthly_mortgage_schedule[[#This Row],[Loan Balance (BOY) Without Extra Principal Payments]]*monthly_interest_rate,0)</f>
        <v>1343.3886781605047</v>
      </c>
      <c r="AH256" s="4">
        <f>IF(monthly_mortgage_schedule[[#This Row],[Loan Balance (BOY) Without Extra Principal Payments]]&gt;1,monthly_principal_and_interest-monthly_mortgage_schedule[[#This Row],[Interest Without Extra Principal Payments]],0)</f>
        <v>1756.6378173029034</v>
      </c>
      <c r="AI256" s="4">
        <f>AI255+monthly_mortgage_schedule[[#This Row],[Principal Without Extra Principal Payments]]</f>
        <v>253887.63535433778</v>
      </c>
      <c r="AJ256" s="4">
        <f>monthly_mortgage_schedule[[#This Row],[Cumulative Principal Without Extra Principal Payments]]+down_payment_dollars</f>
        <v>313887.63535433775</v>
      </c>
      <c r="AK256" s="200">
        <f t="shared" si="23"/>
        <v>0</v>
      </c>
      <c r="AL25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286112.36464566237</v>
      </c>
      <c r="AN256" s="196">
        <f>monthly_mortgage_schedule[[#This Row],[Extra Payments Towards Equity]]+AN255+IF(monthly_mortgage_schedule[[#This Row],[Interest With Extra Principal Payments]]&gt;0,monthly_mortgage_schedule[[#This Row],[Interest Without Extra Principal Payments]]-monthly_mortgage_schedule[[#This Row],[Interest With Extra Principal Payments]],0)</f>
        <v>61918.795041773599</v>
      </c>
      <c r="AO256" s="4">
        <f>AO255+IF(monthly_mortgage_schedule[[#This Row],[Interest With Extra Principal Payments]]&gt;0,monthly_mortgage_schedule[[#This Row],[Interest Without Extra Principal Payments]]-monthly_mortgage_schedule[[#This Row],[Interest With Extra Principal Payments]],0)</f>
        <v>28668.795041773563</v>
      </c>
      <c r="AP256" s="4">
        <f>AP255+monthly_mortgage_schedule[[#This Row],[PMI Without Extra Principal Payments]]-monthly_mortgage_schedule[[#This Row],[PMI with Additional Payments]]</f>
        <v>990</v>
      </c>
      <c r="AQ256" s="4">
        <f t="shared" si="26"/>
        <v>82455.16852159526</v>
      </c>
      <c r="AR256" s="4">
        <f>Table60[[#This Row],[Cumulative Investments]]-monthly_mortgage_schedule[[#This Row],[Cumulative Extra Payments Towards Equity]]</f>
        <v>49205.16852159526</v>
      </c>
    </row>
    <row r="257" spans="9:44" x14ac:dyDescent="0.25">
      <c r="I257">
        <v>240</v>
      </c>
      <c r="J257">
        <f>IF(MOD(ROWS($J$18:J256),12)=0,J256+1,J256)</f>
        <v>2041</v>
      </c>
      <c r="K257" s="198">
        <f>IF(M257="#N/A",NA(),monthly_mortgage_schedule[[#This Row],[Month]])</f>
        <v>240</v>
      </c>
      <c r="L257" s="198">
        <f>IF(monthly_mortgage_schedule[[#This Row],[Calendar Year]]&gt;=$C$7,monthly_mortgage_schedule[[#This Row],[Calendar Year]],NA())</f>
        <v>2041</v>
      </c>
      <c r="M257" s="199">
        <f>IF((monthly_mortgage_schedule[[#This Row],[Calendar Year]]&gt;=$C$7)*(monthly_mortgage_schedule[[#This Row],[Calendar Year]]&lt;=$C$9),monthly_mortgage_schedule[[#This Row],[Begin Year (Range)]],NA())</f>
        <v>2041</v>
      </c>
      <c r="N257" s="214">
        <f>IF((monthly_mortgage_schedule[[#This Row],[Year (Range)]]&gt;=$C$7)*(monthly_mortgage_schedule[[#This Row],[Year (Range)]]&lt;=$C$9),X257,NA())</f>
        <v>1046.23665815148</v>
      </c>
      <c r="O257" s="214">
        <f>IF((monthly_mortgage_schedule[[#This Row],[Year (Range)]]&gt;=$C$7)*(monthly_mortgage_schedule[[#This Row],[Year (Range)]]&lt;=$C$9),Y257,NA())</f>
        <v>2053.7898373119278</v>
      </c>
      <c r="P257" s="214">
        <f>IF((monthly_mortgage_schedule[[#This Row],[Year (Range)]]&gt;=$C$7)*(monthly_mortgage_schedule[[#This Row],[Year (Range)]]&lt;=$C$9),AG257,NA())</f>
        <v>1335.1910350130911</v>
      </c>
      <c r="Q257" s="214">
        <f>IF((monthly_mortgage_schedule[[#This Row],[Year (Range)]]&gt;=$C$7)*(monthly_mortgage_schedule[[#This Row],[Year (Range)]]&lt;=$C$9),AH257,NA())</f>
        <v>1764.835460450317</v>
      </c>
      <c r="R257" s="214">
        <f>IF((monthly_mortgage_schedule[[#This Row],[Year (Range)]]&gt;=$C$7)*(monthly_mortgage_schedule[[#This Row],[Year (Range)]]&lt;=$C$9),AO257,NA())</f>
        <v>28957.749418635172</v>
      </c>
      <c r="S257" s="214">
        <f>IF((monthly_mortgage_schedule[[#This Row],[Year (Range)]]&gt;=$C$7)*(monthly_mortgage_schedule[[#This Row],[Year (Range)]]&lt;=$C$9),AP257,NA())</f>
        <v>990</v>
      </c>
      <c r="T257" s="214">
        <f>IF((monthly_mortgage_schedule[[#This Row],[Year (Range)]]&gt;=$C$7)*(monthly_mortgage_schedule[[#This Row],[Year (Range)]]&lt;=$C$9),AR257,NA())</f>
        <v>49758.202978405883</v>
      </c>
      <c r="U257" s="214">
        <f>IF((monthly_mortgage_schedule[[#This Row],[Year (Range)]]&gt;=$C$7)*(monthly_mortgage_schedule[[#This Row],[Year (Range)]]&lt;=$C$9),AB257,NA())</f>
        <v>318360.22023342317</v>
      </c>
      <c r="V257" s="214">
        <f>IF((monthly_mortgage_schedule[[#This Row],[Year (Range)]]&gt;=$C$7)*(monthly_mortgage_schedule[[#This Row],[Year (Range)]]&lt;=$C$9),AI257,NA())</f>
        <v>255652.4708147881</v>
      </c>
      <c r="W257" s="187">
        <f t="shared" si="24"/>
        <v>224193.56960388855</v>
      </c>
      <c r="X257" s="4">
        <f t="shared" si="27"/>
        <v>1046.23665815148</v>
      </c>
      <c r="Y257" s="4">
        <f t="shared" si="25"/>
        <v>2053.7898373119278</v>
      </c>
      <c r="Z257" s="4">
        <f>_xlfn.IFNA(INDEX(additional_mortgage_payments[],MATCH(monthly_mortgage_schedule[[#This Row],[Month]],additional_mortgage_payments[Month],0),3),0)</f>
        <v>500</v>
      </c>
      <c r="AA257" s="4">
        <f>AA256+monthly_mortgage_schedule[[#This Row],[Extra Payments Towards Equity]]</f>
        <v>33750</v>
      </c>
      <c r="AB257" s="4">
        <f>AB256+monthly_mortgage_schedule[[#This Row],[Principal With Extra Principal Payments]]+monthly_mortgage_schedule[[#This Row],[Extra Payments Towards Equity]]</f>
        <v>318360.22023342317</v>
      </c>
      <c r="AC257" s="4">
        <f>monthly_mortgage_schedule[[#This Row],[Cumulative Principal With Extra Principal Payments]]+down_payment_dollars</f>
        <v>378360.22023342317</v>
      </c>
      <c r="AD257" s="200">
        <f t="shared" si="22"/>
        <v>0</v>
      </c>
      <c r="AE25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221639.77976657663</v>
      </c>
      <c r="AF257" s="187">
        <f t="shared" si="28"/>
        <v>286112.36464566237</v>
      </c>
      <c r="AG257" s="4">
        <f>IF(monthly_mortgage_schedule[[#This Row],[Loan Balance (BOY) Without Extra Principal Payments]]&gt;0,monthly_mortgage_schedule[[#This Row],[Loan Balance (BOY) Without Extra Principal Payments]]*monthly_interest_rate,0)</f>
        <v>1335.1910350130911</v>
      </c>
      <c r="AH257" s="4">
        <f>IF(monthly_mortgage_schedule[[#This Row],[Loan Balance (BOY) Without Extra Principal Payments]]&gt;1,monthly_principal_and_interest-monthly_mortgage_schedule[[#This Row],[Interest Without Extra Principal Payments]],0)</f>
        <v>1764.835460450317</v>
      </c>
      <c r="AI257" s="4">
        <f>AI256+monthly_mortgage_schedule[[#This Row],[Principal Without Extra Principal Payments]]</f>
        <v>255652.4708147881</v>
      </c>
      <c r="AJ257" s="4">
        <f>monthly_mortgage_schedule[[#This Row],[Cumulative Principal Without Extra Principal Payments]]+down_payment_dollars</f>
        <v>315652.47081478813</v>
      </c>
      <c r="AK257" s="200">
        <f t="shared" si="23"/>
        <v>0</v>
      </c>
      <c r="AL25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284347.52918521204</v>
      </c>
      <c r="AN257" s="196">
        <f>monthly_mortgage_schedule[[#This Row],[Extra Payments Towards Equity]]+AN256+IF(monthly_mortgage_schedule[[#This Row],[Interest With Extra Principal Payments]]&gt;0,monthly_mortgage_schedule[[#This Row],[Interest Without Extra Principal Payments]]-monthly_mortgage_schedule[[#This Row],[Interest With Extra Principal Payments]],0)</f>
        <v>62707.749418635212</v>
      </c>
      <c r="AO257" s="4">
        <f>AO256+IF(monthly_mortgage_schedule[[#This Row],[Interest With Extra Principal Payments]]&gt;0,monthly_mortgage_schedule[[#This Row],[Interest Without Extra Principal Payments]]-monthly_mortgage_schedule[[#This Row],[Interest With Extra Principal Payments]],0)</f>
        <v>28957.749418635172</v>
      </c>
      <c r="AP257" s="4">
        <f>AP256+monthly_mortgage_schedule[[#This Row],[PMI Without Extra Principal Payments]]-monthly_mortgage_schedule[[#This Row],[PMI with Additional Payments]]</f>
        <v>990</v>
      </c>
      <c r="AQ257" s="4">
        <f t="shared" si="26"/>
        <v>83508.202978405883</v>
      </c>
      <c r="AR257" s="4">
        <f>Table60[[#This Row],[Cumulative Investments]]-monthly_mortgage_schedule[[#This Row],[Cumulative Extra Payments Towards Equity]]</f>
        <v>49758.202978405883</v>
      </c>
    </row>
    <row r="258" spans="9:44" x14ac:dyDescent="0.25">
      <c r="I258">
        <v>241</v>
      </c>
      <c r="J258">
        <f>IF(MOD(ROWS($J$18:J257),12)=0,J257+1,J257)</f>
        <v>2042</v>
      </c>
      <c r="K258" s="198">
        <f>IF(M258="#N/A",NA(),monthly_mortgage_schedule[[#This Row],[Month]])</f>
        <v>241</v>
      </c>
      <c r="L258" s="198">
        <f>IF(monthly_mortgage_schedule[[#This Row],[Calendar Year]]&gt;=$C$7,monthly_mortgage_schedule[[#This Row],[Calendar Year]],NA())</f>
        <v>2042</v>
      </c>
      <c r="M258" s="199">
        <f>IF((monthly_mortgage_schedule[[#This Row],[Calendar Year]]&gt;=$C$7)*(monthly_mortgage_schedule[[#This Row],[Calendar Year]]&lt;=$C$9),monthly_mortgage_schedule[[#This Row],[Begin Year (Range)]],NA())</f>
        <v>2042</v>
      </c>
      <c r="N258" s="214">
        <f>IF((monthly_mortgage_schedule[[#This Row],[Year (Range)]]&gt;=$C$7)*(monthly_mortgage_schedule[[#This Row],[Year (Range)]]&lt;=$C$9),X258,NA())</f>
        <v>1034.3189722440243</v>
      </c>
      <c r="O258" s="214">
        <f>IF((monthly_mortgage_schedule[[#This Row],[Year (Range)]]&gt;=$C$7)*(monthly_mortgage_schedule[[#This Row],[Year (Range)]]&lt;=$C$9),Y258,NA())</f>
        <v>2065.7075232193838</v>
      </c>
      <c r="P258" s="214">
        <f>IF((monthly_mortgage_schedule[[#This Row],[Year (Range)]]&gt;=$C$7)*(monthly_mortgage_schedule[[#This Row],[Year (Range)]]&lt;=$C$9),AG258,NA())</f>
        <v>1326.9551361976562</v>
      </c>
      <c r="Q258" s="214">
        <f>IF((monthly_mortgage_schedule[[#This Row],[Year (Range)]]&gt;=$C$7)*(monthly_mortgage_schedule[[#This Row],[Year (Range)]]&lt;=$C$9),AH258,NA())</f>
        <v>1773.0713592657519</v>
      </c>
      <c r="R258" s="214">
        <f>IF((monthly_mortgage_schedule[[#This Row],[Year (Range)]]&gt;=$C$7)*(monthly_mortgage_schedule[[#This Row],[Year (Range)]]&lt;=$C$9),AO258,NA())</f>
        <v>29250.385582588806</v>
      </c>
      <c r="S258" s="214">
        <f>IF((monthly_mortgage_schedule[[#This Row],[Year (Range)]]&gt;=$C$7)*(monthly_mortgage_schedule[[#This Row],[Year (Range)]]&lt;=$C$9),AP258,NA())</f>
        <v>990</v>
      </c>
      <c r="T258" s="214">
        <f>IF((monthly_mortgage_schedule[[#This Row],[Year (Range)]]&gt;=$C$7)*(monthly_mortgage_schedule[[#This Row],[Year (Range)]]&lt;=$C$9),AR258,NA())</f>
        <v>50314.924331595248</v>
      </c>
      <c r="U258" s="214">
        <f>IF((monthly_mortgage_schedule[[#This Row],[Year (Range)]]&gt;=$C$7)*(monthly_mortgage_schedule[[#This Row],[Year (Range)]]&lt;=$C$9),AB258,NA())</f>
        <v>320425.92775664257</v>
      </c>
      <c r="V258" s="214">
        <f>IF((monthly_mortgage_schedule[[#This Row],[Year (Range)]]&gt;=$C$7)*(monthly_mortgage_schedule[[#This Row],[Year (Range)]]&lt;=$C$9),AI258,NA())</f>
        <v>257425.54217405384</v>
      </c>
      <c r="W258" s="187">
        <f t="shared" si="24"/>
        <v>221639.77976657663</v>
      </c>
      <c r="X258" s="4">
        <f t="shared" si="27"/>
        <v>1034.3189722440243</v>
      </c>
      <c r="Y258" s="4">
        <f t="shared" si="25"/>
        <v>2065.7075232193838</v>
      </c>
      <c r="Z258" s="4">
        <f>_xlfn.IFNA(INDEX(additional_mortgage_payments[],MATCH(monthly_mortgage_schedule[[#This Row],[Month]],additional_mortgage_payments[Month],0),3),0)</f>
        <v>0</v>
      </c>
      <c r="AA258" s="4">
        <f>AA257+monthly_mortgage_schedule[[#This Row],[Extra Payments Towards Equity]]</f>
        <v>33750</v>
      </c>
      <c r="AB258" s="4">
        <f>AB257+monthly_mortgage_schedule[[#This Row],[Principal With Extra Principal Payments]]+monthly_mortgage_schedule[[#This Row],[Extra Payments Towards Equity]]</f>
        <v>320425.92775664257</v>
      </c>
      <c r="AC258" s="4">
        <f>monthly_mortgage_schedule[[#This Row],[Cumulative Principal With Extra Principal Payments]]+down_payment_dollars</f>
        <v>380425.92775664257</v>
      </c>
      <c r="AD258" s="200">
        <f t="shared" si="22"/>
        <v>0</v>
      </c>
      <c r="AE25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219574.07224335725</v>
      </c>
      <c r="AF258" s="187">
        <f t="shared" si="28"/>
        <v>284347.52918521204</v>
      </c>
      <c r="AG258" s="4">
        <f>IF(monthly_mortgage_schedule[[#This Row],[Loan Balance (BOY) Without Extra Principal Payments]]&gt;0,monthly_mortgage_schedule[[#This Row],[Loan Balance (BOY) Without Extra Principal Payments]]*monthly_interest_rate,0)</f>
        <v>1326.9551361976562</v>
      </c>
      <c r="AH258" s="4">
        <f>IF(monthly_mortgage_schedule[[#This Row],[Loan Balance (BOY) Without Extra Principal Payments]]&gt;1,monthly_principal_and_interest-monthly_mortgage_schedule[[#This Row],[Interest Without Extra Principal Payments]],0)</f>
        <v>1773.0713592657519</v>
      </c>
      <c r="AI258" s="4">
        <f>AI257+monthly_mortgage_schedule[[#This Row],[Principal Without Extra Principal Payments]]</f>
        <v>257425.54217405384</v>
      </c>
      <c r="AJ258" s="4">
        <f>monthly_mortgage_schedule[[#This Row],[Cumulative Principal Without Extra Principal Payments]]+down_payment_dollars</f>
        <v>317425.54217405384</v>
      </c>
      <c r="AK258" s="200">
        <f t="shared" si="23"/>
        <v>0</v>
      </c>
      <c r="AL25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282574.45782594627</v>
      </c>
      <c r="AN258" s="196">
        <f>monthly_mortgage_schedule[[#This Row],[Extra Payments Towards Equity]]+AN257+IF(monthly_mortgage_schedule[[#This Row],[Interest With Extra Principal Payments]]&gt;0,monthly_mortgage_schedule[[#This Row],[Interest Without Extra Principal Payments]]-monthly_mortgage_schedule[[#This Row],[Interest With Extra Principal Payments]],0)</f>
        <v>63000.385582588846</v>
      </c>
      <c r="AO258" s="4">
        <f>AO257+IF(monthly_mortgage_schedule[[#This Row],[Interest With Extra Principal Payments]]&gt;0,monthly_mortgage_schedule[[#This Row],[Interest Without Extra Principal Payments]]-monthly_mortgage_schedule[[#This Row],[Interest With Extra Principal Payments]],0)</f>
        <v>29250.385582588806</v>
      </c>
      <c r="AP258" s="4">
        <f>AP257+monthly_mortgage_schedule[[#This Row],[PMI Without Extra Principal Payments]]-monthly_mortgage_schedule[[#This Row],[PMI with Additional Payments]]</f>
        <v>990</v>
      </c>
      <c r="AQ258" s="4">
        <f t="shared" si="26"/>
        <v>84064.924331595248</v>
      </c>
      <c r="AR258" s="4">
        <f>Table60[[#This Row],[Cumulative Investments]]-monthly_mortgage_schedule[[#This Row],[Cumulative Extra Payments Towards Equity]]</f>
        <v>50314.924331595248</v>
      </c>
    </row>
    <row r="259" spans="9:44" x14ac:dyDescent="0.25">
      <c r="I259">
        <v>242</v>
      </c>
      <c r="J259">
        <f>IF(MOD(ROWS($J$18:J258),12)=0,J258+1,J258)</f>
        <v>2042</v>
      </c>
      <c r="K259" s="198">
        <f>IF(M259="#N/A",NA(),monthly_mortgage_schedule[[#This Row],[Month]])</f>
        <v>242</v>
      </c>
      <c r="L259" s="198">
        <f>IF(monthly_mortgage_schedule[[#This Row],[Calendar Year]]&gt;=$C$7,monthly_mortgage_schedule[[#This Row],[Calendar Year]],NA())</f>
        <v>2042</v>
      </c>
      <c r="M259" s="199">
        <f>IF((monthly_mortgage_schedule[[#This Row],[Calendar Year]]&gt;=$C$7)*(monthly_mortgage_schedule[[#This Row],[Calendar Year]]&lt;=$C$9),monthly_mortgage_schedule[[#This Row],[Begin Year (Range)]],NA())</f>
        <v>2042</v>
      </c>
      <c r="N259" s="214">
        <f>IF((monthly_mortgage_schedule[[#This Row],[Year (Range)]]&gt;=$C$7)*(monthly_mortgage_schedule[[#This Row],[Year (Range)]]&lt;=$C$9),X259,NA())</f>
        <v>1024.6790038023339</v>
      </c>
      <c r="O259" s="214">
        <f>IF((monthly_mortgage_schedule[[#This Row],[Year (Range)]]&gt;=$C$7)*(monthly_mortgage_schedule[[#This Row],[Year (Range)]]&lt;=$C$9),Y259,NA())</f>
        <v>2075.3474916610739</v>
      </c>
      <c r="P259" s="214">
        <f>IF((monthly_mortgage_schedule[[#This Row],[Year (Range)]]&gt;=$C$7)*(monthly_mortgage_schedule[[#This Row],[Year (Range)]]&lt;=$C$9),AG259,NA())</f>
        <v>1318.6808031877495</v>
      </c>
      <c r="Q259" s="214">
        <f>IF((monthly_mortgage_schedule[[#This Row],[Year (Range)]]&gt;=$C$7)*(monthly_mortgage_schedule[[#This Row],[Year (Range)]]&lt;=$C$9),AH259,NA())</f>
        <v>1781.3456922756586</v>
      </c>
      <c r="R259" s="214">
        <f>IF((monthly_mortgage_schedule[[#This Row],[Year (Range)]]&gt;=$C$7)*(monthly_mortgage_schedule[[#This Row],[Year (Range)]]&lt;=$C$9),AO259,NA())</f>
        <v>29544.387381974222</v>
      </c>
      <c r="S259" s="214">
        <f>IF((monthly_mortgage_schedule[[#This Row],[Year (Range)]]&gt;=$C$7)*(monthly_mortgage_schedule[[#This Row],[Year (Range)]]&lt;=$C$9),AP259,NA())</f>
        <v>990</v>
      </c>
      <c r="T259" s="214">
        <f>IF((monthly_mortgage_schedule[[#This Row],[Year (Range)]]&gt;=$C$7)*(monthly_mortgage_schedule[[#This Row],[Year (Range)]]&lt;=$C$9),AR259,NA())</f>
        <v>50875.357160472544</v>
      </c>
      <c r="U259" s="214">
        <f>IF((monthly_mortgage_schedule[[#This Row],[Year (Range)]]&gt;=$C$7)*(monthly_mortgage_schedule[[#This Row],[Year (Range)]]&lt;=$C$9),AB259,NA())</f>
        <v>322501.27524830366</v>
      </c>
      <c r="V259" s="214">
        <f>IF((monthly_mortgage_schedule[[#This Row],[Year (Range)]]&gt;=$C$7)*(monthly_mortgage_schedule[[#This Row],[Year (Range)]]&lt;=$C$9),AI259,NA())</f>
        <v>259206.88786632949</v>
      </c>
      <c r="W259" s="187">
        <f t="shared" si="24"/>
        <v>219574.07224335725</v>
      </c>
      <c r="X259" s="4">
        <f t="shared" si="27"/>
        <v>1024.6790038023339</v>
      </c>
      <c r="Y259" s="4">
        <f t="shared" si="25"/>
        <v>2075.3474916610739</v>
      </c>
      <c r="Z259" s="4">
        <f>_xlfn.IFNA(INDEX(additional_mortgage_payments[],MATCH(monthly_mortgage_schedule[[#This Row],[Month]],additional_mortgage_payments[Month],0),3),0)</f>
        <v>0</v>
      </c>
      <c r="AA259" s="4">
        <f>AA258+monthly_mortgage_schedule[[#This Row],[Extra Payments Towards Equity]]</f>
        <v>33750</v>
      </c>
      <c r="AB259" s="4">
        <f>AB258+monthly_mortgage_schedule[[#This Row],[Principal With Extra Principal Payments]]+monthly_mortgage_schedule[[#This Row],[Extra Payments Towards Equity]]</f>
        <v>322501.27524830366</v>
      </c>
      <c r="AC259" s="4">
        <f>monthly_mortgage_schedule[[#This Row],[Cumulative Principal With Extra Principal Payments]]+down_payment_dollars</f>
        <v>382501.27524830366</v>
      </c>
      <c r="AD259" s="200">
        <f t="shared" si="22"/>
        <v>0</v>
      </c>
      <c r="AE25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217498.72475169617</v>
      </c>
      <c r="AF259" s="187">
        <f t="shared" si="28"/>
        <v>282574.45782594627</v>
      </c>
      <c r="AG259" s="4">
        <f>IF(monthly_mortgage_schedule[[#This Row],[Loan Balance (BOY) Without Extra Principal Payments]]&gt;0,monthly_mortgage_schedule[[#This Row],[Loan Balance (BOY) Without Extra Principal Payments]]*monthly_interest_rate,0)</f>
        <v>1318.6808031877495</v>
      </c>
      <c r="AH259" s="4">
        <f>IF(monthly_mortgage_schedule[[#This Row],[Loan Balance (BOY) Without Extra Principal Payments]]&gt;1,monthly_principal_and_interest-monthly_mortgage_schedule[[#This Row],[Interest Without Extra Principal Payments]],0)</f>
        <v>1781.3456922756586</v>
      </c>
      <c r="AI259" s="4">
        <f>AI258+monthly_mortgage_schedule[[#This Row],[Principal Without Extra Principal Payments]]</f>
        <v>259206.88786632949</v>
      </c>
      <c r="AJ259" s="4">
        <f>monthly_mortgage_schedule[[#This Row],[Cumulative Principal Without Extra Principal Payments]]+down_payment_dollars</f>
        <v>319206.88786632952</v>
      </c>
      <c r="AK259" s="200">
        <f t="shared" si="23"/>
        <v>0</v>
      </c>
      <c r="AL25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280793.1121336706</v>
      </c>
      <c r="AN259" s="196">
        <f>monthly_mortgage_schedule[[#This Row],[Extra Payments Towards Equity]]+AN258+IF(monthly_mortgage_schedule[[#This Row],[Interest With Extra Principal Payments]]&gt;0,monthly_mortgage_schedule[[#This Row],[Interest Without Extra Principal Payments]]-monthly_mortgage_schedule[[#This Row],[Interest With Extra Principal Payments]],0)</f>
        <v>63294.387381974258</v>
      </c>
      <c r="AO259" s="4">
        <f>AO258+IF(monthly_mortgage_schedule[[#This Row],[Interest With Extra Principal Payments]]&gt;0,monthly_mortgage_schedule[[#This Row],[Interest Without Extra Principal Payments]]-monthly_mortgage_schedule[[#This Row],[Interest With Extra Principal Payments]],0)</f>
        <v>29544.387381974222</v>
      </c>
      <c r="AP259" s="4">
        <f>AP258+monthly_mortgage_schedule[[#This Row],[PMI Without Extra Principal Payments]]-monthly_mortgage_schedule[[#This Row],[PMI with Additional Payments]]</f>
        <v>990</v>
      </c>
      <c r="AQ259" s="4">
        <f t="shared" si="26"/>
        <v>84625.357160472544</v>
      </c>
      <c r="AR259" s="4">
        <f>Table60[[#This Row],[Cumulative Investments]]-monthly_mortgage_schedule[[#This Row],[Cumulative Extra Payments Towards Equity]]</f>
        <v>50875.357160472544</v>
      </c>
    </row>
    <row r="260" spans="9:44" x14ac:dyDescent="0.25">
      <c r="I260">
        <v>243</v>
      </c>
      <c r="J260">
        <f>IF(MOD(ROWS($J$18:J259),12)=0,J259+1,J259)</f>
        <v>2042</v>
      </c>
      <c r="K260" s="198">
        <f>IF(M260="#N/A",NA(),monthly_mortgage_schedule[[#This Row],[Month]])</f>
        <v>243</v>
      </c>
      <c r="L260" s="198">
        <f>IF(monthly_mortgage_schedule[[#This Row],[Calendar Year]]&gt;=$C$7,monthly_mortgage_schedule[[#This Row],[Calendar Year]],NA())</f>
        <v>2042</v>
      </c>
      <c r="M260" s="199">
        <f>IF((monthly_mortgage_schedule[[#This Row],[Calendar Year]]&gt;=$C$7)*(monthly_mortgage_schedule[[#This Row],[Calendar Year]]&lt;=$C$9),monthly_mortgage_schedule[[#This Row],[Begin Year (Range)]],NA())</f>
        <v>2042</v>
      </c>
      <c r="N260" s="214">
        <f>IF((monthly_mortgage_schedule[[#This Row],[Year (Range)]]&gt;=$C$7)*(monthly_mortgage_schedule[[#This Row],[Year (Range)]]&lt;=$C$9),X260,NA())</f>
        <v>1014.9940488412489</v>
      </c>
      <c r="O260" s="214">
        <f>IF((monthly_mortgage_schedule[[#This Row],[Year (Range)]]&gt;=$C$7)*(monthly_mortgage_schedule[[#This Row],[Year (Range)]]&lt;=$C$9),Y260,NA())</f>
        <v>2085.0324466221591</v>
      </c>
      <c r="P260" s="214">
        <f>IF((monthly_mortgage_schedule[[#This Row],[Year (Range)]]&gt;=$C$7)*(monthly_mortgage_schedule[[#This Row],[Year (Range)]]&lt;=$C$9),AG260,NA())</f>
        <v>1310.3678566237963</v>
      </c>
      <c r="Q260" s="214">
        <f>IF((monthly_mortgage_schedule[[#This Row],[Year (Range)]]&gt;=$C$7)*(monthly_mortgage_schedule[[#This Row],[Year (Range)]]&lt;=$C$9),AH260,NA())</f>
        <v>1789.6586388396117</v>
      </c>
      <c r="R260" s="214">
        <f>IF((monthly_mortgage_schedule[[#This Row],[Year (Range)]]&gt;=$C$7)*(monthly_mortgage_schedule[[#This Row],[Year (Range)]]&lt;=$C$9),AO260,NA())</f>
        <v>29839.761189756769</v>
      </c>
      <c r="S260" s="214">
        <f>IF((monthly_mortgage_schedule[[#This Row],[Year (Range)]]&gt;=$C$7)*(monthly_mortgage_schedule[[#This Row],[Year (Range)]]&lt;=$C$9),AP260,NA())</f>
        <v>990</v>
      </c>
      <c r="T260" s="214">
        <f>IF((monthly_mortgage_schedule[[#This Row],[Year (Range)]]&gt;=$C$7)*(monthly_mortgage_schedule[[#This Row],[Year (Range)]]&lt;=$C$9),AR260,NA())</f>
        <v>51439.526208209019</v>
      </c>
      <c r="U260" s="214">
        <f>IF((monthly_mortgage_schedule[[#This Row],[Year (Range)]]&gt;=$C$7)*(monthly_mortgage_schedule[[#This Row],[Year (Range)]]&lt;=$C$9),AB260,NA())</f>
        <v>324586.30769492581</v>
      </c>
      <c r="V260" s="214">
        <f>IF((monthly_mortgage_schedule[[#This Row],[Year (Range)]]&gt;=$C$7)*(monthly_mortgage_schedule[[#This Row],[Year (Range)]]&lt;=$C$9),AI260,NA())</f>
        <v>260996.5465051691</v>
      </c>
      <c r="W260" s="187">
        <f t="shared" si="24"/>
        <v>217498.72475169617</v>
      </c>
      <c r="X260" s="4">
        <f t="shared" si="27"/>
        <v>1014.9940488412489</v>
      </c>
      <c r="Y260" s="4">
        <f t="shared" si="25"/>
        <v>2085.0324466221591</v>
      </c>
      <c r="Z260" s="4">
        <f>_xlfn.IFNA(INDEX(additional_mortgage_payments[],MATCH(monthly_mortgage_schedule[[#This Row],[Month]],additional_mortgage_payments[Month],0),3),0)</f>
        <v>0</v>
      </c>
      <c r="AA260" s="4">
        <f>AA259+monthly_mortgage_schedule[[#This Row],[Extra Payments Towards Equity]]</f>
        <v>33750</v>
      </c>
      <c r="AB260" s="4">
        <f>AB259+monthly_mortgage_schedule[[#This Row],[Principal With Extra Principal Payments]]+monthly_mortgage_schedule[[#This Row],[Extra Payments Towards Equity]]</f>
        <v>324586.30769492581</v>
      </c>
      <c r="AC260" s="4">
        <f>monthly_mortgage_schedule[[#This Row],[Cumulative Principal With Extra Principal Payments]]+down_payment_dollars</f>
        <v>384586.30769492581</v>
      </c>
      <c r="AD260" s="200">
        <f t="shared" si="22"/>
        <v>0</v>
      </c>
      <c r="AE26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215413.69230507402</v>
      </c>
      <c r="AF260" s="187">
        <f t="shared" si="28"/>
        <v>280793.1121336706</v>
      </c>
      <c r="AG260" s="4">
        <f>IF(monthly_mortgage_schedule[[#This Row],[Loan Balance (BOY) Without Extra Principal Payments]]&gt;0,monthly_mortgage_schedule[[#This Row],[Loan Balance (BOY) Without Extra Principal Payments]]*monthly_interest_rate,0)</f>
        <v>1310.3678566237963</v>
      </c>
      <c r="AH260" s="4">
        <f>IF(monthly_mortgage_schedule[[#This Row],[Loan Balance (BOY) Without Extra Principal Payments]]&gt;1,monthly_principal_and_interest-monthly_mortgage_schedule[[#This Row],[Interest Without Extra Principal Payments]],0)</f>
        <v>1789.6586388396117</v>
      </c>
      <c r="AI260" s="4">
        <f>AI259+monthly_mortgage_schedule[[#This Row],[Principal Without Extra Principal Payments]]</f>
        <v>260996.5465051691</v>
      </c>
      <c r="AJ260" s="4">
        <f>monthly_mortgage_schedule[[#This Row],[Cumulative Principal Without Extra Principal Payments]]+down_payment_dollars</f>
        <v>320996.54650516913</v>
      </c>
      <c r="AK260" s="200">
        <f t="shared" si="23"/>
        <v>0</v>
      </c>
      <c r="AL26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279003.45349483099</v>
      </c>
      <c r="AN260" s="196">
        <f>monthly_mortgage_schedule[[#This Row],[Extra Payments Towards Equity]]+AN259+IF(monthly_mortgage_schedule[[#This Row],[Interest With Extra Principal Payments]]&gt;0,monthly_mortgage_schedule[[#This Row],[Interest Without Extra Principal Payments]]-monthly_mortgage_schedule[[#This Row],[Interest With Extra Principal Payments]],0)</f>
        <v>63589.761189756806</v>
      </c>
      <c r="AO260" s="4">
        <f>AO259+IF(monthly_mortgage_schedule[[#This Row],[Interest With Extra Principal Payments]]&gt;0,monthly_mortgage_schedule[[#This Row],[Interest Without Extra Principal Payments]]-monthly_mortgage_schedule[[#This Row],[Interest With Extra Principal Payments]],0)</f>
        <v>29839.761189756769</v>
      </c>
      <c r="AP260" s="4">
        <f>AP259+monthly_mortgage_schedule[[#This Row],[PMI Without Extra Principal Payments]]-monthly_mortgage_schedule[[#This Row],[PMI with Additional Payments]]</f>
        <v>990</v>
      </c>
      <c r="AQ260" s="4">
        <f t="shared" si="26"/>
        <v>85189.526208209019</v>
      </c>
      <c r="AR260" s="4">
        <f>Table60[[#This Row],[Cumulative Investments]]-monthly_mortgage_schedule[[#This Row],[Cumulative Extra Payments Towards Equity]]</f>
        <v>51439.526208209019</v>
      </c>
    </row>
    <row r="261" spans="9:44" x14ac:dyDescent="0.25">
      <c r="I261">
        <v>244</v>
      </c>
      <c r="J261">
        <f>IF(MOD(ROWS($J$18:J260),12)=0,J260+1,J260)</f>
        <v>2042</v>
      </c>
      <c r="K261" s="198">
        <f>IF(M261="#N/A",NA(),monthly_mortgage_schedule[[#This Row],[Month]])</f>
        <v>244</v>
      </c>
      <c r="L261" s="198">
        <f>IF(monthly_mortgage_schedule[[#This Row],[Calendar Year]]&gt;=$C$7,monthly_mortgage_schedule[[#This Row],[Calendar Year]],NA())</f>
        <v>2042</v>
      </c>
      <c r="M261" s="199">
        <f>IF((monthly_mortgage_schedule[[#This Row],[Calendar Year]]&gt;=$C$7)*(monthly_mortgage_schedule[[#This Row],[Calendar Year]]&lt;=$C$9),monthly_mortgage_schedule[[#This Row],[Begin Year (Range)]],NA())</f>
        <v>2042</v>
      </c>
      <c r="N261" s="214">
        <f>IF((monthly_mortgage_schedule[[#This Row],[Year (Range)]]&gt;=$C$7)*(monthly_mortgage_schedule[[#This Row],[Year (Range)]]&lt;=$C$9),X261,NA())</f>
        <v>1005.2638974236788</v>
      </c>
      <c r="O261" s="214">
        <f>IF((monthly_mortgage_schedule[[#This Row],[Year (Range)]]&gt;=$C$7)*(monthly_mortgage_schedule[[#This Row],[Year (Range)]]&lt;=$C$9),Y261,NA())</f>
        <v>2094.7625980397293</v>
      </c>
      <c r="P261" s="214">
        <f>IF((monthly_mortgage_schedule[[#This Row],[Year (Range)]]&gt;=$C$7)*(monthly_mortgage_schedule[[#This Row],[Year (Range)]]&lt;=$C$9),AG261,NA())</f>
        <v>1302.0161163092114</v>
      </c>
      <c r="Q261" s="214">
        <f>IF((monthly_mortgage_schedule[[#This Row],[Year (Range)]]&gt;=$C$7)*(monthly_mortgage_schedule[[#This Row],[Year (Range)]]&lt;=$C$9),AH261,NA())</f>
        <v>1798.0103791541967</v>
      </c>
      <c r="R261" s="214">
        <f>IF((monthly_mortgage_schedule[[#This Row],[Year (Range)]]&gt;=$C$7)*(monthly_mortgage_schedule[[#This Row],[Year (Range)]]&lt;=$C$9),AO261,NA())</f>
        <v>30136.513408642302</v>
      </c>
      <c r="S261" s="214">
        <f>IF((monthly_mortgage_schedule[[#This Row],[Year (Range)]]&gt;=$C$7)*(monthly_mortgage_schedule[[#This Row],[Year (Range)]]&lt;=$C$9),AP261,NA())</f>
        <v>990</v>
      </c>
      <c r="T261" s="214">
        <f>IF((monthly_mortgage_schedule[[#This Row],[Year (Range)]]&gt;=$C$7)*(monthly_mortgage_schedule[[#This Row],[Year (Range)]]&lt;=$C$9),AR261,NA())</f>
        <v>52007.45638293041</v>
      </c>
      <c r="U261" s="214">
        <f>IF((monthly_mortgage_schedule[[#This Row],[Year (Range)]]&gt;=$C$7)*(monthly_mortgage_schedule[[#This Row],[Year (Range)]]&lt;=$C$9),AB261,NA())</f>
        <v>326681.07029296557</v>
      </c>
      <c r="V261" s="214">
        <f>IF((monthly_mortgage_schedule[[#This Row],[Year (Range)]]&gt;=$C$7)*(monthly_mortgage_schedule[[#This Row],[Year (Range)]]&lt;=$C$9),AI261,NA())</f>
        <v>262794.5568843233</v>
      </c>
      <c r="W261" s="187">
        <f t="shared" si="24"/>
        <v>215413.69230507402</v>
      </c>
      <c r="X261" s="4">
        <f t="shared" si="27"/>
        <v>1005.2638974236788</v>
      </c>
      <c r="Y261" s="4">
        <f t="shared" si="25"/>
        <v>2094.7625980397293</v>
      </c>
      <c r="Z261" s="4">
        <f>_xlfn.IFNA(INDEX(additional_mortgage_payments[],MATCH(monthly_mortgage_schedule[[#This Row],[Month]],additional_mortgage_payments[Month],0),3),0)</f>
        <v>0</v>
      </c>
      <c r="AA261" s="4">
        <f>AA260+monthly_mortgage_schedule[[#This Row],[Extra Payments Towards Equity]]</f>
        <v>33750</v>
      </c>
      <c r="AB261" s="4">
        <f>AB260+monthly_mortgage_schedule[[#This Row],[Principal With Extra Principal Payments]]+monthly_mortgage_schedule[[#This Row],[Extra Payments Towards Equity]]</f>
        <v>326681.07029296557</v>
      </c>
      <c r="AC261" s="4">
        <f>monthly_mortgage_schedule[[#This Row],[Cumulative Principal With Extra Principal Payments]]+down_payment_dollars</f>
        <v>386681.07029296557</v>
      </c>
      <c r="AD261" s="200">
        <f t="shared" si="22"/>
        <v>0</v>
      </c>
      <c r="AE26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213318.92970703429</v>
      </c>
      <c r="AF261" s="187">
        <f t="shared" si="28"/>
        <v>279003.45349483099</v>
      </c>
      <c r="AG261" s="4">
        <f>IF(monthly_mortgage_schedule[[#This Row],[Loan Balance (BOY) Without Extra Principal Payments]]&gt;0,monthly_mortgage_schedule[[#This Row],[Loan Balance (BOY) Without Extra Principal Payments]]*monthly_interest_rate,0)</f>
        <v>1302.0161163092114</v>
      </c>
      <c r="AH261" s="4">
        <f>IF(monthly_mortgage_schedule[[#This Row],[Loan Balance (BOY) Without Extra Principal Payments]]&gt;1,monthly_principal_and_interest-monthly_mortgage_schedule[[#This Row],[Interest Without Extra Principal Payments]],0)</f>
        <v>1798.0103791541967</v>
      </c>
      <c r="AI261" s="4">
        <f>AI260+monthly_mortgage_schedule[[#This Row],[Principal Without Extra Principal Payments]]</f>
        <v>262794.5568843233</v>
      </c>
      <c r="AJ261" s="4">
        <f>monthly_mortgage_schedule[[#This Row],[Cumulative Principal Without Extra Principal Payments]]+down_payment_dollars</f>
        <v>322794.5568843233</v>
      </c>
      <c r="AK261" s="200">
        <f t="shared" si="23"/>
        <v>0</v>
      </c>
      <c r="AL26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277205.44311567681</v>
      </c>
      <c r="AN261" s="196">
        <f>monthly_mortgage_schedule[[#This Row],[Extra Payments Towards Equity]]+AN260+IF(monthly_mortgage_schedule[[#This Row],[Interest With Extra Principal Payments]]&gt;0,monthly_mortgage_schedule[[#This Row],[Interest Without Extra Principal Payments]]-monthly_mortgage_schedule[[#This Row],[Interest With Extra Principal Payments]],0)</f>
        <v>63886.513408642335</v>
      </c>
      <c r="AO261" s="4">
        <f>AO260+IF(monthly_mortgage_schedule[[#This Row],[Interest With Extra Principal Payments]]&gt;0,monthly_mortgage_schedule[[#This Row],[Interest Without Extra Principal Payments]]-monthly_mortgage_schedule[[#This Row],[Interest With Extra Principal Payments]],0)</f>
        <v>30136.513408642302</v>
      </c>
      <c r="AP261" s="4">
        <f>AP260+monthly_mortgage_schedule[[#This Row],[PMI Without Extra Principal Payments]]-monthly_mortgage_schedule[[#This Row],[PMI with Additional Payments]]</f>
        <v>990</v>
      </c>
      <c r="AQ261" s="4">
        <f t="shared" si="26"/>
        <v>85757.45638293041</v>
      </c>
      <c r="AR261" s="4">
        <f>Table60[[#This Row],[Cumulative Investments]]-monthly_mortgage_schedule[[#This Row],[Cumulative Extra Payments Towards Equity]]</f>
        <v>52007.45638293041</v>
      </c>
    </row>
    <row r="262" spans="9:44" x14ac:dyDescent="0.25">
      <c r="I262">
        <v>245</v>
      </c>
      <c r="J262">
        <f>IF(MOD(ROWS($J$18:J261),12)=0,J261+1,J261)</f>
        <v>2042</v>
      </c>
      <c r="K262" s="198">
        <f>IF(M262="#N/A",NA(),monthly_mortgage_schedule[[#This Row],[Month]])</f>
        <v>245</v>
      </c>
      <c r="L262" s="198">
        <f>IF(monthly_mortgage_schedule[[#This Row],[Calendar Year]]&gt;=$C$7,monthly_mortgage_schedule[[#This Row],[Calendar Year]],NA())</f>
        <v>2042</v>
      </c>
      <c r="M262" s="199">
        <f>IF((monthly_mortgage_schedule[[#This Row],[Calendar Year]]&gt;=$C$7)*(monthly_mortgage_schedule[[#This Row],[Calendar Year]]&lt;=$C$9),monthly_mortgage_schedule[[#This Row],[Begin Year (Range)]],NA())</f>
        <v>2042</v>
      </c>
      <c r="N262" s="214">
        <f>IF((monthly_mortgage_schedule[[#This Row],[Year (Range)]]&gt;=$C$7)*(monthly_mortgage_schedule[[#This Row],[Year (Range)]]&lt;=$C$9),X262,NA())</f>
        <v>995.48833863282675</v>
      </c>
      <c r="O262" s="214">
        <f>IF((monthly_mortgage_schedule[[#This Row],[Year (Range)]]&gt;=$C$7)*(monthly_mortgage_schedule[[#This Row],[Year (Range)]]&lt;=$C$9),Y262,NA())</f>
        <v>2104.5381568305811</v>
      </c>
      <c r="P262" s="214">
        <f>IF((monthly_mortgage_schedule[[#This Row],[Year (Range)]]&gt;=$C$7)*(monthly_mortgage_schedule[[#This Row],[Year (Range)]]&lt;=$C$9),AG262,NA())</f>
        <v>1293.6254012064919</v>
      </c>
      <c r="Q262" s="214">
        <f>IF((monthly_mortgage_schedule[[#This Row],[Year (Range)]]&gt;=$C$7)*(monthly_mortgage_schedule[[#This Row],[Year (Range)]]&lt;=$C$9),AH262,NA())</f>
        <v>1806.4010942569162</v>
      </c>
      <c r="R262" s="214">
        <f>IF((monthly_mortgage_schedule[[#This Row],[Year (Range)]]&gt;=$C$7)*(monthly_mortgage_schedule[[#This Row],[Year (Range)]]&lt;=$C$9),AO262,NA())</f>
        <v>30434.650471215966</v>
      </c>
      <c r="S262" s="214">
        <f>IF((monthly_mortgage_schedule[[#This Row],[Year (Range)]]&gt;=$C$7)*(monthly_mortgage_schedule[[#This Row],[Year (Range)]]&lt;=$C$9),AP262,NA())</f>
        <v>990</v>
      </c>
      <c r="T262" s="214">
        <f>IF((monthly_mortgage_schedule[[#This Row],[Year (Range)]]&gt;=$C$7)*(monthly_mortgage_schedule[[#This Row],[Year (Range)]]&lt;=$C$9),AR262,NA())</f>
        <v>52579.17275881661</v>
      </c>
      <c r="U262" s="214">
        <f>IF((monthly_mortgage_schedule[[#This Row],[Year (Range)]]&gt;=$C$7)*(monthly_mortgage_schedule[[#This Row],[Year (Range)]]&lt;=$C$9),AB262,NA())</f>
        <v>328785.60844979616</v>
      </c>
      <c r="V262" s="214">
        <f>IF((monthly_mortgage_schedule[[#This Row],[Year (Range)]]&gt;=$C$7)*(monthly_mortgage_schedule[[#This Row],[Year (Range)]]&lt;=$C$9),AI262,NA())</f>
        <v>264600.95797858021</v>
      </c>
      <c r="W262" s="187">
        <f t="shared" si="24"/>
        <v>213318.92970703429</v>
      </c>
      <c r="X262" s="4">
        <f t="shared" si="27"/>
        <v>995.48833863282675</v>
      </c>
      <c r="Y262" s="4">
        <f t="shared" si="25"/>
        <v>2104.5381568305811</v>
      </c>
      <c r="Z262" s="4">
        <f>_xlfn.IFNA(INDEX(additional_mortgage_payments[],MATCH(monthly_mortgage_schedule[[#This Row],[Month]],additional_mortgage_payments[Month],0),3),0)</f>
        <v>0</v>
      </c>
      <c r="AA262" s="4">
        <f>AA261+monthly_mortgage_schedule[[#This Row],[Extra Payments Towards Equity]]</f>
        <v>33750</v>
      </c>
      <c r="AB262" s="4">
        <f>AB261+monthly_mortgage_schedule[[#This Row],[Principal With Extra Principal Payments]]+monthly_mortgage_schedule[[#This Row],[Extra Payments Towards Equity]]</f>
        <v>328785.60844979616</v>
      </c>
      <c r="AC262" s="4">
        <f>monthly_mortgage_schedule[[#This Row],[Cumulative Principal With Extra Principal Payments]]+down_payment_dollars</f>
        <v>388785.60844979616</v>
      </c>
      <c r="AD262" s="200">
        <f t="shared" si="22"/>
        <v>0</v>
      </c>
      <c r="AE26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211214.3915502037</v>
      </c>
      <c r="AF262" s="187">
        <f t="shared" si="28"/>
        <v>277205.44311567681</v>
      </c>
      <c r="AG262" s="4">
        <f>IF(monthly_mortgage_schedule[[#This Row],[Loan Balance (BOY) Without Extra Principal Payments]]&gt;0,monthly_mortgage_schedule[[#This Row],[Loan Balance (BOY) Without Extra Principal Payments]]*monthly_interest_rate,0)</f>
        <v>1293.6254012064919</v>
      </c>
      <c r="AH262" s="4">
        <f>IF(monthly_mortgage_schedule[[#This Row],[Loan Balance (BOY) Without Extra Principal Payments]]&gt;1,monthly_principal_and_interest-monthly_mortgage_schedule[[#This Row],[Interest Without Extra Principal Payments]],0)</f>
        <v>1806.4010942569162</v>
      </c>
      <c r="AI262" s="4">
        <f>AI261+monthly_mortgage_schedule[[#This Row],[Principal Without Extra Principal Payments]]</f>
        <v>264600.95797858021</v>
      </c>
      <c r="AJ262" s="4">
        <f>monthly_mortgage_schedule[[#This Row],[Cumulative Principal Without Extra Principal Payments]]+down_payment_dollars</f>
        <v>324600.95797858021</v>
      </c>
      <c r="AK262" s="200">
        <f t="shared" si="23"/>
        <v>0</v>
      </c>
      <c r="AL26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275399.04202141991</v>
      </c>
      <c r="AN262" s="196">
        <f>monthly_mortgage_schedule[[#This Row],[Extra Payments Towards Equity]]+AN261+IF(monthly_mortgage_schedule[[#This Row],[Interest With Extra Principal Payments]]&gt;0,monthly_mortgage_schedule[[#This Row],[Interest Without Extra Principal Payments]]-monthly_mortgage_schedule[[#This Row],[Interest With Extra Principal Payments]],0)</f>
        <v>64184.650471216002</v>
      </c>
      <c r="AO262" s="4">
        <f>AO261+IF(monthly_mortgage_schedule[[#This Row],[Interest With Extra Principal Payments]]&gt;0,monthly_mortgage_schedule[[#This Row],[Interest Without Extra Principal Payments]]-monthly_mortgage_schedule[[#This Row],[Interest With Extra Principal Payments]],0)</f>
        <v>30434.650471215966</v>
      </c>
      <c r="AP262" s="4">
        <f>AP261+monthly_mortgage_schedule[[#This Row],[PMI Without Extra Principal Payments]]-monthly_mortgage_schedule[[#This Row],[PMI with Additional Payments]]</f>
        <v>990</v>
      </c>
      <c r="AQ262" s="4">
        <f t="shared" si="26"/>
        <v>86329.17275881661</v>
      </c>
      <c r="AR262" s="4">
        <f>Table60[[#This Row],[Cumulative Investments]]-monthly_mortgage_schedule[[#This Row],[Cumulative Extra Payments Towards Equity]]</f>
        <v>52579.17275881661</v>
      </c>
    </row>
    <row r="263" spans="9:44" x14ac:dyDescent="0.25">
      <c r="I263">
        <v>246</v>
      </c>
      <c r="J263">
        <f>IF(MOD(ROWS($J$18:J262),12)=0,J262+1,J262)</f>
        <v>2042</v>
      </c>
      <c r="K263" s="198">
        <f>IF(M263="#N/A",NA(),monthly_mortgage_schedule[[#This Row],[Month]])</f>
        <v>246</v>
      </c>
      <c r="L263" s="198">
        <f>IF(monthly_mortgage_schedule[[#This Row],[Calendar Year]]&gt;=$C$7,monthly_mortgage_schedule[[#This Row],[Calendar Year]],NA())</f>
        <v>2042</v>
      </c>
      <c r="M263" s="199">
        <f>IF((monthly_mortgage_schedule[[#This Row],[Calendar Year]]&gt;=$C$7)*(monthly_mortgage_schedule[[#This Row],[Calendar Year]]&lt;=$C$9),monthly_mortgage_schedule[[#This Row],[Begin Year (Range)]],NA())</f>
        <v>2042</v>
      </c>
      <c r="N263" s="214">
        <f>IF((monthly_mortgage_schedule[[#This Row],[Year (Range)]]&gt;=$C$7)*(monthly_mortgage_schedule[[#This Row],[Year (Range)]]&lt;=$C$9),X263,NA())</f>
        <v>985.66716056761732</v>
      </c>
      <c r="O263" s="214">
        <f>IF((monthly_mortgage_schedule[[#This Row],[Year (Range)]]&gt;=$C$7)*(monthly_mortgage_schedule[[#This Row],[Year (Range)]]&lt;=$C$9),Y263,NA())</f>
        <v>2114.3593348957907</v>
      </c>
      <c r="P263" s="214">
        <f>IF((monthly_mortgage_schedule[[#This Row],[Year (Range)]]&gt;=$C$7)*(monthly_mortgage_schedule[[#This Row],[Year (Range)]]&lt;=$C$9),AG263,NA())</f>
        <v>1285.1955294332931</v>
      </c>
      <c r="Q263" s="214">
        <f>IF((monthly_mortgage_schedule[[#This Row],[Year (Range)]]&gt;=$C$7)*(monthly_mortgage_schedule[[#This Row],[Year (Range)]]&lt;=$C$9),AH263,NA())</f>
        <v>1814.830966030115</v>
      </c>
      <c r="R263" s="214">
        <f>IF((monthly_mortgage_schedule[[#This Row],[Year (Range)]]&gt;=$C$7)*(monthly_mortgage_schedule[[#This Row],[Year (Range)]]&lt;=$C$9),AO263,NA())</f>
        <v>30734.17884008164</v>
      </c>
      <c r="S263" s="214">
        <f>IF((monthly_mortgage_schedule[[#This Row],[Year (Range)]]&gt;=$C$7)*(monthly_mortgage_schedule[[#This Row],[Year (Range)]]&lt;=$C$9),AP263,NA())</f>
        <v>990</v>
      </c>
      <c r="T263" s="214">
        <f>IF((monthly_mortgage_schedule[[#This Row],[Year (Range)]]&gt;=$C$7)*(monthly_mortgage_schedule[[#This Row],[Year (Range)]]&lt;=$C$9),AR263,NA())</f>
        <v>53154.700577208714</v>
      </c>
      <c r="U263" s="214">
        <f>IF((monthly_mortgage_schedule[[#This Row],[Year (Range)]]&gt;=$C$7)*(monthly_mortgage_schedule[[#This Row],[Year (Range)]]&lt;=$C$9),AB263,NA())</f>
        <v>330899.96778469195</v>
      </c>
      <c r="V263" s="214">
        <f>IF((monthly_mortgage_schedule[[#This Row],[Year (Range)]]&gt;=$C$7)*(monthly_mortgage_schedule[[#This Row],[Year (Range)]]&lt;=$C$9),AI263,NA())</f>
        <v>266415.78894461034</v>
      </c>
      <c r="W263" s="187">
        <f t="shared" si="24"/>
        <v>211214.3915502037</v>
      </c>
      <c r="X263" s="4">
        <f t="shared" si="27"/>
        <v>985.66716056761732</v>
      </c>
      <c r="Y263" s="4">
        <f t="shared" si="25"/>
        <v>2114.3593348957907</v>
      </c>
      <c r="Z263" s="4">
        <f>_xlfn.IFNA(INDEX(additional_mortgage_payments[],MATCH(monthly_mortgage_schedule[[#This Row],[Month]],additional_mortgage_payments[Month],0),3),0)</f>
        <v>0</v>
      </c>
      <c r="AA263" s="4">
        <f>AA262+monthly_mortgage_schedule[[#This Row],[Extra Payments Towards Equity]]</f>
        <v>33750</v>
      </c>
      <c r="AB263" s="4">
        <f>AB262+monthly_mortgage_schedule[[#This Row],[Principal With Extra Principal Payments]]+monthly_mortgage_schedule[[#This Row],[Extra Payments Towards Equity]]</f>
        <v>330899.96778469195</v>
      </c>
      <c r="AC263" s="4">
        <f>monthly_mortgage_schedule[[#This Row],[Cumulative Principal With Extra Principal Payments]]+down_payment_dollars</f>
        <v>390899.96778469195</v>
      </c>
      <c r="AD263" s="200">
        <f t="shared" si="22"/>
        <v>0</v>
      </c>
      <c r="AE26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209100.0322153079</v>
      </c>
      <c r="AF263" s="187">
        <f t="shared" si="28"/>
        <v>275399.04202141991</v>
      </c>
      <c r="AG263" s="4">
        <f>IF(monthly_mortgage_schedule[[#This Row],[Loan Balance (BOY) Without Extra Principal Payments]]&gt;0,monthly_mortgage_schedule[[#This Row],[Loan Balance (BOY) Without Extra Principal Payments]]*monthly_interest_rate,0)</f>
        <v>1285.1955294332931</v>
      </c>
      <c r="AH263" s="4">
        <f>IF(monthly_mortgage_schedule[[#This Row],[Loan Balance (BOY) Without Extra Principal Payments]]&gt;1,monthly_principal_and_interest-monthly_mortgage_schedule[[#This Row],[Interest Without Extra Principal Payments]],0)</f>
        <v>1814.830966030115</v>
      </c>
      <c r="AI263" s="4">
        <f>AI262+monthly_mortgage_schedule[[#This Row],[Principal Without Extra Principal Payments]]</f>
        <v>266415.78894461034</v>
      </c>
      <c r="AJ263" s="4">
        <f>monthly_mortgage_schedule[[#This Row],[Cumulative Principal Without Extra Principal Payments]]+down_payment_dollars</f>
        <v>326415.78894461034</v>
      </c>
      <c r="AK263" s="200">
        <f t="shared" si="23"/>
        <v>0</v>
      </c>
      <c r="AL26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273584.21105538978</v>
      </c>
      <c r="AN263" s="196">
        <f>monthly_mortgage_schedule[[#This Row],[Extra Payments Towards Equity]]+AN262+IF(monthly_mortgage_schedule[[#This Row],[Interest With Extra Principal Payments]]&gt;0,monthly_mortgage_schedule[[#This Row],[Interest Without Extra Principal Payments]]-monthly_mortgage_schedule[[#This Row],[Interest With Extra Principal Payments]],0)</f>
        <v>64484.17884008168</v>
      </c>
      <c r="AO263" s="4">
        <f>AO262+IF(monthly_mortgage_schedule[[#This Row],[Interest With Extra Principal Payments]]&gt;0,monthly_mortgage_schedule[[#This Row],[Interest Without Extra Principal Payments]]-monthly_mortgage_schedule[[#This Row],[Interest With Extra Principal Payments]],0)</f>
        <v>30734.17884008164</v>
      </c>
      <c r="AP263" s="4">
        <f>AP262+monthly_mortgage_schedule[[#This Row],[PMI Without Extra Principal Payments]]-monthly_mortgage_schedule[[#This Row],[PMI with Additional Payments]]</f>
        <v>990</v>
      </c>
      <c r="AQ263" s="4">
        <f t="shared" si="26"/>
        <v>86904.700577208714</v>
      </c>
      <c r="AR263" s="4">
        <f>Table60[[#This Row],[Cumulative Investments]]-monthly_mortgage_schedule[[#This Row],[Cumulative Extra Payments Towards Equity]]</f>
        <v>53154.700577208714</v>
      </c>
    </row>
    <row r="264" spans="9:44" x14ac:dyDescent="0.25">
      <c r="I264">
        <v>247</v>
      </c>
      <c r="J264">
        <f>IF(MOD(ROWS($J$18:J263),12)=0,J263+1,J263)</f>
        <v>2042</v>
      </c>
      <c r="K264" s="198">
        <f>IF(M264="#N/A",NA(),monthly_mortgage_schedule[[#This Row],[Month]])</f>
        <v>247</v>
      </c>
      <c r="L264" s="198">
        <f>IF(monthly_mortgage_schedule[[#This Row],[Calendar Year]]&gt;=$C$7,monthly_mortgage_schedule[[#This Row],[Calendar Year]],NA())</f>
        <v>2042</v>
      </c>
      <c r="M264" s="199">
        <f>IF((monthly_mortgage_schedule[[#This Row],[Calendar Year]]&gt;=$C$7)*(monthly_mortgage_schedule[[#This Row],[Calendar Year]]&lt;=$C$9),monthly_mortgage_schedule[[#This Row],[Begin Year (Range)]],NA())</f>
        <v>2042</v>
      </c>
      <c r="N264" s="214">
        <f>IF((monthly_mortgage_schedule[[#This Row],[Year (Range)]]&gt;=$C$7)*(monthly_mortgage_schedule[[#This Row],[Year (Range)]]&lt;=$C$9),X264,NA())</f>
        <v>975.80015033810366</v>
      </c>
      <c r="O264" s="214">
        <f>IF((monthly_mortgage_schedule[[#This Row],[Year (Range)]]&gt;=$C$7)*(monthly_mortgage_schedule[[#This Row],[Year (Range)]]&lt;=$C$9),Y264,NA())</f>
        <v>2124.2263451253043</v>
      </c>
      <c r="P264" s="214">
        <f>IF((monthly_mortgage_schedule[[#This Row],[Year (Range)]]&gt;=$C$7)*(monthly_mortgage_schedule[[#This Row],[Year (Range)]]&lt;=$C$9),AG264,NA())</f>
        <v>1276.7263182584857</v>
      </c>
      <c r="Q264" s="214">
        <f>IF((monthly_mortgage_schedule[[#This Row],[Year (Range)]]&gt;=$C$7)*(monthly_mortgage_schedule[[#This Row],[Year (Range)]]&lt;=$C$9),AH264,NA())</f>
        <v>1823.3001772049224</v>
      </c>
      <c r="R264" s="214">
        <f>IF((monthly_mortgage_schedule[[#This Row],[Year (Range)]]&gt;=$C$7)*(monthly_mortgage_schedule[[#This Row],[Year (Range)]]&lt;=$C$9),AO264,NA())</f>
        <v>31035.105008002021</v>
      </c>
      <c r="S264" s="214">
        <f>IF((monthly_mortgage_schedule[[#This Row],[Year (Range)]]&gt;=$C$7)*(monthly_mortgage_schedule[[#This Row],[Year (Range)]]&lt;=$C$9),AP264,NA())</f>
        <v>990</v>
      </c>
      <c r="T264" s="214">
        <f>IF((monthly_mortgage_schedule[[#This Row],[Year (Range)]]&gt;=$C$7)*(monthly_mortgage_schedule[[#This Row],[Year (Range)]]&lt;=$C$9),AR264,NA())</f>
        <v>53734.06524772344</v>
      </c>
      <c r="U264" s="214">
        <f>IF((monthly_mortgage_schedule[[#This Row],[Year (Range)]]&gt;=$C$7)*(monthly_mortgage_schedule[[#This Row],[Year (Range)]]&lt;=$C$9),AB264,NA())</f>
        <v>333024.19412981725</v>
      </c>
      <c r="V264" s="214">
        <f>IF((monthly_mortgage_schedule[[#This Row],[Year (Range)]]&gt;=$C$7)*(monthly_mortgage_schedule[[#This Row],[Year (Range)]]&lt;=$C$9),AI264,NA())</f>
        <v>268239.08912181528</v>
      </c>
      <c r="W264" s="187">
        <f t="shared" si="24"/>
        <v>209100.0322153079</v>
      </c>
      <c r="X264" s="4">
        <f t="shared" si="27"/>
        <v>975.80015033810366</v>
      </c>
      <c r="Y264" s="4">
        <f t="shared" si="25"/>
        <v>2124.2263451253043</v>
      </c>
      <c r="Z264" s="4">
        <f>_xlfn.IFNA(INDEX(additional_mortgage_payments[],MATCH(monthly_mortgage_schedule[[#This Row],[Month]],additional_mortgage_payments[Month],0),3),0)</f>
        <v>0</v>
      </c>
      <c r="AA264" s="4">
        <f>AA263+monthly_mortgage_schedule[[#This Row],[Extra Payments Towards Equity]]</f>
        <v>33750</v>
      </c>
      <c r="AB264" s="4">
        <f>AB263+monthly_mortgage_schedule[[#This Row],[Principal With Extra Principal Payments]]+monthly_mortgage_schedule[[#This Row],[Extra Payments Towards Equity]]</f>
        <v>333024.19412981725</v>
      </c>
      <c r="AC264" s="4">
        <f>monthly_mortgage_schedule[[#This Row],[Cumulative Principal With Extra Principal Payments]]+down_payment_dollars</f>
        <v>393024.19412981725</v>
      </c>
      <c r="AD264" s="200">
        <f t="shared" si="22"/>
        <v>0</v>
      </c>
      <c r="AE26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206975.80587018261</v>
      </c>
      <c r="AF264" s="187">
        <f t="shared" si="28"/>
        <v>273584.21105538978</v>
      </c>
      <c r="AG264" s="4">
        <f>IF(monthly_mortgage_schedule[[#This Row],[Loan Balance (BOY) Without Extra Principal Payments]]&gt;0,monthly_mortgage_schedule[[#This Row],[Loan Balance (BOY) Without Extra Principal Payments]]*monthly_interest_rate,0)</f>
        <v>1276.7263182584857</v>
      </c>
      <c r="AH264" s="4">
        <f>IF(monthly_mortgage_schedule[[#This Row],[Loan Balance (BOY) Without Extra Principal Payments]]&gt;1,monthly_principal_and_interest-monthly_mortgage_schedule[[#This Row],[Interest Without Extra Principal Payments]],0)</f>
        <v>1823.3001772049224</v>
      </c>
      <c r="AI264" s="4">
        <f>AI263+monthly_mortgage_schedule[[#This Row],[Principal Without Extra Principal Payments]]</f>
        <v>268239.08912181528</v>
      </c>
      <c r="AJ264" s="4">
        <f>monthly_mortgage_schedule[[#This Row],[Cumulative Principal Without Extra Principal Payments]]+down_payment_dollars</f>
        <v>328239.08912181528</v>
      </c>
      <c r="AK264" s="200">
        <f t="shared" si="23"/>
        <v>0</v>
      </c>
      <c r="AL26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271760.91087818483</v>
      </c>
      <c r="AN264" s="196">
        <f>monthly_mortgage_schedule[[#This Row],[Extra Payments Towards Equity]]+AN263+IF(monthly_mortgage_schedule[[#This Row],[Interest With Extra Principal Payments]]&gt;0,monthly_mortgage_schedule[[#This Row],[Interest Without Extra Principal Payments]]-monthly_mortgage_schedule[[#This Row],[Interest With Extra Principal Payments]],0)</f>
        <v>64785.105008002065</v>
      </c>
      <c r="AO264" s="4">
        <f>AO263+IF(monthly_mortgage_schedule[[#This Row],[Interest With Extra Principal Payments]]&gt;0,monthly_mortgage_schedule[[#This Row],[Interest Without Extra Principal Payments]]-monthly_mortgage_schedule[[#This Row],[Interest With Extra Principal Payments]],0)</f>
        <v>31035.105008002021</v>
      </c>
      <c r="AP264" s="4">
        <f>AP263+monthly_mortgage_schedule[[#This Row],[PMI Without Extra Principal Payments]]-monthly_mortgage_schedule[[#This Row],[PMI with Additional Payments]]</f>
        <v>990</v>
      </c>
      <c r="AQ264" s="4">
        <f t="shared" si="26"/>
        <v>87484.06524772344</v>
      </c>
      <c r="AR264" s="4">
        <f>Table60[[#This Row],[Cumulative Investments]]-monthly_mortgage_schedule[[#This Row],[Cumulative Extra Payments Towards Equity]]</f>
        <v>53734.06524772344</v>
      </c>
    </row>
    <row r="265" spans="9:44" x14ac:dyDescent="0.25">
      <c r="I265">
        <v>248</v>
      </c>
      <c r="J265">
        <f>IF(MOD(ROWS($J$18:J264),12)=0,J264+1,J264)</f>
        <v>2042</v>
      </c>
      <c r="K265" s="198">
        <f>IF(M265="#N/A",NA(),monthly_mortgage_schedule[[#This Row],[Month]])</f>
        <v>248</v>
      </c>
      <c r="L265" s="198">
        <f>IF(monthly_mortgage_schedule[[#This Row],[Calendar Year]]&gt;=$C$7,monthly_mortgage_schedule[[#This Row],[Calendar Year]],NA())</f>
        <v>2042</v>
      </c>
      <c r="M265" s="199">
        <f>IF((monthly_mortgage_schedule[[#This Row],[Calendar Year]]&gt;=$C$7)*(monthly_mortgage_schedule[[#This Row],[Calendar Year]]&lt;=$C$9),monthly_mortgage_schedule[[#This Row],[Begin Year (Range)]],NA())</f>
        <v>2042</v>
      </c>
      <c r="N265" s="214">
        <f>IF((monthly_mortgage_schedule[[#This Row],[Year (Range)]]&gt;=$C$7)*(monthly_mortgage_schedule[[#This Row],[Year (Range)]]&lt;=$C$9),X265,NA())</f>
        <v>965.88709406085229</v>
      </c>
      <c r="O265" s="214">
        <f>IF((monthly_mortgage_schedule[[#This Row],[Year (Range)]]&gt;=$C$7)*(monthly_mortgage_schedule[[#This Row],[Year (Range)]]&lt;=$C$9),Y265,NA())</f>
        <v>2134.1394014025559</v>
      </c>
      <c r="P265" s="214">
        <f>IF((monthly_mortgage_schedule[[#This Row],[Year (Range)]]&gt;=$C$7)*(monthly_mortgage_schedule[[#This Row],[Year (Range)]]&lt;=$C$9),AG265,NA())</f>
        <v>1268.2175840981961</v>
      </c>
      <c r="Q265" s="214">
        <f>IF((monthly_mortgage_schedule[[#This Row],[Year (Range)]]&gt;=$C$7)*(monthly_mortgage_schedule[[#This Row],[Year (Range)]]&lt;=$C$9),AH265,NA())</f>
        <v>1831.808911365212</v>
      </c>
      <c r="R265" s="214">
        <f>IF((monthly_mortgage_schedule[[#This Row],[Year (Range)]]&gt;=$C$7)*(monthly_mortgage_schedule[[#This Row],[Year (Range)]]&lt;=$C$9),AO265,NA())</f>
        <v>31337.435498039365</v>
      </c>
      <c r="S265" s="214">
        <f>IF((monthly_mortgage_schedule[[#This Row],[Year (Range)]]&gt;=$C$7)*(monthly_mortgage_schedule[[#This Row],[Year (Range)]]&lt;=$C$9),AP265,NA())</f>
        <v>990</v>
      </c>
      <c r="T265" s="214">
        <f>IF((monthly_mortgage_schedule[[#This Row],[Year (Range)]]&gt;=$C$7)*(monthly_mortgage_schedule[[#This Row],[Year (Range)]]&lt;=$C$9),AR265,NA())</f>
        <v>54317.292349374926</v>
      </c>
      <c r="U265" s="214">
        <f>IF((monthly_mortgage_schedule[[#This Row],[Year (Range)]]&gt;=$C$7)*(monthly_mortgage_schedule[[#This Row],[Year (Range)]]&lt;=$C$9),AB265,NA())</f>
        <v>335158.3335312198</v>
      </c>
      <c r="V265" s="214">
        <f>IF((monthly_mortgage_schedule[[#This Row],[Year (Range)]]&gt;=$C$7)*(monthly_mortgage_schedule[[#This Row],[Year (Range)]]&lt;=$C$9),AI265,NA())</f>
        <v>270070.89803318051</v>
      </c>
      <c r="W265" s="187">
        <f t="shared" si="24"/>
        <v>206975.80587018261</v>
      </c>
      <c r="X265" s="4">
        <f t="shared" si="27"/>
        <v>965.88709406085229</v>
      </c>
      <c r="Y265" s="4">
        <f t="shared" si="25"/>
        <v>2134.1394014025559</v>
      </c>
      <c r="Z265" s="4">
        <f>_xlfn.IFNA(INDEX(additional_mortgage_payments[],MATCH(monthly_mortgage_schedule[[#This Row],[Month]],additional_mortgage_payments[Month],0),3),0)</f>
        <v>0</v>
      </c>
      <c r="AA265" s="4">
        <f>AA264+monthly_mortgage_schedule[[#This Row],[Extra Payments Towards Equity]]</f>
        <v>33750</v>
      </c>
      <c r="AB265" s="4">
        <f>AB264+monthly_mortgage_schedule[[#This Row],[Principal With Extra Principal Payments]]+monthly_mortgage_schedule[[#This Row],[Extra Payments Towards Equity]]</f>
        <v>335158.3335312198</v>
      </c>
      <c r="AC265" s="4">
        <f>monthly_mortgage_schedule[[#This Row],[Cumulative Principal With Extra Principal Payments]]+down_payment_dollars</f>
        <v>395158.3335312198</v>
      </c>
      <c r="AD265" s="200">
        <f t="shared" si="22"/>
        <v>0</v>
      </c>
      <c r="AE26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204841.66646878005</v>
      </c>
      <c r="AF265" s="187">
        <f t="shared" si="28"/>
        <v>271760.91087818483</v>
      </c>
      <c r="AG265" s="4">
        <f>IF(monthly_mortgage_schedule[[#This Row],[Loan Balance (BOY) Without Extra Principal Payments]]&gt;0,monthly_mortgage_schedule[[#This Row],[Loan Balance (BOY) Without Extra Principal Payments]]*monthly_interest_rate,0)</f>
        <v>1268.2175840981961</v>
      </c>
      <c r="AH265" s="4">
        <f>IF(monthly_mortgage_schedule[[#This Row],[Loan Balance (BOY) Without Extra Principal Payments]]&gt;1,monthly_principal_and_interest-monthly_mortgage_schedule[[#This Row],[Interest Without Extra Principal Payments]],0)</f>
        <v>1831.808911365212</v>
      </c>
      <c r="AI265" s="4">
        <f>AI264+monthly_mortgage_schedule[[#This Row],[Principal Without Extra Principal Payments]]</f>
        <v>270070.89803318051</v>
      </c>
      <c r="AJ265" s="4">
        <f>monthly_mortgage_schedule[[#This Row],[Cumulative Principal Without Extra Principal Payments]]+down_payment_dollars</f>
        <v>330070.89803318051</v>
      </c>
      <c r="AK265" s="200">
        <f t="shared" si="23"/>
        <v>0</v>
      </c>
      <c r="AL26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269929.10196681961</v>
      </c>
      <c r="AN265" s="196">
        <f>monthly_mortgage_schedule[[#This Row],[Extra Payments Towards Equity]]+AN264+IF(monthly_mortgage_schedule[[#This Row],[Interest With Extra Principal Payments]]&gt;0,monthly_mortgage_schedule[[#This Row],[Interest Without Extra Principal Payments]]-monthly_mortgage_schedule[[#This Row],[Interest With Extra Principal Payments]],0)</f>
        <v>65087.435498039406</v>
      </c>
      <c r="AO265" s="4">
        <f>AO264+IF(monthly_mortgage_schedule[[#This Row],[Interest With Extra Principal Payments]]&gt;0,monthly_mortgage_schedule[[#This Row],[Interest Without Extra Principal Payments]]-monthly_mortgage_schedule[[#This Row],[Interest With Extra Principal Payments]],0)</f>
        <v>31337.435498039365</v>
      </c>
      <c r="AP265" s="4">
        <f>AP264+monthly_mortgage_schedule[[#This Row],[PMI Without Extra Principal Payments]]-monthly_mortgage_schedule[[#This Row],[PMI with Additional Payments]]</f>
        <v>990</v>
      </c>
      <c r="AQ265" s="4">
        <f t="shared" si="26"/>
        <v>88067.292349374926</v>
      </c>
      <c r="AR265" s="4">
        <f>Table60[[#This Row],[Cumulative Investments]]-monthly_mortgage_schedule[[#This Row],[Cumulative Extra Payments Towards Equity]]</f>
        <v>54317.292349374926</v>
      </c>
    </row>
    <row r="266" spans="9:44" x14ac:dyDescent="0.25">
      <c r="I266">
        <v>249</v>
      </c>
      <c r="J266">
        <f>IF(MOD(ROWS($J$18:J265),12)=0,J265+1,J265)</f>
        <v>2042</v>
      </c>
      <c r="K266" s="198">
        <f>IF(M266="#N/A",NA(),monthly_mortgage_schedule[[#This Row],[Month]])</f>
        <v>249</v>
      </c>
      <c r="L266" s="198">
        <f>IF(monthly_mortgage_schedule[[#This Row],[Calendar Year]]&gt;=$C$7,monthly_mortgage_schedule[[#This Row],[Calendar Year]],NA())</f>
        <v>2042</v>
      </c>
      <c r="M266" s="199">
        <f>IF((monthly_mortgage_schedule[[#This Row],[Calendar Year]]&gt;=$C$7)*(monthly_mortgage_schedule[[#This Row],[Calendar Year]]&lt;=$C$9),monthly_mortgage_schedule[[#This Row],[Begin Year (Range)]],NA())</f>
        <v>2042</v>
      </c>
      <c r="N266" s="214">
        <f>IF((monthly_mortgage_schedule[[#This Row],[Year (Range)]]&gt;=$C$7)*(monthly_mortgage_schedule[[#This Row],[Year (Range)]]&lt;=$C$9),X266,NA())</f>
        <v>955.92777685430701</v>
      </c>
      <c r="O266" s="214">
        <f>IF((monthly_mortgage_schedule[[#This Row],[Year (Range)]]&gt;=$C$7)*(monthly_mortgage_schedule[[#This Row],[Year (Range)]]&lt;=$C$9),Y266,NA())</f>
        <v>2144.0987186091011</v>
      </c>
      <c r="P266" s="214">
        <f>IF((monthly_mortgage_schedule[[#This Row],[Year (Range)]]&gt;=$C$7)*(monthly_mortgage_schedule[[#This Row],[Year (Range)]]&lt;=$C$9),AG266,NA())</f>
        <v>1259.6691425118249</v>
      </c>
      <c r="Q266" s="214">
        <f>IF((monthly_mortgage_schedule[[#This Row],[Year (Range)]]&gt;=$C$7)*(monthly_mortgage_schedule[[#This Row],[Year (Range)]]&lt;=$C$9),AH266,NA())</f>
        <v>1840.3573529515832</v>
      </c>
      <c r="R266" s="214">
        <f>IF((monthly_mortgage_schedule[[#This Row],[Year (Range)]]&gt;=$C$7)*(monthly_mortgage_schedule[[#This Row],[Year (Range)]]&lt;=$C$9),AO266,NA())</f>
        <v>31641.176863696885</v>
      </c>
      <c r="S266" s="214">
        <f>IF((monthly_mortgage_schedule[[#This Row],[Year (Range)]]&gt;=$C$7)*(monthly_mortgage_schedule[[#This Row],[Year (Range)]]&lt;=$C$9),AP266,NA())</f>
        <v>990</v>
      </c>
      <c r="T266" s="214">
        <f>IF((monthly_mortgage_schedule[[#This Row],[Year (Range)]]&gt;=$C$7)*(monthly_mortgage_schedule[[#This Row],[Year (Range)]]&lt;=$C$9),AR266,NA())</f>
        <v>54904.407631704089</v>
      </c>
      <c r="U266" s="214">
        <f>IF((monthly_mortgage_schedule[[#This Row],[Year (Range)]]&gt;=$C$7)*(monthly_mortgage_schedule[[#This Row],[Year (Range)]]&lt;=$C$9),AB266,NA())</f>
        <v>337302.43224982888</v>
      </c>
      <c r="V266" s="214">
        <f>IF((monthly_mortgage_schedule[[#This Row],[Year (Range)]]&gt;=$C$7)*(monthly_mortgage_schedule[[#This Row],[Year (Range)]]&lt;=$C$9),AI266,NA())</f>
        <v>271911.25538613211</v>
      </c>
      <c r="W266" s="187">
        <f t="shared" si="24"/>
        <v>204841.66646878005</v>
      </c>
      <c r="X266" s="4">
        <f t="shared" si="27"/>
        <v>955.92777685430701</v>
      </c>
      <c r="Y266" s="4">
        <f t="shared" si="25"/>
        <v>2144.0987186091011</v>
      </c>
      <c r="Z266" s="4">
        <f>_xlfn.IFNA(INDEX(additional_mortgage_payments[],MATCH(monthly_mortgage_schedule[[#This Row],[Month]],additional_mortgage_payments[Month],0),3),0)</f>
        <v>0</v>
      </c>
      <c r="AA266" s="4">
        <f>AA265+monthly_mortgage_schedule[[#This Row],[Extra Payments Towards Equity]]</f>
        <v>33750</v>
      </c>
      <c r="AB266" s="4">
        <f>AB265+monthly_mortgage_schedule[[#This Row],[Principal With Extra Principal Payments]]+monthly_mortgage_schedule[[#This Row],[Extra Payments Towards Equity]]</f>
        <v>337302.43224982888</v>
      </c>
      <c r="AC266" s="4">
        <f>monthly_mortgage_schedule[[#This Row],[Cumulative Principal With Extra Principal Payments]]+down_payment_dollars</f>
        <v>397302.43224982888</v>
      </c>
      <c r="AD266" s="200">
        <f t="shared" si="22"/>
        <v>0</v>
      </c>
      <c r="AE26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202697.56775017094</v>
      </c>
      <c r="AF266" s="187">
        <f t="shared" si="28"/>
        <v>269929.10196681961</v>
      </c>
      <c r="AG266" s="4">
        <f>IF(monthly_mortgage_schedule[[#This Row],[Loan Balance (BOY) Without Extra Principal Payments]]&gt;0,monthly_mortgage_schedule[[#This Row],[Loan Balance (BOY) Without Extra Principal Payments]]*monthly_interest_rate,0)</f>
        <v>1259.6691425118249</v>
      </c>
      <c r="AH266" s="4">
        <f>IF(monthly_mortgage_schedule[[#This Row],[Loan Balance (BOY) Without Extra Principal Payments]]&gt;1,monthly_principal_and_interest-monthly_mortgage_schedule[[#This Row],[Interest Without Extra Principal Payments]],0)</f>
        <v>1840.3573529515832</v>
      </c>
      <c r="AI266" s="4">
        <f>AI265+monthly_mortgage_schedule[[#This Row],[Principal Without Extra Principal Payments]]</f>
        <v>271911.25538613211</v>
      </c>
      <c r="AJ266" s="4">
        <f>monthly_mortgage_schedule[[#This Row],[Cumulative Principal Without Extra Principal Payments]]+down_payment_dollars</f>
        <v>331911.25538613211</v>
      </c>
      <c r="AK266" s="200">
        <f t="shared" si="23"/>
        <v>0</v>
      </c>
      <c r="AL26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268088.74461386801</v>
      </c>
      <c r="AN266" s="196">
        <f>monthly_mortgage_schedule[[#This Row],[Extra Payments Towards Equity]]+AN265+IF(monthly_mortgage_schedule[[#This Row],[Interest With Extra Principal Payments]]&gt;0,monthly_mortgage_schedule[[#This Row],[Interest Without Extra Principal Payments]]-monthly_mortgage_schedule[[#This Row],[Interest With Extra Principal Payments]],0)</f>
        <v>65391.176863696921</v>
      </c>
      <c r="AO266" s="4">
        <f>AO265+IF(monthly_mortgage_schedule[[#This Row],[Interest With Extra Principal Payments]]&gt;0,monthly_mortgage_schedule[[#This Row],[Interest Without Extra Principal Payments]]-monthly_mortgage_schedule[[#This Row],[Interest With Extra Principal Payments]],0)</f>
        <v>31641.176863696885</v>
      </c>
      <c r="AP266" s="4">
        <f>AP265+monthly_mortgage_schedule[[#This Row],[PMI Without Extra Principal Payments]]-monthly_mortgage_schedule[[#This Row],[PMI with Additional Payments]]</f>
        <v>990</v>
      </c>
      <c r="AQ266" s="4">
        <f t="shared" si="26"/>
        <v>88654.407631704089</v>
      </c>
      <c r="AR266" s="4">
        <f>Table60[[#This Row],[Cumulative Investments]]-monthly_mortgage_schedule[[#This Row],[Cumulative Extra Payments Towards Equity]]</f>
        <v>54904.407631704089</v>
      </c>
    </row>
    <row r="267" spans="9:44" x14ac:dyDescent="0.25">
      <c r="I267">
        <v>250</v>
      </c>
      <c r="J267">
        <f>IF(MOD(ROWS($J$18:J266),12)=0,J266+1,J266)</f>
        <v>2042</v>
      </c>
      <c r="K267" s="198">
        <f>IF(M267="#N/A",NA(),monthly_mortgage_schedule[[#This Row],[Month]])</f>
        <v>250</v>
      </c>
      <c r="L267" s="198">
        <f>IF(monthly_mortgage_schedule[[#This Row],[Calendar Year]]&gt;=$C$7,monthly_mortgage_schedule[[#This Row],[Calendar Year]],NA())</f>
        <v>2042</v>
      </c>
      <c r="M267" s="199">
        <f>IF((monthly_mortgage_schedule[[#This Row],[Calendar Year]]&gt;=$C$7)*(monthly_mortgage_schedule[[#This Row],[Calendar Year]]&lt;=$C$9),monthly_mortgage_schedule[[#This Row],[Begin Year (Range)]],NA())</f>
        <v>2042</v>
      </c>
      <c r="N267" s="214">
        <f>IF((monthly_mortgage_schedule[[#This Row],[Year (Range)]]&gt;=$C$7)*(monthly_mortgage_schedule[[#This Row],[Year (Range)]]&lt;=$C$9),X267,NA())</f>
        <v>945.9219828341312</v>
      </c>
      <c r="O267" s="214">
        <f>IF((monthly_mortgage_schedule[[#This Row],[Year (Range)]]&gt;=$C$7)*(monthly_mortgage_schedule[[#This Row],[Year (Range)]]&lt;=$C$9),Y267,NA())</f>
        <v>2154.104512629277</v>
      </c>
      <c r="P267" s="214">
        <f>IF((monthly_mortgage_schedule[[#This Row],[Year (Range)]]&gt;=$C$7)*(monthly_mortgage_schedule[[#This Row],[Year (Range)]]&lt;=$C$9),AG267,NA())</f>
        <v>1251.0808081980508</v>
      </c>
      <c r="Q267" s="214">
        <f>IF((monthly_mortgage_schedule[[#This Row],[Year (Range)]]&gt;=$C$7)*(monthly_mortgage_schedule[[#This Row],[Year (Range)]]&lt;=$C$9),AH267,NA())</f>
        <v>1848.9456872653573</v>
      </c>
      <c r="R267" s="214">
        <f>IF((monthly_mortgage_schedule[[#This Row],[Year (Range)]]&gt;=$C$7)*(monthly_mortgage_schedule[[#This Row],[Year (Range)]]&lt;=$C$9),AO267,NA())</f>
        <v>31946.335689060805</v>
      </c>
      <c r="S267" s="214">
        <f>IF((monthly_mortgage_schedule[[#This Row],[Year (Range)]]&gt;=$C$7)*(monthly_mortgage_schedule[[#This Row],[Year (Range)]]&lt;=$C$9),AP267,NA())</f>
        <v>990</v>
      </c>
      <c r="T267" s="214">
        <f>IF((monthly_mortgage_schedule[[#This Row],[Year (Range)]]&gt;=$C$7)*(monthly_mortgage_schedule[[#This Row],[Year (Range)]]&lt;=$C$9),AR267,NA())</f>
        <v>55498.770349248778</v>
      </c>
      <c r="U267" s="214">
        <f>IF((monthly_mortgage_schedule[[#This Row],[Year (Range)]]&gt;=$C$7)*(monthly_mortgage_schedule[[#This Row],[Year (Range)]]&lt;=$C$9),AB267,NA())</f>
        <v>339956.53676245816</v>
      </c>
      <c r="V267" s="214">
        <f>IF((monthly_mortgage_schedule[[#This Row],[Year (Range)]]&gt;=$C$7)*(monthly_mortgage_schedule[[#This Row],[Year (Range)]]&lt;=$C$9),AI267,NA())</f>
        <v>273760.20107339747</v>
      </c>
      <c r="W267" s="187">
        <f t="shared" si="24"/>
        <v>202697.56775017094</v>
      </c>
      <c r="X267" s="4">
        <f t="shared" si="27"/>
        <v>945.9219828341312</v>
      </c>
      <c r="Y267" s="4">
        <f t="shared" si="25"/>
        <v>2154.104512629277</v>
      </c>
      <c r="Z267" s="4">
        <f>_xlfn.IFNA(INDEX(additional_mortgage_payments[],MATCH(monthly_mortgage_schedule[[#This Row],[Month]],additional_mortgage_payments[Month],0),3),0)</f>
        <v>500</v>
      </c>
      <c r="AA267" s="4">
        <f>AA266+monthly_mortgage_schedule[[#This Row],[Extra Payments Towards Equity]]</f>
        <v>34250</v>
      </c>
      <c r="AB267" s="4">
        <f>AB266+monthly_mortgage_schedule[[#This Row],[Principal With Extra Principal Payments]]+monthly_mortgage_schedule[[#This Row],[Extra Payments Towards Equity]]</f>
        <v>339956.53676245816</v>
      </c>
      <c r="AC267" s="4">
        <f>monthly_mortgage_schedule[[#This Row],[Cumulative Principal With Extra Principal Payments]]+down_payment_dollars</f>
        <v>399956.53676245816</v>
      </c>
      <c r="AD267" s="200">
        <f t="shared" si="22"/>
        <v>0</v>
      </c>
      <c r="AE26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200043.46323754167</v>
      </c>
      <c r="AF267" s="187">
        <f t="shared" si="28"/>
        <v>268088.74461386801</v>
      </c>
      <c r="AG267" s="4">
        <f>IF(monthly_mortgage_schedule[[#This Row],[Loan Balance (BOY) Without Extra Principal Payments]]&gt;0,monthly_mortgage_schedule[[#This Row],[Loan Balance (BOY) Without Extra Principal Payments]]*monthly_interest_rate,0)</f>
        <v>1251.0808081980508</v>
      </c>
      <c r="AH267" s="4">
        <f>IF(monthly_mortgage_schedule[[#This Row],[Loan Balance (BOY) Without Extra Principal Payments]]&gt;1,monthly_principal_and_interest-monthly_mortgage_schedule[[#This Row],[Interest Without Extra Principal Payments]],0)</f>
        <v>1848.9456872653573</v>
      </c>
      <c r="AI267" s="4">
        <f>AI266+monthly_mortgage_schedule[[#This Row],[Principal Without Extra Principal Payments]]</f>
        <v>273760.20107339747</v>
      </c>
      <c r="AJ267" s="4">
        <f>monthly_mortgage_schedule[[#This Row],[Cumulative Principal Without Extra Principal Payments]]+down_payment_dollars</f>
        <v>333760.20107339747</v>
      </c>
      <c r="AK267" s="200">
        <f t="shared" si="23"/>
        <v>0</v>
      </c>
      <c r="AL26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266239.79892660264</v>
      </c>
      <c r="AN267" s="196">
        <f>monthly_mortgage_schedule[[#This Row],[Extra Payments Towards Equity]]+AN266+IF(monthly_mortgage_schedule[[#This Row],[Interest With Extra Principal Payments]]&gt;0,monthly_mortgage_schedule[[#This Row],[Interest Without Extra Principal Payments]]-monthly_mortgage_schedule[[#This Row],[Interest With Extra Principal Payments]],0)</f>
        <v>66196.335689060841</v>
      </c>
      <c r="AO267" s="4">
        <f>AO266+IF(monthly_mortgage_schedule[[#This Row],[Interest With Extra Principal Payments]]&gt;0,monthly_mortgage_schedule[[#This Row],[Interest Without Extra Principal Payments]]-monthly_mortgage_schedule[[#This Row],[Interest With Extra Principal Payments]],0)</f>
        <v>31946.335689060805</v>
      </c>
      <c r="AP267" s="4">
        <f>AP266+monthly_mortgage_schedule[[#This Row],[PMI Without Extra Principal Payments]]-monthly_mortgage_schedule[[#This Row],[PMI with Additional Payments]]</f>
        <v>990</v>
      </c>
      <c r="AQ267" s="4">
        <f t="shared" si="26"/>
        <v>89748.770349248778</v>
      </c>
      <c r="AR267" s="4">
        <f>Table60[[#This Row],[Cumulative Investments]]-monthly_mortgage_schedule[[#This Row],[Cumulative Extra Payments Towards Equity]]</f>
        <v>55498.770349248778</v>
      </c>
    </row>
    <row r="268" spans="9:44" x14ac:dyDescent="0.25">
      <c r="I268">
        <v>251</v>
      </c>
      <c r="J268">
        <f>IF(MOD(ROWS($J$18:J267),12)=0,J267+1,J267)</f>
        <v>2042</v>
      </c>
      <c r="K268" s="198">
        <f>IF(M268="#N/A",NA(),monthly_mortgage_schedule[[#This Row],[Month]])</f>
        <v>251</v>
      </c>
      <c r="L268" s="198">
        <f>IF(monthly_mortgage_schedule[[#This Row],[Calendar Year]]&gt;=$C$7,monthly_mortgage_schedule[[#This Row],[Calendar Year]],NA())</f>
        <v>2042</v>
      </c>
      <c r="M268" s="199">
        <f>IF((monthly_mortgage_schedule[[#This Row],[Calendar Year]]&gt;=$C$7)*(monthly_mortgage_schedule[[#This Row],[Calendar Year]]&lt;=$C$9),monthly_mortgage_schedule[[#This Row],[Begin Year (Range)]],NA())</f>
        <v>2042</v>
      </c>
      <c r="N268" s="214">
        <f>IF((monthly_mortgage_schedule[[#This Row],[Year (Range)]]&gt;=$C$7)*(monthly_mortgage_schedule[[#This Row],[Year (Range)]]&lt;=$C$9),X268,NA())</f>
        <v>933.5361617751945</v>
      </c>
      <c r="O268" s="214">
        <f>IF((monthly_mortgage_schedule[[#This Row],[Year (Range)]]&gt;=$C$7)*(monthly_mortgage_schedule[[#This Row],[Year (Range)]]&lt;=$C$9),Y268,NA())</f>
        <v>2166.4903336882135</v>
      </c>
      <c r="P268" s="214">
        <f>IF((monthly_mortgage_schedule[[#This Row],[Year (Range)]]&gt;=$C$7)*(monthly_mortgage_schedule[[#This Row],[Year (Range)]]&lt;=$C$9),AG268,NA())</f>
        <v>1242.4523949908125</v>
      </c>
      <c r="Q268" s="214">
        <f>IF((monthly_mortgage_schedule[[#This Row],[Year (Range)]]&gt;=$C$7)*(monthly_mortgage_schedule[[#This Row],[Year (Range)]]&lt;=$C$9),AH268,NA())</f>
        <v>1857.5741004725955</v>
      </c>
      <c r="R268" s="214">
        <f>IF((monthly_mortgage_schedule[[#This Row],[Year (Range)]]&gt;=$C$7)*(monthly_mortgage_schedule[[#This Row],[Year (Range)]]&lt;=$C$9),AO268,NA())</f>
        <v>32255.251922276424</v>
      </c>
      <c r="S268" s="214">
        <f>IF((monthly_mortgage_schedule[[#This Row],[Year (Range)]]&gt;=$C$7)*(monthly_mortgage_schedule[[#This Row],[Year (Range)]]&lt;=$C$9),AP268,NA())</f>
        <v>990</v>
      </c>
      <c r="T268" s="214">
        <f>IF((monthly_mortgage_schedule[[#This Row],[Year (Range)]]&gt;=$C$7)*(monthly_mortgage_schedule[[#This Row],[Year (Range)]]&lt;=$C$9),AR268,NA())</f>
        <v>56097.095484910431</v>
      </c>
      <c r="U268" s="214">
        <f>IF((monthly_mortgage_schedule[[#This Row],[Year (Range)]]&gt;=$C$7)*(monthly_mortgage_schedule[[#This Row],[Year (Range)]]&lt;=$C$9),AB268,NA())</f>
        <v>342123.02709614637</v>
      </c>
      <c r="V268" s="214">
        <f>IF((monthly_mortgage_schedule[[#This Row],[Year (Range)]]&gt;=$C$7)*(monthly_mortgage_schedule[[#This Row],[Year (Range)]]&lt;=$C$9),AI268,NA())</f>
        <v>275617.77517387009</v>
      </c>
      <c r="W268" s="187">
        <f t="shared" si="24"/>
        <v>200043.46323754167</v>
      </c>
      <c r="X268" s="4">
        <f t="shared" si="27"/>
        <v>933.5361617751945</v>
      </c>
      <c r="Y268" s="4">
        <f t="shared" si="25"/>
        <v>2166.4903336882135</v>
      </c>
      <c r="Z268" s="4">
        <f>_xlfn.IFNA(INDEX(additional_mortgage_payments[],MATCH(monthly_mortgage_schedule[[#This Row],[Month]],additional_mortgage_payments[Month],0),3),0)</f>
        <v>0</v>
      </c>
      <c r="AA268" s="4">
        <f>AA267+monthly_mortgage_schedule[[#This Row],[Extra Payments Towards Equity]]</f>
        <v>34250</v>
      </c>
      <c r="AB268" s="4">
        <f>AB267+monthly_mortgage_schedule[[#This Row],[Principal With Extra Principal Payments]]+monthly_mortgage_schedule[[#This Row],[Extra Payments Towards Equity]]</f>
        <v>342123.02709614637</v>
      </c>
      <c r="AC268" s="4">
        <f>monthly_mortgage_schedule[[#This Row],[Cumulative Principal With Extra Principal Payments]]+down_payment_dollars</f>
        <v>402123.02709614637</v>
      </c>
      <c r="AD268" s="200">
        <f t="shared" si="22"/>
        <v>0</v>
      </c>
      <c r="AE26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197876.97290385346</v>
      </c>
      <c r="AF268" s="187">
        <f t="shared" si="28"/>
        <v>266239.79892660264</v>
      </c>
      <c r="AG268" s="4">
        <f>IF(monthly_mortgage_schedule[[#This Row],[Loan Balance (BOY) Without Extra Principal Payments]]&gt;0,monthly_mortgage_schedule[[#This Row],[Loan Balance (BOY) Without Extra Principal Payments]]*monthly_interest_rate,0)</f>
        <v>1242.4523949908125</v>
      </c>
      <c r="AH268" s="4">
        <f>IF(monthly_mortgage_schedule[[#This Row],[Loan Balance (BOY) Without Extra Principal Payments]]&gt;1,monthly_principal_and_interest-monthly_mortgage_schedule[[#This Row],[Interest Without Extra Principal Payments]],0)</f>
        <v>1857.5741004725955</v>
      </c>
      <c r="AI268" s="4">
        <f>AI267+monthly_mortgage_schedule[[#This Row],[Principal Without Extra Principal Payments]]</f>
        <v>275617.77517387009</v>
      </c>
      <c r="AJ268" s="4">
        <f>monthly_mortgage_schedule[[#This Row],[Cumulative Principal Without Extra Principal Payments]]+down_payment_dollars</f>
        <v>335617.77517387009</v>
      </c>
      <c r="AK268" s="200">
        <f t="shared" si="23"/>
        <v>0</v>
      </c>
      <c r="AL26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264382.22482613003</v>
      </c>
      <c r="AN268" s="196">
        <f>monthly_mortgage_schedule[[#This Row],[Extra Payments Towards Equity]]+AN267+IF(monthly_mortgage_schedule[[#This Row],[Interest With Extra Principal Payments]]&gt;0,monthly_mortgage_schedule[[#This Row],[Interest Without Extra Principal Payments]]-monthly_mortgage_schedule[[#This Row],[Interest With Extra Principal Payments]],0)</f>
        <v>66505.251922276453</v>
      </c>
      <c r="AO268" s="4">
        <f>AO267+IF(monthly_mortgage_schedule[[#This Row],[Interest With Extra Principal Payments]]&gt;0,monthly_mortgage_schedule[[#This Row],[Interest Without Extra Principal Payments]]-monthly_mortgage_schedule[[#This Row],[Interest With Extra Principal Payments]],0)</f>
        <v>32255.251922276424</v>
      </c>
      <c r="AP268" s="4">
        <f>AP267+monthly_mortgage_schedule[[#This Row],[PMI Without Extra Principal Payments]]-monthly_mortgage_schedule[[#This Row],[PMI with Additional Payments]]</f>
        <v>990</v>
      </c>
      <c r="AQ268" s="4">
        <f t="shared" si="26"/>
        <v>90347.095484910431</v>
      </c>
      <c r="AR268" s="4">
        <f>Table60[[#This Row],[Cumulative Investments]]-monthly_mortgage_schedule[[#This Row],[Cumulative Extra Payments Towards Equity]]</f>
        <v>56097.095484910431</v>
      </c>
    </row>
    <row r="269" spans="9:44" x14ac:dyDescent="0.25">
      <c r="I269">
        <v>252</v>
      </c>
      <c r="J269">
        <f>IF(MOD(ROWS($J$18:J268),12)=0,J268+1,J268)</f>
        <v>2042</v>
      </c>
      <c r="K269" s="198">
        <f>IF(M269="#N/A",NA(),monthly_mortgage_schedule[[#This Row],[Month]])</f>
        <v>252</v>
      </c>
      <c r="L269" s="198">
        <f>IF(monthly_mortgage_schedule[[#This Row],[Calendar Year]]&gt;=$C$7,monthly_mortgage_schedule[[#This Row],[Calendar Year]],NA())</f>
        <v>2042</v>
      </c>
      <c r="M269" s="199">
        <f>IF((monthly_mortgage_schedule[[#This Row],[Calendar Year]]&gt;=$C$7)*(monthly_mortgage_schedule[[#This Row],[Calendar Year]]&lt;=$C$9),monthly_mortgage_schedule[[#This Row],[Begin Year (Range)]],NA())</f>
        <v>2042</v>
      </c>
      <c r="N269" s="214">
        <f>IF((monthly_mortgage_schedule[[#This Row],[Year (Range)]]&gt;=$C$7)*(monthly_mortgage_schedule[[#This Row],[Year (Range)]]&lt;=$C$9),X269,NA())</f>
        <v>923.42587355131616</v>
      </c>
      <c r="O269" s="214">
        <f>IF((monthly_mortgage_schedule[[#This Row],[Year (Range)]]&gt;=$C$7)*(monthly_mortgage_schedule[[#This Row],[Year (Range)]]&lt;=$C$9),Y269,NA())</f>
        <v>2176.6006219120918</v>
      </c>
      <c r="P269" s="214">
        <f>IF((monthly_mortgage_schedule[[#This Row],[Year (Range)]]&gt;=$C$7)*(monthly_mortgage_schedule[[#This Row],[Year (Range)]]&lt;=$C$9),AG269,NA())</f>
        <v>1233.7837158552736</v>
      </c>
      <c r="Q269" s="214">
        <f>IF((monthly_mortgage_schedule[[#This Row],[Year (Range)]]&gt;=$C$7)*(monthly_mortgage_schedule[[#This Row],[Year (Range)]]&lt;=$C$9),AH269,NA())</f>
        <v>1866.2427796081345</v>
      </c>
      <c r="R269" s="214">
        <f>IF((monthly_mortgage_schedule[[#This Row],[Year (Range)]]&gt;=$C$7)*(monthly_mortgage_schedule[[#This Row],[Year (Range)]]&lt;=$C$9),AO269,NA())</f>
        <v>32565.609764580382</v>
      </c>
      <c r="S269" s="214">
        <f>IF((monthly_mortgage_schedule[[#This Row],[Year (Range)]]&gt;=$C$7)*(monthly_mortgage_schedule[[#This Row],[Year (Range)]]&lt;=$C$9),AP269,NA())</f>
        <v>990</v>
      </c>
      <c r="T269" s="214">
        <f>IF((monthly_mortgage_schedule[[#This Row],[Year (Range)]]&gt;=$C$7)*(monthly_mortgage_schedule[[#This Row],[Year (Range)]]&lt;=$C$9),AR269,NA())</f>
        <v>56699.409454809822</v>
      </c>
      <c r="U269" s="214">
        <f>IF((monthly_mortgage_schedule[[#This Row],[Year (Range)]]&gt;=$C$7)*(monthly_mortgage_schedule[[#This Row],[Year (Range)]]&lt;=$C$9),AB269,NA())</f>
        <v>344299.62771805847</v>
      </c>
      <c r="V269" s="214">
        <f>IF((monthly_mortgage_schedule[[#This Row],[Year (Range)]]&gt;=$C$7)*(monthly_mortgage_schedule[[#This Row],[Year (Range)]]&lt;=$C$9),AI269,NA())</f>
        <v>277484.01795347821</v>
      </c>
      <c r="W269" s="187">
        <f t="shared" si="24"/>
        <v>197876.97290385346</v>
      </c>
      <c r="X269" s="4">
        <f t="shared" si="27"/>
        <v>923.42587355131616</v>
      </c>
      <c r="Y269" s="4">
        <f t="shared" si="25"/>
        <v>2176.6006219120918</v>
      </c>
      <c r="Z269" s="4">
        <f>_xlfn.IFNA(INDEX(additional_mortgage_payments[],MATCH(monthly_mortgage_schedule[[#This Row],[Month]],additional_mortgage_payments[Month],0),3),0)</f>
        <v>0</v>
      </c>
      <c r="AA269" s="4">
        <f>AA268+monthly_mortgage_schedule[[#This Row],[Extra Payments Towards Equity]]</f>
        <v>34250</v>
      </c>
      <c r="AB269" s="4">
        <f>AB268+monthly_mortgage_schedule[[#This Row],[Principal With Extra Principal Payments]]+monthly_mortgage_schedule[[#This Row],[Extra Payments Towards Equity]]</f>
        <v>344299.62771805847</v>
      </c>
      <c r="AC269" s="4">
        <f>monthly_mortgage_schedule[[#This Row],[Cumulative Principal With Extra Principal Payments]]+down_payment_dollars</f>
        <v>404299.62771805847</v>
      </c>
      <c r="AD269" s="200">
        <f t="shared" si="22"/>
        <v>0</v>
      </c>
      <c r="AE26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195700.37228194135</v>
      </c>
      <c r="AF269" s="187">
        <f t="shared" si="28"/>
        <v>264382.22482613003</v>
      </c>
      <c r="AG269" s="4">
        <f>IF(monthly_mortgage_schedule[[#This Row],[Loan Balance (BOY) Without Extra Principal Payments]]&gt;0,monthly_mortgage_schedule[[#This Row],[Loan Balance (BOY) Without Extra Principal Payments]]*monthly_interest_rate,0)</f>
        <v>1233.7837158552736</v>
      </c>
      <c r="AH269" s="4">
        <f>IF(monthly_mortgage_schedule[[#This Row],[Loan Balance (BOY) Without Extra Principal Payments]]&gt;1,monthly_principal_and_interest-monthly_mortgage_schedule[[#This Row],[Interest Without Extra Principal Payments]],0)</f>
        <v>1866.2427796081345</v>
      </c>
      <c r="AI269" s="4">
        <f>AI268+monthly_mortgage_schedule[[#This Row],[Principal Without Extra Principal Payments]]</f>
        <v>277484.01795347821</v>
      </c>
      <c r="AJ269" s="4">
        <f>monthly_mortgage_schedule[[#This Row],[Cumulative Principal Without Extra Principal Payments]]+down_payment_dollars</f>
        <v>337484.01795347821</v>
      </c>
      <c r="AK269" s="200">
        <f t="shared" si="23"/>
        <v>0</v>
      </c>
      <c r="AL26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262515.98204652191</v>
      </c>
      <c r="AN269" s="196">
        <f>monthly_mortgage_schedule[[#This Row],[Extra Payments Towards Equity]]+AN268+IF(monthly_mortgage_schedule[[#This Row],[Interest With Extra Principal Payments]]&gt;0,monthly_mortgage_schedule[[#This Row],[Interest Without Extra Principal Payments]]-monthly_mortgage_schedule[[#This Row],[Interest With Extra Principal Payments]],0)</f>
        <v>66815.609764580411</v>
      </c>
      <c r="AO269" s="4">
        <f>AO268+IF(monthly_mortgage_schedule[[#This Row],[Interest With Extra Principal Payments]]&gt;0,monthly_mortgage_schedule[[#This Row],[Interest Without Extra Principal Payments]]-monthly_mortgage_schedule[[#This Row],[Interest With Extra Principal Payments]],0)</f>
        <v>32565.609764580382</v>
      </c>
      <c r="AP269" s="4">
        <f>AP268+monthly_mortgage_schedule[[#This Row],[PMI Without Extra Principal Payments]]-monthly_mortgage_schedule[[#This Row],[PMI with Additional Payments]]</f>
        <v>990</v>
      </c>
      <c r="AQ269" s="4">
        <f t="shared" si="26"/>
        <v>90949.409454809822</v>
      </c>
      <c r="AR269" s="4">
        <f>Table60[[#This Row],[Cumulative Investments]]-monthly_mortgage_schedule[[#This Row],[Cumulative Extra Payments Towards Equity]]</f>
        <v>56699.409454809822</v>
      </c>
    </row>
    <row r="270" spans="9:44" x14ac:dyDescent="0.25">
      <c r="I270">
        <v>253</v>
      </c>
      <c r="J270">
        <f>IF(MOD(ROWS($J$18:J269),12)=0,J269+1,J269)</f>
        <v>2043</v>
      </c>
      <c r="K270" s="198">
        <f>IF(M270="#N/A",NA(),monthly_mortgage_schedule[[#This Row],[Month]])</f>
        <v>253</v>
      </c>
      <c r="L270" s="198">
        <f>IF(monthly_mortgage_schedule[[#This Row],[Calendar Year]]&gt;=$C$7,monthly_mortgage_schedule[[#This Row],[Calendar Year]],NA())</f>
        <v>2043</v>
      </c>
      <c r="M270" s="199">
        <f>IF((monthly_mortgage_schedule[[#This Row],[Calendar Year]]&gt;=$C$7)*(monthly_mortgage_schedule[[#This Row],[Calendar Year]]&lt;=$C$9),monthly_mortgage_schedule[[#This Row],[Begin Year (Range)]],NA())</f>
        <v>2043</v>
      </c>
      <c r="N270" s="214">
        <f>IF((monthly_mortgage_schedule[[#This Row],[Year (Range)]]&gt;=$C$7)*(monthly_mortgage_schedule[[#This Row],[Year (Range)]]&lt;=$C$9),X270,NA())</f>
        <v>913.26840398239301</v>
      </c>
      <c r="O270" s="214">
        <f>IF((monthly_mortgage_schedule[[#This Row],[Year (Range)]]&gt;=$C$7)*(monthly_mortgage_schedule[[#This Row],[Year (Range)]]&lt;=$C$9),Y270,NA())</f>
        <v>2186.7580914810151</v>
      </c>
      <c r="P270" s="214">
        <f>IF((monthly_mortgage_schedule[[#This Row],[Year (Range)]]&gt;=$C$7)*(monthly_mortgage_schedule[[#This Row],[Year (Range)]]&lt;=$C$9),AG270,NA())</f>
        <v>1225.0745828837689</v>
      </c>
      <c r="Q270" s="214">
        <f>IF((monthly_mortgage_schedule[[#This Row],[Year (Range)]]&gt;=$C$7)*(monthly_mortgage_schedule[[#This Row],[Year (Range)]]&lt;=$C$9),AH270,NA())</f>
        <v>1874.9519125796392</v>
      </c>
      <c r="R270" s="214">
        <f>IF((monthly_mortgage_schedule[[#This Row],[Year (Range)]]&gt;=$C$7)*(monthly_mortgage_schedule[[#This Row],[Year (Range)]]&lt;=$C$9),AO270,NA())</f>
        <v>32877.415943481756</v>
      </c>
      <c r="S270" s="214">
        <f>IF((monthly_mortgage_schedule[[#This Row],[Year (Range)]]&gt;=$C$7)*(monthly_mortgage_schedule[[#This Row],[Year (Range)]]&lt;=$C$9),AP270,NA())</f>
        <v>990</v>
      </c>
      <c r="T270" s="214">
        <f>IF((monthly_mortgage_schedule[[#This Row],[Year (Range)]]&gt;=$C$7)*(monthly_mortgage_schedule[[#This Row],[Year (Range)]]&lt;=$C$9),AR270,NA())</f>
        <v>57305.738851175221</v>
      </c>
      <c r="U270" s="214">
        <f>IF((monthly_mortgage_schedule[[#This Row],[Year (Range)]]&gt;=$C$7)*(monthly_mortgage_schedule[[#This Row],[Year (Range)]]&lt;=$C$9),AB270,NA())</f>
        <v>346486.38580953947</v>
      </c>
      <c r="V270" s="214">
        <f>IF((monthly_mortgage_schedule[[#This Row],[Year (Range)]]&gt;=$C$7)*(monthly_mortgage_schedule[[#This Row],[Year (Range)]]&lt;=$C$9),AI270,NA())</f>
        <v>279358.96986605786</v>
      </c>
      <c r="W270" s="187">
        <f t="shared" si="24"/>
        <v>195700.37228194135</v>
      </c>
      <c r="X270" s="4">
        <f t="shared" si="27"/>
        <v>913.26840398239301</v>
      </c>
      <c r="Y270" s="4">
        <f t="shared" si="25"/>
        <v>2186.7580914810151</v>
      </c>
      <c r="Z270" s="4">
        <f>_xlfn.IFNA(INDEX(additional_mortgage_payments[],MATCH(monthly_mortgage_schedule[[#This Row],[Month]],additional_mortgage_payments[Month],0),3),0)</f>
        <v>0</v>
      </c>
      <c r="AA270" s="4">
        <f>AA269+monthly_mortgage_schedule[[#This Row],[Extra Payments Towards Equity]]</f>
        <v>34250</v>
      </c>
      <c r="AB270" s="4">
        <f>AB269+monthly_mortgage_schedule[[#This Row],[Principal With Extra Principal Payments]]+monthly_mortgage_schedule[[#This Row],[Extra Payments Towards Equity]]</f>
        <v>346486.38580953947</v>
      </c>
      <c r="AC270" s="4">
        <f>monthly_mortgage_schedule[[#This Row],[Cumulative Principal With Extra Principal Payments]]+down_payment_dollars</f>
        <v>406486.38580953947</v>
      </c>
      <c r="AD270" s="200">
        <f t="shared" si="22"/>
        <v>0</v>
      </c>
      <c r="AE27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193513.61419046033</v>
      </c>
      <c r="AF270" s="187">
        <f t="shared" si="28"/>
        <v>262515.98204652191</v>
      </c>
      <c r="AG270" s="4">
        <f>IF(monthly_mortgage_schedule[[#This Row],[Loan Balance (BOY) Without Extra Principal Payments]]&gt;0,monthly_mortgage_schedule[[#This Row],[Loan Balance (BOY) Without Extra Principal Payments]]*monthly_interest_rate,0)</f>
        <v>1225.0745828837689</v>
      </c>
      <c r="AH270" s="4">
        <f>IF(monthly_mortgage_schedule[[#This Row],[Loan Balance (BOY) Without Extra Principal Payments]]&gt;1,monthly_principal_and_interest-monthly_mortgage_schedule[[#This Row],[Interest Without Extra Principal Payments]],0)</f>
        <v>1874.9519125796392</v>
      </c>
      <c r="AI270" s="4">
        <f>AI269+monthly_mortgage_schedule[[#This Row],[Principal Without Extra Principal Payments]]</f>
        <v>279358.96986605786</v>
      </c>
      <c r="AJ270" s="4">
        <f>monthly_mortgage_schedule[[#This Row],[Cumulative Principal Without Extra Principal Payments]]+down_payment_dollars</f>
        <v>339358.96986605786</v>
      </c>
      <c r="AK270" s="200">
        <f t="shared" si="23"/>
        <v>0</v>
      </c>
      <c r="AL27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260641.03013394226</v>
      </c>
      <c r="AN270" s="196">
        <f>monthly_mortgage_schedule[[#This Row],[Extra Payments Towards Equity]]+AN269+IF(monthly_mortgage_schedule[[#This Row],[Interest With Extra Principal Payments]]&gt;0,monthly_mortgage_schedule[[#This Row],[Interest Without Extra Principal Payments]]-monthly_mortgage_schedule[[#This Row],[Interest With Extra Principal Payments]],0)</f>
        <v>67127.415943481785</v>
      </c>
      <c r="AO270" s="4">
        <f>AO269+IF(monthly_mortgage_schedule[[#This Row],[Interest With Extra Principal Payments]]&gt;0,monthly_mortgage_schedule[[#This Row],[Interest Without Extra Principal Payments]]-monthly_mortgage_schedule[[#This Row],[Interest With Extra Principal Payments]],0)</f>
        <v>32877.415943481756</v>
      </c>
      <c r="AP270" s="4">
        <f>AP269+monthly_mortgage_schedule[[#This Row],[PMI Without Extra Principal Payments]]-monthly_mortgage_schedule[[#This Row],[PMI with Additional Payments]]</f>
        <v>990</v>
      </c>
      <c r="AQ270" s="4">
        <f t="shared" si="26"/>
        <v>91555.738851175221</v>
      </c>
      <c r="AR270" s="4">
        <f>Table60[[#This Row],[Cumulative Investments]]-monthly_mortgage_schedule[[#This Row],[Cumulative Extra Payments Towards Equity]]</f>
        <v>57305.738851175221</v>
      </c>
    </row>
    <row r="271" spans="9:44" x14ac:dyDescent="0.25">
      <c r="I271">
        <v>254</v>
      </c>
      <c r="J271">
        <f>IF(MOD(ROWS($J$18:J270),12)=0,J270+1,J270)</f>
        <v>2043</v>
      </c>
      <c r="K271" s="198">
        <f>IF(M271="#N/A",NA(),monthly_mortgage_schedule[[#This Row],[Month]])</f>
        <v>254</v>
      </c>
      <c r="L271" s="198">
        <f>IF(monthly_mortgage_schedule[[#This Row],[Calendar Year]]&gt;=$C$7,monthly_mortgage_schedule[[#This Row],[Calendar Year]],NA())</f>
        <v>2043</v>
      </c>
      <c r="M271" s="199">
        <f>IF((monthly_mortgage_schedule[[#This Row],[Calendar Year]]&gt;=$C$7)*(monthly_mortgage_schedule[[#This Row],[Calendar Year]]&lt;=$C$9),monthly_mortgage_schedule[[#This Row],[Begin Year (Range)]],NA())</f>
        <v>2043</v>
      </c>
      <c r="N271" s="214">
        <f>IF((monthly_mortgage_schedule[[#This Row],[Year (Range)]]&gt;=$C$7)*(monthly_mortgage_schedule[[#This Row],[Year (Range)]]&lt;=$C$9),X271,NA())</f>
        <v>903.06353288881496</v>
      </c>
      <c r="O271" s="214">
        <f>IF((monthly_mortgage_schedule[[#This Row],[Year (Range)]]&gt;=$C$7)*(monthly_mortgage_schedule[[#This Row],[Year (Range)]]&lt;=$C$9),Y271,NA())</f>
        <v>2196.9629625745929</v>
      </c>
      <c r="P271" s="214">
        <f>IF((monthly_mortgage_schedule[[#This Row],[Year (Range)]]&gt;=$C$7)*(monthly_mortgage_schedule[[#This Row],[Year (Range)]]&lt;=$C$9),AG271,NA())</f>
        <v>1216.3248072917306</v>
      </c>
      <c r="Q271" s="214">
        <f>IF((monthly_mortgage_schedule[[#This Row],[Year (Range)]]&gt;=$C$7)*(monthly_mortgage_schedule[[#This Row],[Year (Range)]]&lt;=$C$9),AH271,NA())</f>
        <v>1883.7016881716775</v>
      </c>
      <c r="R271" s="214">
        <f>IF((monthly_mortgage_schedule[[#This Row],[Year (Range)]]&gt;=$C$7)*(monthly_mortgage_schedule[[#This Row],[Year (Range)]]&lt;=$C$9),AO271,NA())</f>
        <v>33190.677217884673</v>
      </c>
      <c r="S271" s="214">
        <f>IF((monthly_mortgage_schedule[[#This Row],[Year (Range)]]&gt;=$C$7)*(monthly_mortgage_schedule[[#This Row],[Year (Range)]]&lt;=$C$9),AP271,NA())</f>
        <v>990</v>
      </c>
      <c r="T271" s="214">
        <f>IF((monthly_mortgage_schedule[[#This Row],[Year (Range)]]&gt;=$C$7)*(monthly_mortgage_schedule[[#This Row],[Year (Range)]]&lt;=$C$9),AR271,NA())</f>
        <v>57916.110443516387</v>
      </c>
      <c r="U271" s="214">
        <f>IF((monthly_mortgage_schedule[[#This Row],[Year (Range)]]&gt;=$C$7)*(monthly_mortgage_schedule[[#This Row],[Year (Range)]]&lt;=$C$9),AB271,NA())</f>
        <v>348683.34877211408</v>
      </c>
      <c r="V271" s="214">
        <f>IF((monthly_mortgage_schedule[[#This Row],[Year (Range)]]&gt;=$C$7)*(monthly_mortgage_schedule[[#This Row],[Year (Range)]]&lt;=$C$9),AI271,NA())</f>
        <v>281242.67155422951</v>
      </c>
      <c r="W271" s="187">
        <f t="shared" si="24"/>
        <v>193513.61419046033</v>
      </c>
      <c r="X271" s="4">
        <f t="shared" si="27"/>
        <v>903.06353288881496</v>
      </c>
      <c r="Y271" s="4">
        <f t="shared" si="25"/>
        <v>2196.9629625745929</v>
      </c>
      <c r="Z271" s="4">
        <f>_xlfn.IFNA(INDEX(additional_mortgage_payments[],MATCH(monthly_mortgage_schedule[[#This Row],[Month]],additional_mortgage_payments[Month],0),3),0)</f>
        <v>0</v>
      </c>
      <c r="AA271" s="4">
        <f>AA270+monthly_mortgage_schedule[[#This Row],[Extra Payments Towards Equity]]</f>
        <v>34250</v>
      </c>
      <c r="AB271" s="4">
        <f>AB270+monthly_mortgage_schedule[[#This Row],[Principal With Extra Principal Payments]]+monthly_mortgage_schedule[[#This Row],[Extra Payments Towards Equity]]</f>
        <v>348683.34877211408</v>
      </c>
      <c r="AC271" s="4">
        <f>monthly_mortgage_schedule[[#This Row],[Cumulative Principal With Extra Principal Payments]]+down_payment_dollars</f>
        <v>408683.34877211408</v>
      </c>
      <c r="AD271" s="200">
        <f t="shared" si="22"/>
        <v>0</v>
      </c>
      <c r="AE27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191316.65122788574</v>
      </c>
      <c r="AF271" s="187">
        <f t="shared" si="28"/>
        <v>260641.03013394226</v>
      </c>
      <c r="AG271" s="4">
        <f>IF(monthly_mortgage_schedule[[#This Row],[Loan Balance (BOY) Without Extra Principal Payments]]&gt;0,monthly_mortgage_schedule[[#This Row],[Loan Balance (BOY) Without Extra Principal Payments]]*monthly_interest_rate,0)</f>
        <v>1216.3248072917306</v>
      </c>
      <c r="AH271" s="4">
        <f>IF(monthly_mortgage_schedule[[#This Row],[Loan Balance (BOY) Without Extra Principal Payments]]&gt;1,monthly_principal_and_interest-monthly_mortgage_schedule[[#This Row],[Interest Without Extra Principal Payments]],0)</f>
        <v>1883.7016881716775</v>
      </c>
      <c r="AI271" s="4">
        <f>AI270+monthly_mortgage_schedule[[#This Row],[Principal Without Extra Principal Payments]]</f>
        <v>281242.67155422951</v>
      </c>
      <c r="AJ271" s="4">
        <f>monthly_mortgage_schedule[[#This Row],[Cumulative Principal Without Extra Principal Payments]]+down_payment_dollars</f>
        <v>341242.67155422951</v>
      </c>
      <c r="AK271" s="200">
        <f t="shared" si="23"/>
        <v>0</v>
      </c>
      <c r="AL27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258757.32844577057</v>
      </c>
      <c r="AN271" s="196">
        <f>monthly_mortgage_schedule[[#This Row],[Extra Payments Towards Equity]]+AN270+IF(monthly_mortgage_schedule[[#This Row],[Interest With Extra Principal Payments]]&gt;0,monthly_mortgage_schedule[[#This Row],[Interest Without Extra Principal Payments]]-monthly_mortgage_schedule[[#This Row],[Interest With Extra Principal Payments]],0)</f>
        <v>67440.677217884702</v>
      </c>
      <c r="AO271" s="4">
        <f>AO270+IF(monthly_mortgage_schedule[[#This Row],[Interest With Extra Principal Payments]]&gt;0,monthly_mortgage_schedule[[#This Row],[Interest Without Extra Principal Payments]]-monthly_mortgage_schedule[[#This Row],[Interest With Extra Principal Payments]],0)</f>
        <v>33190.677217884673</v>
      </c>
      <c r="AP271" s="4">
        <f>AP270+monthly_mortgage_schedule[[#This Row],[PMI Without Extra Principal Payments]]-monthly_mortgage_schedule[[#This Row],[PMI with Additional Payments]]</f>
        <v>990</v>
      </c>
      <c r="AQ271" s="4">
        <f t="shared" si="26"/>
        <v>92166.110443516387</v>
      </c>
      <c r="AR271" s="4">
        <f>Table60[[#This Row],[Cumulative Investments]]-monthly_mortgage_schedule[[#This Row],[Cumulative Extra Payments Towards Equity]]</f>
        <v>57916.110443516387</v>
      </c>
    </row>
    <row r="272" spans="9:44" x14ac:dyDescent="0.25">
      <c r="I272">
        <v>255</v>
      </c>
      <c r="J272">
        <f>IF(MOD(ROWS($J$18:J271),12)=0,J271+1,J271)</f>
        <v>2043</v>
      </c>
      <c r="K272" s="198">
        <f>IF(M272="#N/A",NA(),monthly_mortgage_schedule[[#This Row],[Month]])</f>
        <v>255</v>
      </c>
      <c r="L272" s="198">
        <f>IF(monthly_mortgage_schedule[[#This Row],[Calendar Year]]&gt;=$C$7,monthly_mortgage_schedule[[#This Row],[Calendar Year]],NA())</f>
        <v>2043</v>
      </c>
      <c r="M272" s="199">
        <f>IF((monthly_mortgage_schedule[[#This Row],[Calendar Year]]&gt;=$C$7)*(monthly_mortgage_schedule[[#This Row],[Calendar Year]]&lt;=$C$9),monthly_mortgage_schedule[[#This Row],[Begin Year (Range)]],NA())</f>
        <v>2043</v>
      </c>
      <c r="N272" s="214">
        <f>IF((monthly_mortgage_schedule[[#This Row],[Year (Range)]]&gt;=$C$7)*(monthly_mortgage_schedule[[#This Row],[Year (Range)]]&lt;=$C$9),X272,NA())</f>
        <v>892.81103906346686</v>
      </c>
      <c r="O272" s="214">
        <f>IF((monthly_mortgage_schedule[[#This Row],[Year (Range)]]&gt;=$C$7)*(monthly_mortgage_schedule[[#This Row],[Year (Range)]]&lt;=$C$9),Y272,NA())</f>
        <v>2207.2154563999411</v>
      </c>
      <c r="P272" s="214">
        <f>IF((monthly_mortgage_schedule[[#This Row],[Year (Range)]]&gt;=$C$7)*(monthly_mortgage_schedule[[#This Row],[Year (Range)]]&lt;=$C$9),AG272,NA())</f>
        <v>1207.5341994135961</v>
      </c>
      <c r="Q272" s="214">
        <f>IF((monthly_mortgage_schedule[[#This Row],[Year (Range)]]&gt;=$C$7)*(monthly_mortgage_schedule[[#This Row],[Year (Range)]]&lt;=$C$9),AH272,NA())</f>
        <v>1892.492296049812</v>
      </c>
      <c r="R272" s="214">
        <f>IF((monthly_mortgage_schedule[[#This Row],[Year (Range)]]&gt;=$C$7)*(monthly_mortgage_schedule[[#This Row],[Year (Range)]]&lt;=$C$9),AO272,NA())</f>
        <v>33505.400378234801</v>
      </c>
      <c r="S272" s="214">
        <f>IF((monthly_mortgage_schedule[[#This Row],[Year (Range)]]&gt;=$C$7)*(monthly_mortgage_schedule[[#This Row],[Year (Range)]]&lt;=$C$9),AP272,NA())</f>
        <v>990</v>
      </c>
      <c r="T272" s="214">
        <f>IF((monthly_mortgage_schedule[[#This Row],[Year (Range)]]&gt;=$C$7)*(monthly_mortgage_schedule[[#This Row],[Year (Range)]]&lt;=$C$9),AR272,NA())</f>
        <v>58530.551179806484</v>
      </c>
      <c r="U272" s="214">
        <f>IF((monthly_mortgage_schedule[[#This Row],[Year (Range)]]&gt;=$C$7)*(monthly_mortgage_schedule[[#This Row],[Year (Range)]]&lt;=$C$9),AB272,NA())</f>
        <v>350890.56422851403</v>
      </c>
      <c r="V272" s="214">
        <f>IF((monthly_mortgage_schedule[[#This Row],[Year (Range)]]&gt;=$C$7)*(monthly_mortgage_schedule[[#This Row],[Year (Range)]]&lt;=$C$9),AI272,NA())</f>
        <v>283135.16385027935</v>
      </c>
      <c r="W272" s="187">
        <f t="shared" si="24"/>
        <v>191316.65122788574</v>
      </c>
      <c r="X272" s="4">
        <f t="shared" si="27"/>
        <v>892.81103906346686</v>
      </c>
      <c r="Y272" s="4">
        <f t="shared" si="25"/>
        <v>2207.2154563999411</v>
      </c>
      <c r="Z272" s="4">
        <f>_xlfn.IFNA(INDEX(additional_mortgage_payments[],MATCH(monthly_mortgage_schedule[[#This Row],[Month]],additional_mortgage_payments[Month],0),3),0)</f>
        <v>0</v>
      </c>
      <c r="AA272" s="4">
        <f>AA271+monthly_mortgage_schedule[[#This Row],[Extra Payments Towards Equity]]</f>
        <v>34250</v>
      </c>
      <c r="AB272" s="4">
        <f>AB271+monthly_mortgage_schedule[[#This Row],[Principal With Extra Principal Payments]]+monthly_mortgage_schedule[[#This Row],[Extra Payments Towards Equity]]</f>
        <v>350890.56422851403</v>
      </c>
      <c r="AC272" s="4">
        <f>monthly_mortgage_schedule[[#This Row],[Cumulative Principal With Extra Principal Payments]]+down_payment_dollars</f>
        <v>410890.56422851403</v>
      </c>
      <c r="AD272" s="200">
        <f t="shared" si="22"/>
        <v>0</v>
      </c>
      <c r="AE27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189109.43577148579</v>
      </c>
      <c r="AF272" s="187">
        <f t="shared" si="28"/>
        <v>258757.32844577057</v>
      </c>
      <c r="AG272" s="4">
        <f>IF(monthly_mortgage_schedule[[#This Row],[Loan Balance (BOY) Without Extra Principal Payments]]&gt;0,monthly_mortgage_schedule[[#This Row],[Loan Balance (BOY) Without Extra Principal Payments]]*monthly_interest_rate,0)</f>
        <v>1207.5341994135961</v>
      </c>
      <c r="AH272" s="4">
        <f>IF(monthly_mortgage_schedule[[#This Row],[Loan Balance (BOY) Without Extra Principal Payments]]&gt;1,monthly_principal_and_interest-monthly_mortgage_schedule[[#This Row],[Interest Without Extra Principal Payments]],0)</f>
        <v>1892.492296049812</v>
      </c>
      <c r="AI272" s="4">
        <f>AI271+monthly_mortgage_schedule[[#This Row],[Principal Without Extra Principal Payments]]</f>
        <v>283135.16385027935</v>
      </c>
      <c r="AJ272" s="4">
        <f>monthly_mortgage_schedule[[#This Row],[Cumulative Principal Without Extra Principal Payments]]+down_payment_dollars</f>
        <v>343135.16385027935</v>
      </c>
      <c r="AK272" s="200">
        <f t="shared" si="23"/>
        <v>0</v>
      </c>
      <c r="AL27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256864.83614972077</v>
      </c>
      <c r="AN272" s="196">
        <f>monthly_mortgage_schedule[[#This Row],[Extra Payments Towards Equity]]+AN271+IF(monthly_mortgage_schedule[[#This Row],[Interest With Extra Principal Payments]]&gt;0,monthly_mortgage_schedule[[#This Row],[Interest Without Extra Principal Payments]]-monthly_mortgage_schedule[[#This Row],[Interest With Extra Principal Payments]],0)</f>
        <v>67755.40037823483</v>
      </c>
      <c r="AO272" s="4">
        <f>AO271+IF(monthly_mortgage_schedule[[#This Row],[Interest With Extra Principal Payments]]&gt;0,monthly_mortgage_schedule[[#This Row],[Interest Without Extra Principal Payments]]-monthly_mortgage_schedule[[#This Row],[Interest With Extra Principal Payments]],0)</f>
        <v>33505.400378234801</v>
      </c>
      <c r="AP272" s="4">
        <f>AP271+monthly_mortgage_schedule[[#This Row],[PMI Without Extra Principal Payments]]-monthly_mortgage_schedule[[#This Row],[PMI with Additional Payments]]</f>
        <v>990</v>
      </c>
      <c r="AQ272" s="4">
        <f t="shared" si="26"/>
        <v>92780.551179806484</v>
      </c>
      <c r="AR272" s="4">
        <f>Table60[[#This Row],[Cumulative Investments]]-monthly_mortgage_schedule[[#This Row],[Cumulative Extra Payments Towards Equity]]</f>
        <v>58530.551179806484</v>
      </c>
    </row>
    <row r="273" spans="9:44" x14ac:dyDescent="0.25">
      <c r="I273">
        <v>256</v>
      </c>
      <c r="J273">
        <f>IF(MOD(ROWS($J$18:J272),12)=0,J272+1,J272)</f>
        <v>2043</v>
      </c>
      <c r="K273" s="198">
        <f>IF(M273="#N/A",NA(),monthly_mortgage_schedule[[#This Row],[Month]])</f>
        <v>256</v>
      </c>
      <c r="L273" s="198">
        <f>IF(monthly_mortgage_schedule[[#This Row],[Calendar Year]]&gt;=$C$7,monthly_mortgage_schedule[[#This Row],[Calendar Year]],NA())</f>
        <v>2043</v>
      </c>
      <c r="M273" s="199">
        <f>IF((monthly_mortgage_schedule[[#This Row],[Calendar Year]]&gt;=$C$7)*(monthly_mortgage_schedule[[#This Row],[Calendar Year]]&lt;=$C$9),monthly_mortgage_schedule[[#This Row],[Begin Year (Range)]],NA())</f>
        <v>2043</v>
      </c>
      <c r="N273" s="214">
        <f>IF((monthly_mortgage_schedule[[#This Row],[Year (Range)]]&gt;=$C$7)*(monthly_mortgage_schedule[[#This Row],[Year (Range)]]&lt;=$C$9),X273,NA())</f>
        <v>882.51070026693378</v>
      </c>
      <c r="O273" s="214">
        <f>IF((monthly_mortgage_schedule[[#This Row],[Year (Range)]]&gt;=$C$7)*(monthly_mortgage_schedule[[#This Row],[Year (Range)]]&lt;=$C$9),Y273,NA())</f>
        <v>2217.5157951964743</v>
      </c>
      <c r="P273" s="214">
        <f>IF((monthly_mortgage_schedule[[#This Row],[Year (Range)]]&gt;=$C$7)*(monthly_mortgage_schedule[[#This Row],[Year (Range)]]&lt;=$C$9),AG273,NA())</f>
        <v>1198.702568698697</v>
      </c>
      <c r="Q273" s="214">
        <f>IF((monthly_mortgage_schedule[[#This Row],[Year (Range)]]&gt;=$C$7)*(monthly_mortgage_schedule[[#This Row],[Year (Range)]]&lt;=$C$9),AH273,NA())</f>
        <v>1901.3239267647111</v>
      </c>
      <c r="R273" s="214">
        <f>IF((monthly_mortgage_schedule[[#This Row],[Year (Range)]]&gt;=$C$7)*(monthly_mortgage_schedule[[#This Row],[Year (Range)]]&lt;=$C$9),AO273,NA())</f>
        <v>33821.592246666565</v>
      </c>
      <c r="S273" s="214">
        <f>IF((monthly_mortgage_schedule[[#This Row],[Year (Range)]]&gt;=$C$7)*(monthly_mortgage_schedule[[#This Row],[Year (Range)]]&lt;=$C$9),AP273,NA())</f>
        <v>990</v>
      </c>
      <c r="T273" s="214">
        <f>IF((monthly_mortgage_schedule[[#This Row],[Year (Range)]]&gt;=$C$7)*(monthly_mortgage_schedule[[#This Row],[Year (Range)]]&lt;=$C$9),AR273,NA())</f>
        <v>59149.088187671849</v>
      </c>
      <c r="U273" s="214">
        <f>IF((monthly_mortgage_schedule[[#This Row],[Year (Range)]]&gt;=$C$7)*(monthly_mortgage_schedule[[#This Row],[Year (Range)]]&lt;=$C$9),AB273,NA())</f>
        <v>353108.0800237105</v>
      </c>
      <c r="V273" s="214">
        <f>IF((monthly_mortgage_schedule[[#This Row],[Year (Range)]]&gt;=$C$7)*(monthly_mortgage_schedule[[#This Row],[Year (Range)]]&lt;=$C$9),AI273,NA())</f>
        <v>285036.48777704407</v>
      </c>
      <c r="W273" s="187">
        <f t="shared" si="24"/>
        <v>189109.43577148579</v>
      </c>
      <c r="X273" s="4">
        <f t="shared" si="27"/>
        <v>882.51070026693378</v>
      </c>
      <c r="Y273" s="4">
        <f t="shared" si="25"/>
        <v>2217.5157951964743</v>
      </c>
      <c r="Z273" s="4">
        <f>_xlfn.IFNA(INDEX(additional_mortgage_payments[],MATCH(monthly_mortgage_schedule[[#This Row],[Month]],additional_mortgage_payments[Month],0),3),0)</f>
        <v>0</v>
      </c>
      <c r="AA273" s="4">
        <f>AA272+monthly_mortgage_schedule[[#This Row],[Extra Payments Towards Equity]]</f>
        <v>34250</v>
      </c>
      <c r="AB273" s="4">
        <f>AB272+monthly_mortgage_schedule[[#This Row],[Principal With Extra Principal Payments]]+monthly_mortgage_schedule[[#This Row],[Extra Payments Towards Equity]]</f>
        <v>353108.0800237105</v>
      </c>
      <c r="AC273" s="4">
        <f>monthly_mortgage_schedule[[#This Row],[Cumulative Principal With Extra Principal Payments]]+down_payment_dollars</f>
        <v>413108.0800237105</v>
      </c>
      <c r="AD273" s="200">
        <f t="shared" si="22"/>
        <v>0</v>
      </c>
      <c r="AE27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186891.91997628933</v>
      </c>
      <c r="AF273" s="187">
        <f t="shared" si="28"/>
        <v>256864.83614972077</v>
      </c>
      <c r="AG273" s="4">
        <f>IF(monthly_mortgage_schedule[[#This Row],[Loan Balance (BOY) Without Extra Principal Payments]]&gt;0,monthly_mortgage_schedule[[#This Row],[Loan Balance (BOY) Without Extra Principal Payments]]*monthly_interest_rate,0)</f>
        <v>1198.702568698697</v>
      </c>
      <c r="AH273" s="4">
        <f>IF(monthly_mortgage_schedule[[#This Row],[Loan Balance (BOY) Without Extra Principal Payments]]&gt;1,monthly_principal_and_interest-monthly_mortgage_schedule[[#This Row],[Interest Without Extra Principal Payments]],0)</f>
        <v>1901.3239267647111</v>
      </c>
      <c r="AI273" s="4">
        <f>AI272+monthly_mortgage_schedule[[#This Row],[Principal Without Extra Principal Payments]]</f>
        <v>285036.48777704407</v>
      </c>
      <c r="AJ273" s="4">
        <f>monthly_mortgage_schedule[[#This Row],[Cumulative Principal Without Extra Principal Payments]]+down_payment_dollars</f>
        <v>345036.48777704407</v>
      </c>
      <c r="AK273" s="200">
        <f t="shared" si="23"/>
        <v>0</v>
      </c>
      <c r="AL27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254963.51222295605</v>
      </c>
      <c r="AN273" s="196">
        <f>monthly_mortgage_schedule[[#This Row],[Extra Payments Towards Equity]]+AN272+IF(monthly_mortgage_schedule[[#This Row],[Interest With Extra Principal Payments]]&gt;0,monthly_mortgage_schedule[[#This Row],[Interest Without Extra Principal Payments]]-monthly_mortgage_schedule[[#This Row],[Interest With Extra Principal Payments]],0)</f>
        <v>68071.592246666594</v>
      </c>
      <c r="AO273" s="4">
        <f>AO272+IF(monthly_mortgage_schedule[[#This Row],[Interest With Extra Principal Payments]]&gt;0,monthly_mortgage_schedule[[#This Row],[Interest Without Extra Principal Payments]]-monthly_mortgage_schedule[[#This Row],[Interest With Extra Principal Payments]],0)</f>
        <v>33821.592246666565</v>
      </c>
      <c r="AP273" s="4">
        <f>AP272+monthly_mortgage_schedule[[#This Row],[PMI Without Extra Principal Payments]]-monthly_mortgage_schedule[[#This Row],[PMI with Additional Payments]]</f>
        <v>990</v>
      </c>
      <c r="AQ273" s="4">
        <f t="shared" si="26"/>
        <v>93399.088187671849</v>
      </c>
      <c r="AR273" s="4">
        <f>Table60[[#This Row],[Cumulative Investments]]-monthly_mortgage_schedule[[#This Row],[Cumulative Extra Payments Towards Equity]]</f>
        <v>59149.088187671849</v>
      </c>
    </row>
    <row r="274" spans="9:44" x14ac:dyDescent="0.25">
      <c r="I274">
        <v>257</v>
      </c>
      <c r="J274">
        <f>IF(MOD(ROWS($J$18:J273),12)=0,J273+1,J273)</f>
        <v>2043</v>
      </c>
      <c r="K274" s="198">
        <f>IF(M274="#N/A",NA(),monthly_mortgage_schedule[[#This Row],[Month]])</f>
        <v>257</v>
      </c>
      <c r="L274" s="198">
        <f>IF(monthly_mortgage_schedule[[#This Row],[Calendar Year]]&gt;=$C$7,monthly_mortgage_schedule[[#This Row],[Calendar Year]],NA())</f>
        <v>2043</v>
      </c>
      <c r="M274" s="199">
        <f>IF((monthly_mortgage_schedule[[#This Row],[Calendar Year]]&gt;=$C$7)*(monthly_mortgage_schedule[[#This Row],[Calendar Year]]&lt;=$C$9),monthly_mortgage_schedule[[#This Row],[Begin Year (Range)]],NA())</f>
        <v>2043</v>
      </c>
      <c r="N274" s="214">
        <f>IF((monthly_mortgage_schedule[[#This Row],[Year (Range)]]&gt;=$C$7)*(monthly_mortgage_schedule[[#This Row],[Year (Range)]]&lt;=$C$9),X274,NA())</f>
        <v>872.16229322268362</v>
      </c>
      <c r="O274" s="214">
        <f>IF((monthly_mortgage_schedule[[#This Row],[Year (Range)]]&gt;=$C$7)*(monthly_mortgage_schedule[[#This Row],[Year (Range)]]&lt;=$C$9),Y274,NA())</f>
        <v>2227.8642022407244</v>
      </c>
      <c r="P274" s="214">
        <f>IF((monthly_mortgage_schedule[[#This Row],[Year (Range)]]&gt;=$C$7)*(monthly_mortgage_schedule[[#This Row],[Year (Range)]]&lt;=$C$9),AG274,NA())</f>
        <v>1189.8297237071283</v>
      </c>
      <c r="Q274" s="214">
        <f>IF((monthly_mortgage_schedule[[#This Row],[Year (Range)]]&gt;=$C$7)*(monthly_mortgage_schedule[[#This Row],[Year (Range)]]&lt;=$C$9),AH274,NA())</f>
        <v>1910.1967717562798</v>
      </c>
      <c r="R274" s="214">
        <f>IF((monthly_mortgage_schedule[[#This Row],[Year (Range)]]&gt;=$C$7)*(monthly_mortgage_schedule[[#This Row],[Year (Range)]]&lt;=$C$9),AO274,NA())</f>
        <v>34139.259677151007</v>
      </c>
      <c r="S274" s="214">
        <f>IF((monthly_mortgage_schedule[[#This Row],[Year (Range)]]&gt;=$C$7)*(monthly_mortgage_schedule[[#This Row],[Year (Range)]]&lt;=$C$9),AP274,NA())</f>
        <v>990</v>
      </c>
      <c r="T274" s="214">
        <f>IF((monthly_mortgage_schedule[[#This Row],[Year (Range)]]&gt;=$C$7)*(monthly_mortgage_schedule[[#This Row],[Year (Range)]]&lt;=$C$9),AR274,NA())</f>
        <v>59771.748775589658</v>
      </c>
      <c r="U274" s="214">
        <f>IF((monthly_mortgage_schedule[[#This Row],[Year (Range)]]&gt;=$C$7)*(monthly_mortgage_schedule[[#This Row],[Year (Range)]]&lt;=$C$9),AB274,NA())</f>
        <v>355335.94422595121</v>
      </c>
      <c r="V274" s="214">
        <f>IF((monthly_mortgage_schedule[[#This Row],[Year (Range)]]&gt;=$C$7)*(monthly_mortgage_schedule[[#This Row],[Year (Range)]]&lt;=$C$9),AI274,NA())</f>
        <v>286946.68454880035</v>
      </c>
      <c r="W274" s="187">
        <f t="shared" si="24"/>
        <v>186891.91997628933</v>
      </c>
      <c r="X274" s="4">
        <f t="shared" si="27"/>
        <v>872.16229322268362</v>
      </c>
      <c r="Y274" s="4">
        <f t="shared" si="25"/>
        <v>2227.8642022407244</v>
      </c>
      <c r="Z274" s="4">
        <f>_xlfn.IFNA(INDEX(additional_mortgage_payments[],MATCH(monthly_mortgage_schedule[[#This Row],[Month]],additional_mortgage_payments[Month],0),3),0)</f>
        <v>0</v>
      </c>
      <c r="AA274" s="4">
        <f>AA273+monthly_mortgage_schedule[[#This Row],[Extra Payments Towards Equity]]</f>
        <v>34250</v>
      </c>
      <c r="AB274" s="4">
        <f>AB273+monthly_mortgage_schedule[[#This Row],[Principal With Extra Principal Payments]]+monthly_mortgage_schedule[[#This Row],[Extra Payments Towards Equity]]</f>
        <v>355335.94422595121</v>
      </c>
      <c r="AC274" s="4">
        <f>monthly_mortgage_schedule[[#This Row],[Cumulative Principal With Extra Principal Payments]]+down_payment_dollars</f>
        <v>415335.94422595121</v>
      </c>
      <c r="AD274" s="200">
        <f t="shared" ref="AD274:AD337" si="29">IF((AC274)/purchase_price&lt;pmi_until_percentage_equity,(annual_pmi/12),0)</f>
        <v>0</v>
      </c>
      <c r="AE27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184664.05577404861</v>
      </c>
      <c r="AF274" s="187">
        <f t="shared" si="28"/>
        <v>254963.51222295605</v>
      </c>
      <c r="AG274" s="4">
        <f>IF(monthly_mortgage_schedule[[#This Row],[Loan Balance (BOY) Without Extra Principal Payments]]&gt;0,monthly_mortgage_schedule[[#This Row],[Loan Balance (BOY) Without Extra Principal Payments]]*monthly_interest_rate,0)</f>
        <v>1189.8297237071283</v>
      </c>
      <c r="AH274" s="4">
        <f>IF(monthly_mortgage_schedule[[#This Row],[Loan Balance (BOY) Without Extra Principal Payments]]&gt;1,monthly_principal_and_interest-monthly_mortgage_schedule[[#This Row],[Interest Without Extra Principal Payments]],0)</f>
        <v>1910.1967717562798</v>
      </c>
      <c r="AI274" s="4">
        <f>AI273+monthly_mortgage_schedule[[#This Row],[Principal Without Extra Principal Payments]]</f>
        <v>286946.68454880035</v>
      </c>
      <c r="AJ274" s="4">
        <f>monthly_mortgage_schedule[[#This Row],[Cumulative Principal Without Extra Principal Payments]]+down_payment_dollars</f>
        <v>346946.68454880035</v>
      </c>
      <c r="AK274" s="200">
        <f t="shared" ref="AK274:AK337" si="30">IF((AJ274)/purchase_price&lt;pmi_until_percentage_equity,(annual_pmi/12),0)</f>
        <v>0</v>
      </c>
      <c r="AL27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253053.31545119977</v>
      </c>
      <c r="AN274" s="196">
        <f>monthly_mortgage_schedule[[#This Row],[Extra Payments Towards Equity]]+AN273+IF(monthly_mortgage_schedule[[#This Row],[Interest With Extra Principal Payments]]&gt;0,monthly_mortgage_schedule[[#This Row],[Interest Without Extra Principal Payments]]-monthly_mortgage_schedule[[#This Row],[Interest With Extra Principal Payments]],0)</f>
        <v>68389.259677151043</v>
      </c>
      <c r="AO274" s="4">
        <f>AO273+IF(monthly_mortgage_schedule[[#This Row],[Interest With Extra Principal Payments]]&gt;0,monthly_mortgage_schedule[[#This Row],[Interest Without Extra Principal Payments]]-monthly_mortgage_schedule[[#This Row],[Interest With Extra Principal Payments]],0)</f>
        <v>34139.259677151007</v>
      </c>
      <c r="AP274" s="4">
        <f>AP273+monthly_mortgage_schedule[[#This Row],[PMI Without Extra Principal Payments]]-monthly_mortgage_schedule[[#This Row],[PMI with Additional Payments]]</f>
        <v>990</v>
      </c>
      <c r="AQ274" s="4">
        <f t="shared" si="26"/>
        <v>94021.748775589658</v>
      </c>
      <c r="AR274" s="4">
        <f>Table60[[#This Row],[Cumulative Investments]]-monthly_mortgage_schedule[[#This Row],[Cumulative Extra Payments Towards Equity]]</f>
        <v>59771.748775589658</v>
      </c>
    </row>
    <row r="275" spans="9:44" x14ac:dyDescent="0.25">
      <c r="I275">
        <v>258</v>
      </c>
      <c r="J275">
        <f>IF(MOD(ROWS($J$18:J274),12)=0,J274+1,J274)</f>
        <v>2043</v>
      </c>
      <c r="K275" s="198">
        <f>IF(M275="#N/A",NA(),monthly_mortgage_schedule[[#This Row],[Month]])</f>
        <v>258</v>
      </c>
      <c r="L275" s="198">
        <f>IF(monthly_mortgage_schedule[[#This Row],[Calendar Year]]&gt;=$C$7,monthly_mortgage_schedule[[#This Row],[Calendar Year]],NA())</f>
        <v>2043</v>
      </c>
      <c r="M275" s="199">
        <f>IF((monthly_mortgage_schedule[[#This Row],[Calendar Year]]&gt;=$C$7)*(monthly_mortgage_schedule[[#This Row],[Calendar Year]]&lt;=$C$9),monthly_mortgage_schedule[[#This Row],[Begin Year (Range)]],NA())</f>
        <v>2043</v>
      </c>
      <c r="N275" s="214">
        <f>IF((monthly_mortgage_schedule[[#This Row],[Year (Range)]]&gt;=$C$7)*(monthly_mortgage_schedule[[#This Row],[Year (Range)]]&lt;=$C$9),X275,NA())</f>
        <v>861.76559361222689</v>
      </c>
      <c r="O275" s="214">
        <f>IF((monthly_mortgage_schedule[[#This Row],[Year (Range)]]&gt;=$C$7)*(monthly_mortgage_schedule[[#This Row],[Year (Range)]]&lt;=$C$9),Y275,NA())</f>
        <v>2238.2609018511812</v>
      </c>
      <c r="P275" s="214">
        <f>IF((monthly_mortgage_schedule[[#This Row],[Year (Range)]]&gt;=$C$7)*(monthly_mortgage_schedule[[#This Row],[Year (Range)]]&lt;=$C$9),AG275,NA())</f>
        <v>1180.9154721055991</v>
      </c>
      <c r="Q275" s="214">
        <f>IF((monthly_mortgage_schedule[[#This Row],[Year (Range)]]&gt;=$C$7)*(monthly_mortgage_schedule[[#This Row],[Year (Range)]]&lt;=$C$9),AH275,NA())</f>
        <v>1919.111023357809</v>
      </c>
      <c r="R275" s="214">
        <f>IF((monthly_mortgage_schedule[[#This Row],[Year (Range)]]&gt;=$C$7)*(monthly_mortgage_schedule[[#This Row],[Year (Range)]]&lt;=$C$9),AO275,NA())</f>
        <v>34458.409555644379</v>
      </c>
      <c r="S275" s="214">
        <f>IF((monthly_mortgage_schedule[[#This Row],[Year (Range)]]&gt;=$C$7)*(monthly_mortgage_schedule[[#This Row],[Year (Range)]]&lt;=$C$9),AP275,NA())</f>
        <v>990</v>
      </c>
      <c r="T275" s="214">
        <f>IF((monthly_mortgage_schedule[[#This Row],[Year (Range)]]&gt;=$C$7)*(monthly_mortgage_schedule[[#This Row],[Year (Range)]]&lt;=$C$9),AR275,NA())</f>
        <v>60398.560434093582</v>
      </c>
      <c r="U275" s="214">
        <f>IF((monthly_mortgage_schedule[[#This Row],[Year (Range)]]&gt;=$C$7)*(monthly_mortgage_schedule[[#This Row],[Year (Range)]]&lt;=$C$9),AB275,NA())</f>
        <v>357574.20512780239</v>
      </c>
      <c r="V275" s="214">
        <f>IF((monthly_mortgage_schedule[[#This Row],[Year (Range)]]&gt;=$C$7)*(monthly_mortgage_schedule[[#This Row],[Year (Range)]]&lt;=$C$9),AI275,NA())</f>
        <v>288865.79557215818</v>
      </c>
      <c r="W275" s="187">
        <f t="shared" ref="W275:W338" si="31">AE274</f>
        <v>184664.05577404861</v>
      </c>
      <c r="X275" s="4">
        <f t="shared" si="27"/>
        <v>861.76559361222689</v>
      </c>
      <c r="Y275" s="4">
        <f t="shared" ref="Y275:Y338" si="32">IF(W275&gt;1,monthly_principal_and_interest-X275,0)</f>
        <v>2238.2609018511812</v>
      </c>
      <c r="Z275" s="4">
        <f>_xlfn.IFNA(INDEX(additional_mortgage_payments[],MATCH(monthly_mortgage_schedule[[#This Row],[Month]],additional_mortgage_payments[Month],0),3),0)</f>
        <v>0</v>
      </c>
      <c r="AA275" s="4">
        <f>AA274+monthly_mortgage_schedule[[#This Row],[Extra Payments Towards Equity]]</f>
        <v>34250</v>
      </c>
      <c r="AB275" s="4">
        <f>AB274+monthly_mortgage_schedule[[#This Row],[Principal With Extra Principal Payments]]+monthly_mortgage_schedule[[#This Row],[Extra Payments Towards Equity]]</f>
        <v>357574.20512780239</v>
      </c>
      <c r="AC275" s="4">
        <f>monthly_mortgage_schedule[[#This Row],[Cumulative Principal With Extra Principal Payments]]+down_payment_dollars</f>
        <v>417574.20512780239</v>
      </c>
      <c r="AD275" s="200">
        <f t="shared" si="29"/>
        <v>0</v>
      </c>
      <c r="AE27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182425.79487219744</v>
      </c>
      <c r="AF275" s="187">
        <f t="shared" si="28"/>
        <v>253053.31545119977</v>
      </c>
      <c r="AG275" s="4">
        <f>IF(monthly_mortgage_schedule[[#This Row],[Loan Balance (BOY) Without Extra Principal Payments]]&gt;0,monthly_mortgage_schedule[[#This Row],[Loan Balance (BOY) Without Extra Principal Payments]]*monthly_interest_rate,0)</f>
        <v>1180.9154721055991</v>
      </c>
      <c r="AH275" s="4">
        <f>IF(monthly_mortgage_schedule[[#This Row],[Loan Balance (BOY) Without Extra Principal Payments]]&gt;1,monthly_principal_and_interest-monthly_mortgage_schedule[[#This Row],[Interest Without Extra Principal Payments]],0)</f>
        <v>1919.111023357809</v>
      </c>
      <c r="AI275" s="4">
        <f>AI274+monthly_mortgage_schedule[[#This Row],[Principal Without Extra Principal Payments]]</f>
        <v>288865.79557215818</v>
      </c>
      <c r="AJ275" s="4">
        <f>monthly_mortgage_schedule[[#This Row],[Cumulative Principal Without Extra Principal Payments]]+down_payment_dollars</f>
        <v>348865.79557215818</v>
      </c>
      <c r="AK275" s="200">
        <f t="shared" si="30"/>
        <v>0</v>
      </c>
      <c r="AL27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251134.20442784196</v>
      </c>
      <c r="AN275" s="196">
        <f>monthly_mortgage_schedule[[#This Row],[Extra Payments Towards Equity]]+AN274+IF(monthly_mortgage_schedule[[#This Row],[Interest With Extra Principal Payments]]&gt;0,monthly_mortgage_schedule[[#This Row],[Interest Without Extra Principal Payments]]-monthly_mortgage_schedule[[#This Row],[Interest With Extra Principal Payments]],0)</f>
        <v>68708.409555644423</v>
      </c>
      <c r="AO275" s="4">
        <f>AO274+IF(monthly_mortgage_schedule[[#This Row],[Interest With Extra Principal Payments]]&gt;0,monthly_mortgage_schedule[[#This Row],[Interest Without Extra Principal Payments]]-monthly_mortgage_schedule[[#This Row],[Interest With Extra Principal Payments]],0)</f>
        <v>34458.409555644379</v>
      </c>
      <c r="AP275" s="4">
        <f>AP274+monthly_mortgage_schedule[[#This Row],[PMI Without Extra Principal Payments]]-monthly_mortgage_schedule[[#This Row],[PMI with Additional Payments]]</f>
        <v>990</v>
      </c>
      <c r="AQ275" s="4">
        <f t="shared" ref="AQ275:AQ338" si="33">(AQ274+Z275)*(1+monthly_stock_market_return)</f>
        <v>94648.560434093582</v>
      </c>
      <c r="AR275" s="4">
        <f>Table60[[#This Row],[Cumulative Investments]]-monthly_mortgage_schedule[[#This Row],[Cumulative Extra Payments Towards Equity]]</f>
        <v>60398.560434093582</v>
      </c>
    </row>
    <row r="276" spans="9:44" x14ac:dyDescent="0.25">
      <c r="I276">
        <v>259</v>
      </c>
      <c r="J276">
        <f>IF(MOD(ROWS($J$18:J275),12)=0,J275+1,J275)</f>
        <v>2043</v>
      </c>
      <c r="K276" s="198">
        <f>IF(M276="#N/A",NA(),monthly_mortgage_schedule[[#This Row],[Month]])</f>
        <v>259</v>
      </c>
      <c r="L276" s="198">
        <f>IF(monthly_mortgage_schedule[[#This Row],[Calendar Year]]&gt;=$C$7,monthly_mortgage_schedule[[#This Row],[Calendar Year]],NA())</f>
        <v>2043</v>
      </c>
      <c r="M276" s="199">
        <f>IF((monthly_mortgage_schedule[[#This Row],[Calendar Year]]&gt;=$C$7)*(monthly_mortgage_schedule[[#This Row],[Calendar Year]]&lt;=$C$9),monthly_mortgage_schedule[[#This Row],[Begin Year (Range)]],NA())</f>
        <v>2043</v>
      </c>
      <c r="N276" s="214">
        <f>IF((monthly_mortgage_schedule[[#This Row],[Year (Range)]]&gt;=$C$7)*(monthly_mortgage_schedule[[#This Row],[Year (Range)]]&lt;=$C$9),X276,NA())</f>
        <v>851.32037607025484</v>
      </c>
      <c r="O276" s="214">
        <f>IF((monthly_mortgage_schedule[[#This Row],[Year (Range)]]&gt;=$C$7)*(monthly_mortgage_schedule[[#This Row],[Year (Range)]]&lt;=$C$9),Y276,NA())</f>
        <v>2248.7061193931531</v>
      </c>
      <c r="P276" s="214">
        <f>IF((monthly_mortgage_schedule[[#This Row],[Year (Range)]]&gt;=$C$7)*(monthly_mortgage_schedule[[#This Row],[Year (Range)]]&lt;=$C$9),AG276,NA())</f>
        <v>1171.9596206632625</v>
      </c>
      <c r="Q276" s="214">
        <f>IF((monthly_mortgage_schedule[[#This Row],[Year (Range)]]&gt;=$C$7)*(monthly_mortgage_schedule[[#This Row],[Year (Range)]]&lt;=$C$9),AH276,NA())</f>
        <v>1928.0668748001456</v>
      </c>
      <c r="R276" s="214">
        <f>IF((monthly_mortgage_schedule[[#This Row],[Year (Range)]]&gt;=$C$7)*(monthly_mortgage_schedule[[#This Row],[Year (Range)]]&lt;=$C$9),AO276,NA())</f>
        <v>34779.04880023739</v>
      </c>
      <c r="S276" s="214">
        <f>IF((monthly_mortgage_schedule[[#This Row],[Year (Range)]]&gt;=$C$7)*(monthly_mortgage_schedule[[#This Row],[Year (Range)]]&lt;=$C$9),AP276,NA())</f>
        <v>990</v>
      </c>
      <c r="T276" s="214">
        <f>IF((monthly_mortgage_schedule[[#This Row],[Year (Range)]]&gt;=$C$7)*(monthly_mortgage_schedule[[#This Row],[Year (Range)]]&lt;=$C$9),AR276,NA())</f>
        <v>61029.550836987532</v>
      </c>
      <c r="U276" s="214">
        <f>IF((monthly_mortgage_schedule[[#This Row],[Year (Range)]]&gt;=$C$7)*(monthly_mortgage_schedule[[#This Row],[Year (Range)]]&lt;=$C$9),AB276,NA())</f>
        <v>359822.91124719556</v>
      </c>
      <c r="V276" s="214">
        <f>IF((monthly_mortgage_schedule[[#This Row],[Year (Range)]]&gt;=$C$7)*(monthly_mortgage_schedule[[#This Row],[Year (Range)]]&lt;=$C$9),AI276,NA())</f>
        <v>290793.86244695832</v>
      </c>
      <c r="W276" s="187">
        <f t="shared" si="31"/>
        <v>182425.79487219744</v>
      </c>
      <c r="X276" s="4">
        <f t="shared" ref="X276:X339" si="34">IF(W276&gt;0,W276*monthly_interest_rate,0)</f>
        <v>851.32037607025484</v>
      </c>
      <c r="Y276" s="4">
        <f t="shared" si="32"/>
        <v>2248.7061193931531</v>
      </c>
      <c r="Z276" s="4">
        <f>_xlfn.IFNA(INDEX(additional_mortgage_payments[],MATCH(monthly_mortgage_schedule[[#This Row],[Month]],additional_mortgage_payments[Month],0),3),0)</f>
        <v>0</v>
      </c>
      <c r="AA276" s="4">
        <f>AA275+monthly_mortgage_schedule[[#This Row],[Extra Payments Towards Equity]]</f>
        <v>34250</v>
      </c>
      <c r="AB276" s="4">
        <f>AB275+monthly_mortgage_schedule[[#This Row],[Principal With Extra Principal Payments]]+monthly_mortgage_schedule[[#This Row],[Extra Payments Towards Equity]]</f>
        <v>359822.91124719556</v>
      </c>
      <c r="AC276" s="4">
        <f>monthly_mortgage_schedule[[#This Row],[Cumulative Principal With Extra Principal Payments]]+down_payment_dollars</f>
        <v>419822.91124719556</v>
      </c>
      <c r="AD276" s="200">
        <f t="shared" si="29"/>
        <v>0</v>
      </c>
      <c r="AE27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180177.08875280429</v>
      </c>
      <c r="AF276" s="187">
        <f t="shared" ref="AF276:AF339" si="35">AL275</f>
        <v>251134.20442784196</v>
      </c>
      <c r="AG276" s="4">
        <f>IF(monthly_mortgage_schedule[[#This Row],[Loan Balance (BOY) Without Extra Principal Payments]]&gt;0,monthly_mortgage_schedule[[#This Row],[Loan Balance (BOY) Without Extra Principal Payments]]*monthly_interest_rate,0)</f>
        <v>1171.9596206632625</v>
      </c>
      <c r="AH276" s="4">
        <f>IF(monthly_mortgage_schedule[[#This Row],[Loan Balance (BOY) Without Extra Principal Payments]]&gt;1,monthly_principal_and_interest-monthly_mortgage_schedule[[#This Row],[Interest Without Extra Principal Payments]],0)</f>
        <v>1928.0668748001456</v>
      </c>
      <c r="AI276" s="4">
        <f>AI275+monthly_mortgage_schedule[[#This Row],[Principal Without Extra Principal Payments]]</f>
        <v>290793.86244695832</v>
      </c>
      <c r="AJ276" s="4">
        <f>monthly_mortgage_schedule[[#This Row],[Cumulative Principal Without Extra Principal Payments]]+down_payment_dollars</f>
        <v>350793.86244695832</v>
      </c>
      <c r="AK276" s="200">
        <f t="shared" si="30"/>
        <v>0</v>
      </c>
      <c r="AL27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249206.13755304183</v>
      </c>
      <c r="AN276" s="196">
        <f>monthly_mortgage_schedule[[#This Row],[Extra Payments Towards Equity]]+AN275+IF(monthly_mortgage_schedule[[#This Row],[Interest With Extra Principal Payments]]&gt;0,monthly_mortgage_schedule[[#This Row],[Interest Without Extra Principal Payments]]-monthly_mortgage_schedule[[#This Row],[Interest With Extra Principal Payments]],0)</f>
        <v>69029.048800237433</v>
      </c>
      <c r="AO276" s="4">
        <f>AO275+IF(monthly_mortgage_schedule[[#This Row],[Interest With Extra Principal Payments]]&gt;0,monthly_mortgage_schedule[[#This Row],[Interest Without Extra Principal Payments]]-monthly_mortgage_schedule[[#This Row],[Interest With Extra Principal Payments]],0)</f>
        <v>34779.04880023739</v>
      </c>
      <c r="AP276" s="4">
        <f>AP275+monthly_mortgage_schedule[[#This Row],[PMI Without Extra Principal Payments]]-monthly_mortgage_schedule[[#This Row],[PMI with Additional Payments]]</f>
        <v>990</v>
      </c>
      <c r="AQ276" s="4">
        <f t="shared" si="33"/>
        <v>95279.550836987532</v>
      </c>
      <c r="AR276" s="4">
        <f>Table60[[#This Row],[Cumulative Investments]]-monthly_mortgage_schedule[[#This Row],[Cumulative Extra Payments Towards Equity]]</f>
        <v>61029.550836987532</v>
      </c>
    </row>
    <row r="277" spans="9:44" x14ac:dyDescent="0.25">
      <c r="I277">
        <v>260</v>
      </c>
      <c r="J277">
        <f>IF(MOD(ROWS($J$18:J276),12)=0,J276+1,J276)</f>
        <v>2043</v>
      </c>
      <c r="K277" s="198">
        <f>IF(M277="#N/A",NA(),monthly_mortgage_schedule[[#This Row],[Month]])</f>
        <v>260</v>
      </c>
      <c r="L277" s="198">
        <f>IF(monthly_mortgage_schedule[[#This Row],[Calendar Year]]&gt;=$C$7,monthly_mortgage_schedule[[#This Row],[Calendar Year]],NA())</f>
        <v>2043</v>
      </c>
      <c r="M277" s="199">
        <f>IF((monthly_mortgage_schedule[[#This Row],[Calendar Year]]&gt;=$C$7)*(monthly_mortgage_schedule[[#This Row],[Calendar Year]]&lt;=$C$9),monthly_mortgage_schedule[[#This Row],[Begin Year (Range)]],NA())</f>
        <v>2043</v>
      </c>
      <c r="N277" s="214">
        <f>IF((monthly_mortgage_schedule[[#This Row],[Year (Range)]]&gt;=$C$7)*(monthly_mortgage_schedule[[#This Row],[Year (Range)]]&lt;=$C$9),X277,NA())</f>
        <v>840.82641417975344</v>
      </c>
      <c r="O277" s="214">
        <f>IF((monthly_mortgage_schedule[[#This Row],[Year (Range)]]&gt;=$C$7)*(monthly_mortgage_schedule[[#This Row],[Year (Range)]]&lt;=$C$9),Y277,NA())</f>
        <v>2259.2000812836545</v>
      </c>
      <c r="P277" s="214">
        <f>IF((monthly_mortgage_schedule[[#This Row],[Year (Range)]]&gt;=$C$7)*(monthly_mortgage_schedule[[#This Row],[Year (Range)]]&lt;=$C$9),AG277,NA())</f>
        <v>1162.9619752475287</v>
      </c>
      <c r="Q277" s="214">
        <f>IF((monthly_mortgage_schedule[[#This Row],[Year (Range)]]&gt;=$C$7)*(monthly_mortgage_schedule[[#This Row],[Year (Range)]]&lt;=$C$9),AH277,NA())</f>
        <v>1937.0645202158794</v>
      </c>
      <c r="R277" s="214">
        <f>IF((monthly_mortgage_schedule[[#This Row],[Year (Range)]]&gt;=$C$7)*(monthly_mortgage_schedule[[#This Row],[Year (Range)]]&lt;=$C$9),AO277,NA())</f>
        <v>35101.184361305168</v>
      </c>
      <c r="S277" s="214">
        <f>IF((monthly_mortgage_schedule[[#This Row],[Year (Range)]]&gt;=$C$7)*(monthly_mortgage_schedule[[#This Row],[Year (Range)]]&lt;=$C$9),AP277,NA())</f>
        <v>990</v>
      </c>
      <c r="T277" s="214">
        <f>IF((monthly_mortgage_schedule[[#This Row],[Year (Range)]]&gt;=$C$7)*(monthly_mortgage_schedule[[#This Row],[Year (Range)]]&lt;=$C$9),AR277,NA())</f>
        <v>61668.081175900777</v>
      </c>
      <c r="U277" s="214">
        <f>IF((monthly_mortgage_schedule[[#This Row],[Year (Range)]]&gt;=$C$7)*(monthly_mortgage_schedule[[#This Row],[Year (Range)]]&lt;=$C$9),AB277,NA())</f>
        <v>362582.11132847919</v>
      </c>
      <c r="V277" s="214">
        <f>IF((monthly_mortgage_schedule[[#This Row],[Year (Range)]]&gt;=$C$7)*(monthly_mortgage_schedule[[#This Row],[Year (Range)]]&lt;=$C$9),AI277,NA())</f>
        <v>292730.92696717422</v>
      </c>
      <c r="W277" s="187">
        <f t="shared" si="31"/>
        <v>180177.08875280429</v>
      </c>
      <c r="X277" s="4">
        <f t="shared" si="34"/>
        <v>840.82641417975344</v>
      </c>
      <c r="Y277" s="4">
        <f t="shared" si="32"/>
        <v>2259.2000812836545</v>
      </c>
      <c r="Z277" s="4">
        <f>_xlfn.IFNA(INDEX(additional_mortgage_payments[],MATCH(monthly_mortgage_schedule[[#This Row],[Month]],additional_mortgage_payments[Month],0),3),0)</f>
        <v>500</v>
      </c>
      <c r="AA277" s="4">
        <f>AA276+monthly_mortgage_schedule[[#This Row],[Extra Payments Towards Equity]]</f>
        <v>34750</v>
      </c>
      <c r="AB277" s="4">
        <f>AB276+monthly_mortgage_schedule[[#This Row],[Principal With Extra Principal Payments]]+monthly_mortgage_schedule[[#This Row],[Extra Payments Towards Equity]]</f>
        <v>362582.11132847919</v>
      </c>
      <c r="AC277" s="4">
        <f>monthly_mortgage_schedule[[#This Row],[Cumulative Principal With Extra Principal Payments]]+down_payment_dollars</f>
        <v>422582.11132847919</v>
      </c>
      <c r="AD277" s="200">
        <f t="shared" si="29"/>
        <v>0</v>
      </c>
      <c r="AE27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177417.88867152063</v>
      </c>
      <c r="AF277" s="187">
        <f t="shared" si="35"/>
        <v>249206.13755304183</v>
      </c>
      <c r="AG277" s="4">
        <f>IF(monthly_mortgage_schedule[[#This Row],[Loan Balance (BOY) Without Extra Principal Payments]]&gt;0,monthly_mortgage_schedule[[#This Row],[Loan Balance (BOY) Without Extra Principal Payments]]*monthly_interest_rate,0)</f>
        <v>1162.9619752475287</v>
      </c>
      <c r="AH277" s="4">
        <f>IF(monthly_mortgage_schedule[[#This Row],[Loan Balance (BOY) Without Extra Principal Payments]]&gt;1,monthly_principal_and_interest-monthly_mortgage_schedule[[#This Row],[Interest Without Extra Principal Payments]],0)</f>
        <v>1937.0645202158794</v>
      </c>
      <c r="AI277" s="4">
        <f>AI276+monthly_mortgage_schedule[[#This Row],[Principal Without Extra Principal Payments]]</f>
        <v>292730.92696717422</v>
      </c>
      <c r="AJ277" s="4">
        <f>monthly_mortgage_schedule[[#This Row],[Cumulative Principal Without Extra Principal Payments]]+down_payment_dollars</f>
        <v>352730.92696717422</v>
      </c>
      <c r="AK277" s="200">
        <f t="shared" si="30"/>
        <v>0</v>
      </c>
      <c r="AL27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247269.07303282595</v>
      </c>
      <c r="AN277" s="196">
        <f>monthly_mortgage_schedule[[#This Row],[Extra Payments Towards Equity]]+AN276+IF(monthly_mortgage_schedule[[#This Row],[Interest With Extra Principal Payments]]&gt;0,monthly_mortgage_schedule[[#This Row],[Interest Without Extra Principal Payments]]-monthly_mortgage_schedule[[#This Row],[Interest With Extra Principal Payments]],0)</f>
        <v>69851.184361305204</v>
      </c>
      <c r="AO277" s="4">
        <f>AO276+IF(monthly_mortgage_schedule[[#This Row],[Interest With Extra Principal Payments]]&gt;0,monthly_mortgage_schedule[[#This Row],[Interest Without Extra Principal Payments]]-monthly_mortgage_schedule[[#This Row],[Interest With Extra Principal Payments]],0)</f>
        <v>35101.184361305168</v>
      </c>
      <c r="AP277" s="4">
        <f>AP276+monthly_mortgage_schedule[[#This Row],[PMI Without Extra Principal Payments]]-monthly_mortgage_schedule[[#This Row],[PMI with Additional Payments]]</f>
        <v>990</v>
      </c>
      <c r="AQ277" s="4">
        <f t="shared" si="33"/>
        <v>96418.081175900777</v>
      </c>
      <c r="AR277" s="4">
        <f>Table60[[#This Row],[Cumulative Investments]]-monthly_mortgage_schedule[[#This Row],[Cumulative Extra Payments Towards Equity]]</f>
        <v>61668.081175900777</v>
      </c>
    </row>
    <row r="278" spans="9:44" x14ac:dyDescent="0.25">
      <c r="I278">
        <v>261</v>
      </c>
      <c r="J278">
        <f>IF(MOD(ROWS($J$18:J277),12)=0,J277+1,J277)</f>
        <v>2043</v>
      </c>
      <c r="K278" s="198">
        <f>IF(M278="#N/A",NA(),monthly_mortgage_schedule[[#This Row],[Month]])</f>
        <v>261</v>
      </c>
      <c r="L278" s="198">
        <f>IF(monthly_mortgage_schedule[[#This Row],[Calendar Year]]&gt;=$C$7,monthly_mortgage_schedule[[#This Row],[Calendar Year]],NA())</f>
        <v>2043</v>
      </c>
      <c r="M278" s="199">
        <f>IF((monthly_mortgage_schedule[[#This Row],[Calendar Year]]&gt;=$C$7)*(monthly_mortgage_schedule[[#This Row],[Calendar Year]]&lt;=$C$9),monthly_mortgage_schedule[[#This Row],[Begin Year (Range)]],NA())</f>
        <v>2043</v>
      </c>
      <c r="N278" s="214">
        <f>IF((monthly_mortgage_schedule[[#This Row],[Year (Range)]]&gt;=$C$7)*(monthly_mortgage_schedule[[#This Row],[Year (Range)]]&lt;=$C$9),X278,NA())</f>
        <v>827.95014713376304</v>
      </c>
      <c r="O278" s="214">
        <f>IF((monthly_mortgage_schedule[[#This Row],[Year (Range)]]&gt;=$C$7)*(monthly_mortgage_schedule[[#This Row],[Year (Range)]]&lt;=$C$9),Y278,NA())</f>
        <v>2272.076348329645</v>
      </c>
      <c r="P278" s="214">
        <f>IF((monthly_mortgage_schedule[[#This Row],[Year (Range)]]&gt;=$C$7)*(monthly_mortgage_schedule[[#This Row],[Year (Range)]]&lt;=$C$9),AG278,NA())</f>
        <v>1153.9223408198545</v>
      </c>
      <c r="Q278" s="214">
        <f>IF((monthly_mortgage_schedule[[#This Row],[Year (Range)]]&gt;=$C$7)*(monthly_mortgage_schedule[[#This Row],[Year (Range)]]&lt;=$C$9),AH278,NA())</f>
        <v>1946.1041546435536</v>
      </c>
      <c r="R278" s="214">
        <f>IF((monthly_mortgage_schedule[[#This Row],[Year (Range)]]&gt;=$C$7)*(monthly_mortgage_schedule[[#This Row],[Year (Range)]]&lt;=$C$9),AO278,NA())</f>
        <v>35427.156554991263</v>
      </c>
      <c r="S278" s="214">
        <f>IF((monthly_mortgage_schedule[[#This Row],[Year (Range)]]&gt;=$C$7)*(monthly_mortgage_schedule[[#This Row],[Year (Range)]]&lt;=$C$9),AP278,NA())</f>
        <v>990</v>
      </c>
      <c r="T278" s="214">
        <f>IF((monthly_mortgage_schedule[[#This Row],[Year (Range)]]&gt;=$C$7)*(monthly_mortgage_schedule[[#This Row],[Year (Range)]]&lt;=$C$9),AR278,NA())</f>
        <v>62310.868383740104</v>
      </c>
      <c r="U278" s="214">
        <f>IF((monthly_mortgage_schedule[[#This Row],[Year (Range)]]&gt;=$C$7)*(monthly_mortgage_schedule[[#This Row],[Year (Range)]]&lt;=$C$9),AB278,NA())</f>
        <v>364854.18767680886</v>
      </c>
      <c r="V278" s="214">
        <f>IF((monthly_mortgage_schedule[[#This Row],[Year (Range)]]&gt;=$C$7)*(monthly_mortgage_schedule[[#This Row],[Year (Range)]]&lt;=$C$9),AI278,NA())</f>
        <v>294677.03112181777</v>
      </c>
      <c r="W278" s="187">
        <f t="shared" si="31"/>
        <v>177417.88867152063</v>
      </c>
      <c r="X278" s="4">
        <f t="shared" si="34"/>
        <v>827.95014713376304</v>
      </c>
      <c r="Y278" s="4">
        <f t="shared" si="32"/>
        <v>2272.076348329645</v>
      </c>
      <c r="Z278" s="4">
        <f>_xlfn.IFNA(INDEX(additional_mortgage_payments[],MATCH(monthly_mortgage_schedule[[#This Row],[Month]],additional_mortgage_payments[Month],0),3),0)</f>
        <v>0</v>
      </c>
      <c r="AA278" s="4">
        <f>AA277+monthly_mortgage_schedule[[#This Row],[Extra Payments Towards Equity]]</f>
        <v>34750</v>
      </c>
      <c r="AB278" s="4">
        <f>AB277+monthly_mortgage_schedule[[#This Row],[Principal With Extra Principal Payments]]+monthly_mortgage_schedule[[#This Row],[Extra Payments Towards Equity]]</f>
        <v>364854.18767680886</v>
      </c>
      <c r="AC278" s="4">
        <f>monthly_mortgage_schedule[[#This Row],[Cumulative Principal With Extra Principal Payments]]+down_payment_dollars</f>
        <v>424854.18767680886</v>
      </c>
      <c r="AD278" s="200">
        <f t="shared" si="29"/>
        <v>0</v>
      </c>
      <c r="AE27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175145.812323191</v>
      </c>
      <c r="AF278" s="187">
        <f t="shared" si="35"/>
        <v>247269.07303282595</v>
      </c>
      <c r="AG278" s="4">
        <f>IF(monthly_mortgage_schedule[[#This Row],[Loan Balance (BOY) Without Extra Principal Payments]]&gt;0,monthly_mortgage_schedule[[#This Row],[Loan Balance (BOY) Without Extra Principal Payments]]*monthly_interest_rate,0)</f>
        <v>1153.9223408198545</v>
      </c>
      <c r="AH278" s="4">
        <f>IF(monthly_mortgage_schedule[[#This Row],[Loan Balance (BOY) Without Extra Principal Payments]]&gt;1,monthly_principal_and_interest-monthly_mortgage_schedule[[#This Row],[Interest Without Extra Principal Payments]],0)</f>
        <v>1946.1041546435536</v>
      </c>
      <c r="AI278" s="4">
        <f>AI277+monthly_mortgage_schedule[[#This Row],[Principal Without Extra Principal Payments]]</f>
        <v>294677.03112181777</v>
      </c>
      <c r="AJ278" s="4">
        <f>monthly_mortgage_schedule[[#This Row],[Cumulative Principal Without Extra Principal Payments]]+down_payment_dollars</f>
        <v>354677.03112181777</v>
      </c>
      <c r="AK278" s="200">
        <f t="shared" si="30"/>
        <v>0</v>
      </c>
      <c r="AL27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245322.96887818241</v>
      </c>
      <c r="AN278" s="196">
        <f>monthly_mortgage_schedule[[#This Row],[Extra Payments Towards Equity]]+AN277+IF(monthly_mortgage_schedule[[#This Row],[Interest With Extra Principal Payments]]&gt;0,monthly_mortgage_schedule[[#This Row],[Interest Without Extra Principal Payments]]-monthly_mortgage_schedule[[#This Row],[Interest With Extra Principal Payments]],0)</f>
        <v>70177.156554991292</v>
      </c>
      <c r="AO278" s="4">
        <f>AO277+IF(monthly_mortgage_schedule[[#This Row],[Interest With Extra Principal Payments]]&gt;0,monthly_mortgage_schedule[[#This Row],[Interest Without Extra Principal Payments]]-monthly_mortgage_schedule[[#This Row],[Interest With Extra Principal Payments]],0)</f>
        <v>35427.156554991263</v>
      </c>
      <c r="AP278" s="4">
        <f>AP277+monthly_mortgage_schedule[[#This Row],[PMI Without Extra Principal Payments]]-monthly_mortgage_schedule[[#This Row],[PMI with Additional Payments]]</f>
        <v>990</v>
      </c>
      <c r="AQ278" s="4">
        <f t="shared" si="33"/>
        <v>97060.868383740104</v>
      </c>
      <c r="AR278" s="4">
        <f>Table60[[#This Row],[Cumulative Investments]]-monthly_mortgage_schedule[[#This Row],[Cumulative Extra Payments Towards Equity]]</f>
        <v>62310.868383740104</v>
      </c>
    </row>
    <row r="279" spans="9:44" x14ac:dyDescent="0.25">
      <c r="I279">
        <v>262</v>
      </c>
      <c r="J279">
        <f>IF(MOD(ROWS($J$18:J278),12)=0,J278+1,J278)</f>
        <v>2043</v>
      </c>
      <c r="K279" s="198">
        <f>IF(M279="#N/A",NA(),monthly_mortgage_schedule[[#This Row],[Month]])</f>
        <v>262</v>
      </c>
      <c r="L279" s="198">
        <f>IF(monthly_mortgage_schedule[[#This Row],[Calendar Year]]&gt;=$C$7,monthly_mortgage_schedule[[#This Row],[Calendar Year]],NA())</f>
        <v>2043</v>
      </c>
      <c r="M279" s="199">
        <f>IF((monthly_mortgage_schedule[[#This Row],[Calendar Year]]&gt;=$C$7)*(monthly_mortgage_schedule[[#This Row],[Calendar Year]]&lt;=$C$9),monthly_mortgage_schedule[[#This Row],[Begin Year (Range)]],NA())</f>
        <v>2043</v>
      </c>
      <c r="N279" s="214">
        <f>IF((monthly_mortgage_schedule[[#This Row],[Year (Range)]]&gt;=$C$7)*(monthly_mortgage_schedule[[#This Row],[Year (Range)]]&lt;=$C$9),X279,NA())</f>
        <v>817.34712417489141</v>
      </c>
      <c r="O279" s="214">
        <f>IF((monthly_mortgage_schedule[[#This Row],[Year (Range)]]&gt;=$C$7)*(monthly_mortgage_schedule[[#This Row],[Year (Range)]]&lt;=$C$9),Y279,NA())</f>
        <v>2282.6793712885164</v>
      </c>
      <c r="P279" s="214">
        <f>IF((monthly_mortgage_schedule[[#This Row],[Year (Range)]]&gt;=$C$7)*(monthly_mortgage_schedule[[#This Row],[Year (Range)]]&lt;=$C$9),AG279,NA())</f>
        <v>1144.840521431518</v>
      </c>
      <c r="Q279" s="214">
        <f>IF((monthly_mortgage_schedule[[#This Row],[Year (Range)]]&gt;=$C$7)*(monthly_mortgage_schedule[[#This Row],[Year (Range)]]&lt;=$C$9),AH279,NA())</f>
        <v>1955.1859740318901</v>
      </c>
      <c r="R279" s="214">
        <f>IF((monthly_mortgage_schedule[[#This Row],[Year (Range)]]&gt;=$C$7)*(monthly_mortgage_schedule[[#This Row],[Year (Range)]]&lt;=$C$9),AO279,NA())</f>
        <v>35754.649952247892</v>
      </c>
      <c r="S279" s="214">
        <f>IF((monthly_mortgage_schedule[[#This Row],[Year (Range)]]&gt;=$C$7)*(monthly_mortgage_schedule[[#This Row],[Year (Range)]]&lt;=$C$9),AP279,NA())</f>
        <v>990</v>
      </c>
      <c r="T279" s="214">
        <f>IF((monthly_mortgage_schedule[[#This Row],[Year (Range)]]&gt;=$C$7)*(monthly_mortgage_schedule[[#This Row],[Year (Range)]]&lt;=$C$9),AR279,NA())</f>
        <v>62957.940839631701</v>
      </c>
      <c r="U279" s="214">
        <f>IF((monthly_mortgage_schedule[[#This Row],[Year (Range)]]&gt;=$C$7)*(monthly_mortgage_schedule[[#This Row],[Year (Range)]]&lt;=$C$9),AB279,NA())</f>
        <v>367136.86704809737</v>
      </c>
      <c r="V279" s="214">
        <f>IF((monthly_mortgage_schedule[[#This Row],[Year (Range)]]&gt;=$C$7)*(monthly_mortgage_schedule[[#This Row],[Year (Range)]]&lt;=$C$9),AI279,NA())</f>
        <v>296632.21709584963</v>
      </c>
      <c r="W279" s="187">
        <f t="shared" si="31"/>
        <v>175145.812323191</v>
      </c>
      <c r="X279" s="4">
        <f t="shared" si="34"/>
        <v>817.34712417489141</v>
      </c>
      <c r="Y279" s="4">
        <f t="shared" si="32"/>
        <v>2282.6793712885164</v>
      </c>
      <c r="Z279" s="4">
        <f>_xlfn.IFNA(INDEX(additional_mortgage_payments[],MATCH(monthly_mortgage_schedule[[#This Row],[Month]],additional_mortgage_payments[Month],0),3),0)</f>
        <v>0</v>
      </c>
      <c r="AA279" s="4">
        <f>AA278+monthly_mortgage_schedule[[#This Row],[Extra Payments Towards Equity]]</f>
        <v>34750</v>
      </c>
      <c r="AB279" s="4">
        <f>AB278+monthly_mortgage_schedule[[#This Row],[Principal With Extra Principal Payments]]+monthly_mortgage_schedule[[#This Row],[Extra Payments Towards Equity]]</f>
        <v>367136.86704809737</v>
      </c>
      <c r="AC279" s="4">
        <f>monthly_mortgage_schedule[[#This Row],[Cumulative Principal With Extra Principal Payments]]+down_payment_dollars</f>
        <v>427136.86704809737</v>
      </c>
      <c r="AD279" s="200">
        <f t="shared" si="29"/>
        <v>0</v>
      </c>
      <c r="AE27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172863.13295190249</v>
      </c>
      <c r="AF279" s="187">
        <f t="shared" si="35"/>
        <v>245322.96887818241</v>
      </c>
      <c r="AG279" s="4">
        <f>IF(monthly_mortgage_schedule[[#This Row],[Loan Balance (BOY) Without Extra Principal Payments]]&gt;0,monthly_mortgage_schedule[[#This Row],[Loan Balance (BOY) Without Extra Principal Payments]]*monthly_interest_rate,0)</f>
        <v>1144.840521431518</v>
      </c>
      <c r="AH279" s="4">
        <f>IF(monthly_mortgage_schedule[[#This Row],[Loan Balance (BOY) Without Extra Principal Payments]]&gt;1,monthly_principal_and_interest-monthly_mortgage_schedule[[#This Row],[Interest Without Extra Principal Payments]],0)</f>
        <v>1955.1859740318901</v>
      </c>
      <c r="AI279" s="4">
        <f>AI278+monthly_mortgage_schedule[[#This Row],[Principal Without Extra Principal Payments]]</f>
        <v>296632.21709584963</v>
      </c>
      <c r="AJ279" s="4">
        <f>monthly_mortgage_schedule[[#This Row],[Cumulative Principal Without Extra Principal Payments]]+down_payment_dollars</f>
        <v>356632.21709584963</v>
      </c>
      <c r="AK279" s="200">
        <f t="shared" si="30"/>
        <v>0</v>
      </c>
      <c r="AL27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243367.78290415052</v>
      </c>
      <c r="AN279" s="196">
        <f>monthly_mortgage_schedule[[#This Row],[Extra Payments Towards Equity]]+AN278+IF(monthly_mortgage_schedule[[#This Row],[Interest With Extra Principal Payments]]&gt;0,monthly_mortgage_schedule[[#This Row],[Interest Without Extra Principal Payments]]-monthly_mortgage_schedule[[#This Row],[Interest With Extra Principal Payments]],0)</f>
        <v>70504.649952247913</v>
      </c>
      <c r="AO279" s="4">
        <f>AO278+IF(monthly_mortgage_schedule[[#This Row],[Interest With Extra Principal Payments]]&gt;0,monthly_mortgage_schedule[[#This Row],[Interest Without Extra Principal Payments]]-monthly_mortgage_schedule[[#This Row],[Interest With Extra Principal Payments]],0)</f>
        <v>35754.649952247892</v>
      </c>
      <c r="AP279" s="4">
        <f>AP278+monthly_mortgage_schedule[[#This Row],[PMI Without Extra Principal Payments]]-monthly_mortgage_schedule[[#This Row],[PMI with Additional Payments]]</f>
        <v>990</v>
      </c>
      <c r="AQ279" s="4">
        <f t="shared" si="33"/>
        <v>97707.940839631701</v>
      </c>
      <c r="AR279" s="4">
        <f>Table60[[#This Row],[Cumulative Investments]]-monthly_mortgage_schedule[[#This Row],[Cumulative Extra Payments Towards Equity]]</f>
        <v>62957.940839631701</v>
      </c>
    </row>
    <row r="280" spans="9:44" x14ac:dyDescent="0.25">
      <c r="I280">
        <v>263</v>
      </c>
      <c r="J280">
        <f>IF(MOD(ROWS($J$18:J279),12)=0,J279+1,J279)</f>
        <v>2043</v>
      </c>
      <c r="K280" s="198">
        <f>IF(M280="#N/A",NA(),monthly_mortgage_schedule[[#This Row],[Month]])</f>
        <v>263</v>
      </c>
      <c r="L280" s="198">
        <f>IF(monthly_mortgage_schedule[[#This Row],[Calendar Year]]&gt;=$C$7,monthly_mortgage_schedule[[#This Row],[Calendar Year]],NA())</f>
        <v>2043</v>
      </c>
      <c r="M280" s="199">
        <f>IF((monthly_mortgage_schedule[[#This Row],[Calendar Year]]&gt;=$C$7)*(monthly_mortgage_schedule[[#This Row],[Calendar Year]]&lt;=$C$9),monthly_mortgage_schedule[[#This Row],[Begin Year (Range)]],NA())</f>
        <v>2043</v>
      </c>
      <c r="N280" s="214">
        <f>IF((monthly_mortgage_schedule[[#This Row],[Year (Range)]]&gt;=$C$7)*(monthly_mortgage_schedule[[#This Row],[Year (Range)]]&lt;=$C$9),X280,NA())</f>
        <v>806.69462044221166</v>
      </c>
      <c r="O280" s="214">
        <f>IF((monthly_mortgage_schedule[[#This Row],[Year (Range)]]&gt;=$C$7)*(monthly_mortgage_schedule[[#This Row],[Year (Range)]]&lt;=$C$9),Y280,NA())</f>
        <v>2293.3318750211965</v>
      </c>
      <c r="P280" s="214">
        <f>IF((monthly_mortgage_schedule[[#This Row],[Year (Range)]]&gt;=$C$7)*(monthly_mortgage_schedule[[#This Row],[Year (Range)]]&lt;=$C$9),AG280,NA())</f>
        <v>1135.7163202193692</v>
      </c>
      <c r="Q280" s="214">
        <f>IF((monthly_mortgage_schedule[[#This Row],[Year (Range)]]&gt;=$C$7)*(monthly_mortgage_schedule[[#This Row],[Year (Range)]]&lt;=$C$9),AH280,NA())</f>
        <v>1964.3101752440389</v>
      </c>
      <c r="R280" s="214">
        <f>IF((monthly_mortgage_schedule[[#This Row],[Year (Range)]]&gt;=$C$7)*(monthly_mortgage_schedule[[#This Row],[Year (Range)]]&lt;=$C$9),AO280,NA())</f>
        <v>36083.671652025048</v>
      </c>
      <c r="S280" s="214">
        <f>IF((monthly_mortgage_schedule[[#This Row],[Year (Range)]]&gt;=$C$7)*(monthly_mortgage_schedule[[#This Row],[Year (Range)]]&lt;=$C$9),AP280,NA())</f>
        <v>990</v>
      </c>
      <c r="T280" s="214">
        <f>IF((monthly_mortgage_schedule[[#This Row],[Year (Range)]]&gt;=$C$7)*(monthly_mortgage_schedule[[#This Row],[Year (Range)]]&lt;=$C$9),AR280,NA())</f>
        <v>63609.327111895909</v>
      </c>
      <c r="U280" s="214">
        <f>IF((monthly_mortgage_schedule[[#This Row],[Year (Range)]]&gt;=$C$7)*(monthly_mortgage_schedule[[#This Row],[Year (Range)]]&lt;=$C$9),AB280,NA())</f>
        <v>369430.19892311859</v>
      </c>
      <c r="V280" s="214">
        <f>IF((monthly_mortgage_schedule[[#This Row],[Year (Range)]]&gt;=$C$7)*(monthly_mortgage_schedule[[#This Row],[Year (Range)]]&lt;=$C$9),AI280,NA())</f>
        <v>298596.52727109368</v>
      </c>
      <c r="W280" s="187">
        <f t="shared" si="31"/>
        <v>172863.13295190249</v>
      </c>
      <c r="X280" s="4">
        <f t="shared" si="34"/>
        <v>806.69462044221166</v>
      </c>
      <c r="Y280" s="4">
        <f t="shared" si="32"/>
        <v>2293.3318750211965</v>
      </c>
      <c r="Z280" s="4">
        <f>_xlfn.IFNA(INDEX(additional_mortgage_payments[],MATCH(monthly_mortgage_schedule[[#This Row],[Month]],additional_mortgage_payments[Month],0),3),0)</f>
        <v>0</v>
      </c>
      <c r="AA280" s="4">
        <f>AA279+monthly_mortgage_schedule[[#This Row],[Extra Payments Towards Equity]]</f>
        <v>34750</v>
      </c>
      <c r="AB280" s="4">
        <f>AB279+monthly_mortgage_schedule[[#This Row],[Principal With Extra Principal Payments]]+monthly_mortgage_schedule[[#This Row],[Extra Payments Towards Equity]]</f>
        <v>369430.19892311859</v>
      </c>
      <c r="AC280" s="4">
        <f>monthly_mortgage_schedule[[#This Row],[Cumulative Principal With Extra Principal Payments]]+down_payment_dollars</f>
        <v>429430.19892311859</v>
      </c>
      <c r="AD280" s="200">
        <f t="shared" si="29"/>
        <v>0</v>
      </c>
      <c r="AE28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170569.8010768813</v>
      </c>
      <c r="AF280" s="187">
        <f t="shared" si="35"/>
        <v>243367.78290415052</v>
      </c>
      <c r="AG280" s="4">
        <f>IF(monthly_mortgage_schedule[[#This Row],[Loan Balance (BOY) Without Extra Principal Payments]]&gt;0,monthly_mortgage_schedule[[#This Row],[Loan Balance (BOY) Without Extra Principal Payments]]*monthly_interest_rate,0)</f>
        <v>1135.7163202193692</v>
      </c>
      <c r="AH280" s="4">
        <f>IF(monthly_mortgage_schedule[[#This Row],[Loan Balance (BOY) Without Extra Principal Payments]]&gt;1,monthly_principal_and_interest-monthly_mortgage_schedule[[#This Row],[Interest Without Extra Principal Payments]],0)</f>
        <v>1964.3101752440389</v>
      </c>
      <c r="AI280" s="4">
        <f>AI279+monthly_mortgage_schedule[[#This Row],[Principal Without Extra Principal Payments]]</f>
        <v>298596.52727109368</v>
      </c>
      <c r="AJ280" s="4">
        <f>monthly_mortgage_schedule[[#This Row],[Cumulative Principal Without Extra Principal Payments]]+down_payment_dollars</f>
        <v>358596.52727109368</v>
      </c>
      <c r="AK280" s="200">
        <f t="shared" si="30"/>
        <v>0</v>
      </c>
      <c r="AL28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241403.47272890649</v>
      </c>
      <c r="AN280" s="196">
        <f>monthly_mortgage_schedule[[#This Row],[Extra Payments Towards Equity]]+AN279+IF(monthly_mortgage_schedule[[#This Row],[Interest With Extra Principal Payments]]&gt;0,monthly_mortgage_schedule[[#This Row],[Interest Without Extra Principal Payments]]-monthly_mortgage_schedule[[#This Row],[Interest With Extra Principal Payments]],0)</f>
        <v>70833.671652025077</v>
      </c>
      <c r="AO280" s="4">
        <f>AO279+IF(monthly_mortgage_schedule[[#This Row],[Interest With Extra Principal Payments]]&gt;0,monthly_mortgage_schedule[[#This Row],[Interest Without Extra Principal Payments]]-monthly_mortgage_schedule[[#This Row],[Interest With Extra Principal Payments]],0)</f>
        <v>36083.671652025048</v>
      </c>
      <c r="AP280" s="4">
        <f>AP279+monthly_mortgage_schedule[[#This Row],[PMI Without Extra Principal Payments]]-monthly_mortgage_schedule[[#This Row],[PMI with Additional Payments]]</f>
        <v>990</v>
      </c>
      <c r="AQ280" s="4">
        <f t="shared" si="33"/>
        <v>98359.327111895909</v>
      </c>
      <c r="AR280" s="4">
        <f>Table60[[#This Row],[Cumulative Investments]]-monthly_mortgage_schedule[[#This Row],[Cumulative Extra Payments Towards Equity]]</f>
        <v>63609.327111895909</v>
      </c>
    </row>
    <row r="281" spans="9:44" x14ac:dyDescent="0.25">
      <c r="I281">
        <v>264</v>
      </c>
      <c r="J281">
        <f>IF(MOD(ROWS($J$18:J280),12)=0,J280+1,J280)</f>
        <v>2043</v>
      </c>
      <c r="K281" s="198">
        <f>IF(M281="#N/A",NA(),monthly_mortgage_schedule[[#This Row],[Month]])</f>
        <v>264</v>
      </c>
      <c r="L281" s="198">
        <f>IF(monthly_mortgage_schedule[[#This Row],[Calendar Year]]&gt;=$C$7,monthly_mortgage_schedule[[#This Row],[Calendar Year]],NA())</f>
        <v>2043</v>
      </c>
      <c r="M281" s="199">
        <f>IF((monthly_mortgage_schedule[[#This Row],[Calendar Year]]&gt;=$C$7)*(monthly_mortgage_schedule[[#This Row],[Calendar Year]]&lt;=$C$9),monthly_mortgage_schedule[[#This Row],[Begin Year (Range)]],NA())</f>
        <v>2043</v>
      </c>
      <c r="N281" s="214">
        <f>IF((monthly_mortgage_schedule[[#This Row],[Year (Range)]]&gt;=$C$7)*(monthly_mortgage_schedule[[#This Row],[Year (Range)]]&lt;=$C$9),X281,NA())</f>
        <v>795.99240502544615</v>
      </c>
      <c r="O281" s="214">
        <f>IF((monthly_mortgage_schedule[[#This Row],[Year (Range)]]&gt;=$C$7)*(monthly_mortgage_schedule[[#This Row],[Year (Range)]]&lt;=$C$9),Y281,NA())</f>
        <v>2304.0340904379618</v>
      </c>
      <c r="P281" s="214">
        <f>IF((monthly_mortgage_schedule[[#This Row],[Year (Range)]]&gt;=$C$7)*(monthly_mortgage_schedule[[#This Row],[Year (Range)]]&lt;=$C$9),AG281,NA())</f>
        <v>1126.5495394015636</v>
      </c>
      <c r="Q281" s="214">
        <f>IF((monthly_mortgage_schedule[[#This Row],[Year (Range)]]&gt;=$C$7)*(monthly_mortgage_schedule[[#This Row],[Year (Range)]]&lt;=$C$9),AH281,NA())</f>
        <v>1973.4769560618445</v>
      </c>
      <c r="R281" s="214">
        <f>IF((monthly_mortgage_schedule[[#This Row],[Year (Range)]]&gt;=$C$7)*(monthly_mortgage_schedule[[#This Row],[Year (Range)]]&lt;=$C$9),AO281,NA())</f>
        <v>36414.228786401167</v>
      </c>
      <c r="S281" s="214">
        <f>IF((monthly_mortgage_schedule[[#This Row],[Year (Range)]]&gt;=$C$7)*(monthly_mortgage_schedule[[#This Row],[Year (Range)]]&lt;=$C$9),AP281,NA())</f>
        <v>990</v>
      </c>
      <c r="T281" s="214">
        <f>IF((monthly_mortgage_schedule[[#This Row],[Year (Range)]]&gt;=$C$7)*(monthly_mortgage_schedule[[#This Row],[Year (Range)]]&lt;=$C$9),AR281,NA())</f>
        <v>64265.055959308549</v>
      </c>
      <c r="U281" s="214">
        <f>IF((monthly_mortgage_schedule[[#This Row],[Year (Range)]]&gt;=$C$7)*(monthly_mortgage_schedule[[#This Row],[Year (Range)]]&lt;=$C$9),AB281,NA())</f>
        <v>371734.23301355657</v>
      </c>
      <c r="V281" s="214">
        <f>IF((monthly_mortgage_schedule[[#This Row],[Year (Range)]]&gt;=$C$7)*(monthly_mortgage_schedule[[#This Row],[Year (Range)]]&lt;=$C$9),AI281,NA())</f>
        <v>300570.00422715553</v>
      </c>
      <c r="W281" s="187">
        <f t="shared" si="31"/>
        <v>170569.8010768813</v>
      </c>
      <c r="X281" s="4">
        <f t="shared" si="34"/>
        <v>795.99240502544615</v>
      </c>
      <c r="Y281" s="4">
        <f t="shared" si="32"/>
        <v>2304.0340904379618</v>
      </c>
      <c r="Z281" s="4">
        <f>_xlfn.IFNA(INDEX(additional_mortgage_payments[],MATCH(monthly_mortgage_schedule[[#This Row],[Month]],additional_mortgage_payments[Month],0),3),0)</f>
        <v>0</v>
      </c>
      <c r="AA281" s="4">
        <f>AA280+monthly_mortgage_schedule[[#This Row],[Extra Payments Towards Equity]]</f>
        <v>34750</v>
      </c>
      <c r="AB281" s="4">
        <f>AB280+monthly_mortgage_schedule[[#This Row],[Principal With Extra Principal Payments]]+monthly_mortgage_schedule[[#This Row],[Extra Payments Towards Equity]]</f>
        <v>371734.23301355657</v>
      </c>
      <c r="AC281" s="4">
        <f>monthly_mortgage_schedule[[#This Row],[Cumulative Principal With Extra Principal Payments]]+down_payment_dollars</f>
        <v>431734.23301355657</v>
      </c>
      <c r="AD281" s="200">
        <f t="shared" si="29"/>
        <v>0</v>
      </c>
      <c r="AE28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168265.76698644334</v>
      </c>
      <c r="AF281" s="187">
        <f t="shared" si="35"/>
        <v>241403.47272890649</v>
      </c>
      <c r="AG281" s="4">
        <f>IF(monthly_mortgage_schedule[[#This Row],[Loan Balance (BOY) Without Extra Principal Payments]]&gt;0,monthly_mortgage_schedule[[#This Row],[Loan Balance (BOY) Without Extra Principal Payments]]*monthly_interest_rate,0)</f>
        <v>1126.5495394015636</v>
      </c>
      <c r="AH281" s="4">
        <f>IF(monthly_mortgage_schedule[[#This Row],[Loan Balance (BOY) Without Extra Principal Payments]]&gt;1,monthly_principal_and_interest-monthly_mortgage_schedule[[#This Row],[Interest Without Extra Principal Payments]],0)</f>
        <v>1973.4769560618445</v>
      </c>
      <c r="AI281" s="4">
        <f>AI280+monthly_mortgage_schedule[[#This Row],[Principal Without Extra Principal Payments]]</f>
        <v>300570.00422715553</v>
      </c>
      <c r="AJ281" s="4">
        <f>monthly_mortgage_schedule[[#This Row],[Cumulative Principal Without Extra Principal Payments]]+down_payment_dollars</f>
        <v>360570.00422715553</v>
      </c>
      <c r="AK281" s="200">
        <f t="shared" si="30"/>
        <v>0</v>
      </c>
      <c r="AL28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239429.99577284465</v>
      </c>
      <c r="AN281" s="196">
        <f>monthly_mortgage_schedule[[#This Row],[Extra Payments Towards Equity]]+AN280+IF(monthly_mortgage_schedule[[#This Row],[Interest With Extra Principal Payments]]&gt;0,monthly_mortgage_schedule[[#This Row],[Interest Without Extra Principal Payments]]-monthly_mortgage_schedule[[#This Row],[Interest With Extra Principal Payments]],0)</f>
        <v>71164.228786401189</v>
      </c>
      <c r="AO281" s="4">
        <f>AO280+IF(monthly_mortgage_schedule[[#This Row],[Interest With Extra Principal Payments]]&gt;0,monthly_mortgage_schedule[[#This Row],[Interest Without Extra Principal Payments]]-monthly_mortgage_schedule[[#This Row],[Interest With Extra Principal Payments]],0)</f>
        <v>36414.228786401167</v>
      </c>
      <c r="AP281" s="4">
        <f>AP280+monthly_mortgage_schedule[[#This Row],[PMI Without Extra Principal Payments]]-monthly_mortgage_schedule[[#This Row],[PMI with Additional Payments]]</f>
        <v>990</v>
      </c>
      <c r="AQ281" s="4">
        <f t="shared" si="33"/>
        <v>99015.055959308549</v>
      </c>
      <c r="AR281" s="4">
        <f>Table60[[#This Row],[Cumulative Investments]]-monthly_mortgage_schedule[[#This Row],[Cumulative Extra Payments Towards Equity]]</f>
        <v>64265.055959308549</v>
      </c>
    </row>
    <row r="282" spans="9:44" x14ac:dyDescent="0.25">
      <c r="I282">
        <v>265</v>
      </c>
      <c r="J282">
        <f>IF(MOD(ROWS($J$18:J281),12)=0,J281+1,J281)</f>
        <v>2044</v>
      </c>
      <c r="K282" s="198">
        <f>IF(M282="#N/A",NA(),monthly_mortgage_schedule[[#This Row],[Month]])</f>
        <v>265</v>
      </c>
      <c r="L282" s="198">
        <f>IF(monthly_mortgage_schedule[[#This Row],[Calendar Year]]&gt;=$C$7,monthly_mortgage_schedule[[#This Row],[Calendar Year]],NA())</f>
        <v>2044</v>
      </c>
      <c r="M282" s="199">
        <f>IF((monthly_mortgage_schedule[[#This Row],[Calendar Year]]&gt;=$C$7)*(monthly_mortgage_schedule[[#This Row],[Calendar Year]]&lt;=$C$9),monthly_mortgage_schedule[[#This Row],[Begin Year (Range)]],NA())</f>
        <v>2044</v>
      </c>
      <c r="N282" s="214">
        <f>IF((monthly_mortgage_schedule[[#This Row],[Year (Range)]]&gt;=$C$7)*(monthly_mortgage_schedule[[#This Row],[Year (Range)]]&lt;=$C$9),X282,NA())</f>
        <v>785.24024593673562</v>
      </c>
      <c r="O282" s="214">
        <f>IF((monthly_mortgage_schedule[[#This Row],[Year (Range)]]&gt;=$C$7)*(monthly_mortgage_schedule[[#This Row],[Year (Range)]]&lt;=$C$9),Y282,NA())</f>
        <v>2314.7862495266727</v>
      </c>
      <c r="P282" s="214">
        <f>IF((monthly_mortgage_schedule[[#This Row],[Year (Range)]]&gt;=$C$7)*(monthly_mortgage_schedule[[#This Row],[Year (Range)]]&lt;=$C$9),AG282,NA())</f>
        <v>1117.3399802732752</v>
      </c>
      <c r="Q282" s="214">
        <f>IF((monthly_mortgage_schedule[[#This Row],[Year (Range)]]&gt;=$C$7)*(monthly_mortgage_schedule[[#This Row],[Year (Range)]]&lt;=$C$9),AH282,NA())</f>
        <v>1982.6865151901329</v>
      </c>
      <c r="R282" s="214">
        <f>IF((monthly_mortgage_schedule[[#This Row],[Year (Range)]]&gt;=$C$7)*(monthly_mortgage_schedule[[#This Row],[Year (Range)]]&lt;=$C$9),AO282,NA())</f>
        <v>36746.328520737705</v>
      </c>
      <c r="S282" s="214">
        <f>IF((monthly_mortgage_schedule[[#This Row],[Year (Range)]]&gt;=$C$7)*(monthly_mortgage_schedule[[#This Row],[Year (Range)]]&lt;=$C$9),AP282,NA())</f>
        <v>990</v>
      </c>
      <c r="T282" s="214">
        <f>IF((monthly_mortgage_schedule[[#This Row],[Year (Range)]]&gt;=$C$7)*(monthly_mortgage_schedule[[#This Row],[Year (Range)]]&lt;=$C$9),AR282,NA())</f>
        <v>64925.156332370592</v>
      </c>
      <c r="U282" s="214">
        <f>IF((monthly_mortgage_schedule[[#This Row],[Year (Range)]]&gt;=$C$7)*(monthly_mortgage_schedule[[#This Row],[Year (Range)]]&lt;=$C$9),AB282,NA())</f>
        <v>374049.01926308323</v>
      </c>
      <c r="V282" s="214">
        <f>IF((monthly_mortgage_schedule[[#This Row],[Year (Range)]]&gt;=$C$7)*(monthly_mortgage_schedule[[#This Row],[Year (Range)]]&lt;=$C$9),AI282,NA())</f>
        <v>302552.69074234564</v>
      </c>
      <c r="W282" s="187">
        <f t="shared" si="31"/>
        <v>168265.76698644334</v>
      </c>
      <c r="X282" s="4">
        <f t="shared" si="34"/>
        <v>785.24024593673562</v>
      </c>
      <c r="Y282" s="4">
        <f t="shared" si="32"/>
        <v>2314.7862495266727</v>
      </c>
      <c r="Z282" s="4">
        <f>_xlfn.IFNA(INDEX(additional_mortgage_payments[],MATCH(monthly_mortgage_schedule[[#This Row],[Month]],additional_mortgage_payments[Month],0),3),0)</f>
        <v>0</v>
      </c>
      <c r="AA282" s="4">
        <f>AA281+monthly_mortgage_schedule[[#This Row],[Extra Payments Towards Equity]]</f>
        <v>34750</v>
      </c>
      <c r="AB282" s="4">
        <f>AB281+monthly_mortgage_schedule[[#This Row],[Principal With Extra Principal Payments]]+monthly_mortgage_schedule[[#This Row],[Extra Payments Towards Equity]]</f>
        <v>374049.01926308323</v>
      </c>
      <c r="AC282" s="4">
        <f>monthly_mortgage_schedule[[#This Row],[Cumulative Principal With Extra Principal Payments]]+down_payment_dollars</f>
        <v>434049.01926308323</v>
      </c>
      <c r="AD282" s="200">
        <f t="shared" si="29"/>
        <v>0</v>
      </c>
      <c r="AE28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165950.98073691668</v>
      </c>
      <c r="AF282" s="187">
        <f t="shared" si="35"/>
        <v>239429.99577284465</v>
      </c>
      <c r="AG282" s="4">
        <f>IF(monthly_mortgage_schedule[[#This Row],[Loan Balance (BOY) Without Extra Principal Payments]]&gt;0,monthly_mortgage_schedule[[#This Row],[Loan Balance (BOY) Without Extra Principal Payments]]*monthly_interest_rate,0)</f>
        <v>1117.3399802732752</v>
      </c>
      <c r="AH282" s="4">
        <f>IF(monthly_mortgage_schedule[[#This Row],[Loan Balance (BOY) Without Extra Principal Payments]]&gt;1,monthly_principal_and_interest-monthly_mortgage_schedule[[#This Row],[Interest Without Extra Principal Payments]],0)</f>
        <v>1982.6865151901329</v>
      </c>
      <c r="AI282" s="4">
        <f>AI281+monthly_mortgage_schedule[[#This Row],[Principal Without Extra Principal Payments]]</f>
        <v>302552.69074234564</v>
      </c>
      <c r="AJ282" s="4">
        <f>monthly_mortgage_schedule[[#This Row],[Cumulative Principal Without Extra Principal Payments]]+down_payment_dollars</f>
        <v>362552.69074234564</v>
      </c>
      <c r="AK282" s="200">
        <f t="shared" si="30"/>
        <v>0</v>
      </c>
      <c r="AL28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237447.3092576545</v>
      </c>
      <c r="AN282" s="196">
        <f>monthly_mortgage_schedule[[#This Row],[Extra Payments Towards Equity]]+AN281+IF(monthly_mortgage_schedule[[#This Row],[Interest With Extra Principal Payments]]&gt;0,monthly_mortgage_schedule[[#This Row],[Interest Without Extra Principal Payments]]-monthly_mortgage_schedule[[#This Row],[Interest With Extra Principal Payments]],0)</f>
        <v>71496.328520737734</v>
      </c>
      <c r="AO282" s="4">
        <f>AO281+IF(monthly_mortgage_schedule[[#This Row],[Interest With Extra Principal Payments]]&gt;0,monthly_mortgage_schedule[[#This Row],[Interest Without Extra Principal Payments]]-monthly_mortgage_schedule[[#This Row],[Interest With Extra Principal Payments]],0)</f>
        <v>36746.328520737705</v>
      </c>
      <c r="AP282" s="4">
        <f>AP281+monthly_mortgage_schedule[[#This Row],[PMI Without Extra Principal Payments]]-monthly_mortgage_schedule[[#This Row],[PMI with Additional Payments]]</f>
        <v>990</v>
      </c>
      <c r="AQ282" s="4">
        <f t="shared" si="33"/>
        <v>99675.156332370592</v>
      </c>
      <c r="AR282" s="4">
        <f>Table60[[#This Row],[Cumulative Investments]]-monthly_mortgage_schedule[[#This Row],[Cumulative Extra Payments Towards Equity]]</f>
        <v>64925.156332370592</v>
      </c>
    </row>
    <row r="283" spans="9:44" x14ac:dyDescent="0.25">
      <c r="I283">
        <v>266</v>
      </c>
      <c r="J283">
        <f>IF(MOD(ROWS($J$18:J282),12)=0,J282+1,J282)</f>
        <v>2044</v>
      </c>
      <c r="K283" s="198">
        <f>IF(M283="#N/A",NA(),monthly_mortgage_schedule[[#This Row],[Month]])</f>
        <v>266</v>
      </c>
      <c r="L283" s="198">
        <f>IF(monthly_mortgage_schedule[[#This Row],[Calendar Year]]&gt;=$C$7,monthly_mortgage_schedule[[#This Row],[Calendar Year]],NA())</f>
        <v>2044</v>
      </c>
      <c r="M283" s="199">
        <f>IF((monthly_mortgage_schedule[[#This Row],[Calendar Year]]&gt;=$C$7)*(monthly_mortgage_schedule[[#This Row],[Calendar Year]]&lt;=$C$9),monthly_mortgage_schedule[[#This Row],[Begin Year (Range)]],NA())</f>
        <v>2044</v>
      </c>
      <c r="N283" s="214">
        <f>IF((monthly_mortgage_schedule[[#This Row],[Year (Range)]]&gt;=$C$7)*(monthly_mortgage_schedule[[#This Row],[Year (Range)]]&lt;=$C$9),X283,NA())</f>
        <v>774.43791010561119</v>
      </c>
      <c r="O283" s="214">
        <f>IF((monthly_mortgage_schedule[[#This Row],[Year (Range)]]&gt;=$C$7)*(monthly_mortgage_schedule[[#This Row],[Year (Range)]]&lt;=$C$9),Y283,NA())</f>
        <v>2325.588585357797</v>
      </c>
      <c r="P283" s="214">
        <f>IF((monthly_mortgage_schedule[[#This Row],[Year (Range)]]&gt;=$C$7)*(monthly_mortgage_schedule[[#This Row],[Year (Range)]]&lt;=$C$9),AG283,NA())</f>
        <v>1108.0874432023877</v>
      </c>
      <c r="Q283" s="214">
        <f>IF((monthly_mortgage_schedule[[#This Row],[Year (Range)]]&gt;=$C$7)*(monthly_mortgage_schedule[[#This Row],[Year (Range)]]&lt;=$C$9),AH283,NA())</f>
        <v>1991.9390522610204</v>
      </c>
      <c r="R283" s="214">
        <f>IF((monthly_mortgage_schedule[[#This Row],[Year (Range)]]&gt;=$C$7)*(monthly_mortgage_schedule[[#This Row],[Year (Range)]]&lt;=$C$9),AO283,NA())</f>
        <v>37079.978053834478</v>
      </c>
      <c r="S283" s="214">
        <f>IF((monthly_mortgage_schedule[[#This Row],[Year (Range)]]&gt;=$C$7)*(monthly_mortgage_schedule[[#This Row],[Year (Range)]]&lt;=$C$9),AP283,NA())</f>
        <v>990</v>
      </c>
      <c r="T283" s="214">
        <f>IF((monthly_mortgage_schedule[[#This Row],[Year (Range)]]&gt;=$C$7)*(monthly_mortgage_schedule[[#This Row],[Year (Range)]]&lt;=$C$9),AR283,NA())</f>
        <v>65589.657374586386</v>
      </c>
      <c r="U283" s="214">
        <f>IF((monthly_mortgage_schedule[[#This Row],[Year (Range)]]&gt;=$C$7)*(monthly_mortgage_schedule[[#This Row],[Year (Range)]]&lt;=$C$9),AB283,NA())</f>
        <v>376374.60784844105</v>
      </c>
      <c r="V283" s="214">
        <f>IF((monthly_mortgage_schedule[[#This Row],[Year (Range)]]&gt;=$C$7)*(monthly_mortgage_schedule[[#This Row],[Year (Range)]]&lt;=$C$9),AI283,NA())</f>
        <v>304544.62979460665</v>
      </c>
      <c r="W283" s="187">
        <f t="shared" si="31"/>
        <v>165950.98073691668</v>
      </c>
      <c r="X283" s="4">
        <f t="shared" si="34"/>
        <v>774.43791010561119</v>
      </c>
      <c r="Y283" s="4">
        <f t="shared" si="32"/>
        <v>2325.588585357797</v>
      </c>
      <c r="Z283" s="4">
        <f>_xlfn.IFNA(INDEX(additional_mortgage_payments[],MATCH(monthly_mortgage_schedule[[#This Row],[Month]],additional_mortgage_payments[Month],0),3),0)</f>
        <v>0</v>
      </c>
      <c r="AA283" s="4">
        <f>AA282+monthly_mortgage_schedule[[#This Row],[Extra Payments Towards Equity]]</f>
        <v>34750</v>
      </c>
      <c r="AB283" s="4">
        <f>AB282+monthly_mortgage_schedule[[#This Row],[Principal With Extra Principal Payments]]+monthly_mortgage_schedule[[#This Row],[Extra Payments Towards Equity]]</f>
        <v>376374.60784844105</v>
      </c>
      <c r="AC283" s="4">
        <f>monthly_mortgage_schedule[[#This Row],[Cumulative Principal With Extra Principal Payments]]+down_payment_dollars</f>
        <v>436374.60784844105</v>
      </c>
      <c r="AD283" s="200">
        <f t="shared" si="29"/>
        <v>0</v>
      </c>
      <c r="AE28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163625.39215155889</v>
      </c>
      <c r="AF283" s="187">
        <f t="shared" si="35"/>
        <v>237447.3092576545</v>
      </c>
      <c r="AG283" s="4">
        <f>IF(monthly_mortgage_schedule[[#This Row],[Loan Balance (BOY) Without Extra Principal Payments]]&gt;0,monthly_mortgage_schedule[[#This Row],[Loan Balance (BOY) Without Extra Principal Payments]]*monthly_interest_rate,0)</f>
        <v>1108.0874432023877</v>
      </c>
      <c r="AH283" s="4">
        <f>IF(monthly_mortgage_schedule[[#This Row],[Loan Balance (BOY) Without Extra Principal Payments]]&gt;1,monthly_principal_and_interest-monthly_mortgage_schedule[[#This Row],[Interest Without Extra Principal Payments]],0)</f>
        <v>1991.9390522610204</v>
      </c>
      <c r="AI283" s="4">
        <f>AI282+monthly_mortgage_schedule[[#This Row],[Principal Without Extra Principal Payments]]</f>
        <v>304544.62979460665</v>
      </c>
      <c r="AJ283" s="4">
        <f>monthly_mortgage_schedule[[#This Row],[Cumulative Principal Without Extra Principal Payments]]+down_payment_dollars</f>
        <v>364544.62979460665</v>
      </c>
      <c r="AK283" s="200">
        <f t="shared" si="30"/>
        <v>0</v>
      </c>
      <c r="AL28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235455.37020539347</v>
      </c>
      <c r="AN283" s="196">
        <f>monthly_mortgage_schedule[[#This Row],[Extra Payments Towards Equity]]+AN282+IF(monthly_mortgage_schedule[[#This Row],[Interest With Extra Principal Payments]]&gt;0,monthly_mortgage_schedule[[#This Row],[Interest Without Extra Principal Payments]]-monthly_mortgage_schedule[[#This Row],[Interest With Extra Principal Payments]],0)</f>
        <v>71829.978053834508</v>
      </c>
      <c r="AO283" s="4">
        <f>AO282+IF(monthly_mortgage_schedule[[#This Row],[Interest With Extra Principal Payments]]&gt;0,monthly_mortgage_schedule[[#This Row],[Interest Without Extra Principal Payments]]-monthly_mortgage_schedule[[#This Row],[Interest With Extra Principal Payments]],0)</f>
        <v>37079.978053834478</v>
      </c>
      <c r="AP283" s="4">
        <f>AP282+monthly_mortgage_schedule[[#This Row],[PMI Without Extra Principal Payments]]-monthly_mortgage_schedule[[#This Row],[PMI with Additional Payments]]</f>
        <v>990</v>
      </c>
      <c r="AQ283" s="4">
        <f t="shared" si="33"/>
        <v>100339.65737458639</v>
      </c>
      <c r="AR283" s="4">
        <f>Table60[[#This Row],[Cumulative Investments]]-monthly_mortgage_schedule[[#This Row],[Cumulative Extra Payments Towards Equity]]</f>
        <v>65589.657374586386</v>
      </c>
    </row>
    <row r="284" spans="9:44" x14ac:dyDescent="0.25">
      <c r="I284">
        <v>267</v>
      </c>
      <c r="J284">
        <f>IF(MOD(ROWS($J$18:J283),12)=0,J283+1,J283)</f>
        <v>2044</v>
      </c>
      <c r="K284" s="198">
        <f>IF(M284="#N/A",NA(),monthly_mortgage_schedule[[#This Row],[Month]])</f>
        <v>267</v>
      </c>
      <c r="L284" s="198">
        <f>IF(monthly_mortgage_schedule[[#This Row],[Calendar Year]]&gt;=$C$7,monthly_mortgage_schedule[[#This Row],[Calendar Year]],NA())</f>
        <v>2044</v>
      </c>
      <c r="M284" s="199">
        <f>IF((monthly_mortgage_schedule[[#This Row],[Calendar Year]]&gt;=$C$7)*(monthly_mortgage_schedule[[#This Row],[Calendar Year]]&lt;=$C$9),monthly_mortgage_schedule[[#This Row],[Begin Year (Range)]],NA())</f>
        <v>2044</v>
      </c>
      <c r="N284" s="214">
        <f>IF((monthly_mortgage_schedule[[#This Row],[Year (Range)]]&gt;=$C$7)*(monthly_mortgage_schedule[[#This Row],[Year (Range)]]&lt;=$C$9),X284,NA())</f>
        <v>763.58516337394155</v>
      </c>
      <c r="O284" s="214">
        <f>IF((monthly_mortgage_schedule[[#This Row],[Year (Range)]]&gt;=$C$7)*(monthly_mortgage_schedule[[#This Row],[Year (Range)]]&lt;=$C$9),Y284,NA())</f>
        <v>2336.4413320894664</v>
      </c>
      <c r="P284" s="214">
        <f>IF((monthly_mortgage_schedule[[#This Row],[Year (Range)]]&gt;=$C$7)*(monthly_mortgage_schedule[[#This Row],[Year (Range)]]&lt;=$C$9),AG284,NA())</f>
        <v>1098.7917276251696</v>
      </c>
      <c r="Q284" s="214">
        <f>IF((monthly_mortgage_schedule[[#This Row],[Year (Range)]]&gt;=$C$7)*(monthly_mortgage_schedule[[#This Row],[Year (Range)]]&lt;=$C$9),AH284,NA())</f>
        <v>2001.2347678382384</v>
      </c>
      <c r="R284" s="214">
        <f>IF((monthly_mortgage_schedule[[#This Row],[Year (Range)]]&gt;=$C$7)*(monthly_mortgage_schedule[[#This Row],[Year (Range)]]&lt;=$C$9),AO284,NA())</f>
        <v>37415.18461808571</v>
      </c>
      <c r="S284" s="214">
        <f>IF((monthly_mortgage_schedule[[#This Row],[Year (Range)]]&gt;=$C$7)*(monthly_mortgage_schedule[[#This Row],[Year (Range)]]&lt;=$C$9),AP284,NA())</f>
        <v>990</v>
      </c>
      <c r="T284" s="214">
        <f>IF((monthly_mortgage_schedule[[#This Row],[Year (Range)]]&gt;=$C$7)*(monthly_mortgage_schedule[[#This Row],[Year (Range)]]&lt;=$C$9),AR284,NA())</f>
        <v>66258.588423750291</v>
      </c>
      <c r="U284" s="214">
        <f>IF((monthly_mortgage_schedule[[#This Row],[Year (Range)]]&gt;=$C$7)*(monthly_mortgage_schedule[[#This Row],[Year (Range)]]&lt;=$C$9),AB284,NA())</f>
        <v>378711.04918053054</v>
      </c>
      <c r="V284" s="214">
        <f>IF((monthly_mortgage_schedule[[#This Row],[Year (Range)]]&gt;=$C$7)*(monthly_mortgage_schedule[[#This Row],[Year (Range)]]&lt;=$C$9),AI284,NA())</f>
        <v>306545.86456244491</v>
      </c>
      <c r="W284" s="187">
        <f t="shared" si="31"/>
        <v>163625.39215155889</v>
      </c>
      <c r="X284" s="4">
        <f t="shared" si="34"/>
        <v>763.58516337394155</v>
      </c>
      <c r="Y284" s="4">
        <f t="shared" si="32"/>
        <v>2336.4413320894664</v>
      </c>
      <c r="Z284" s="4">
        <f>_xlfn.IFNA(INDEX(additional_mortgage_payments[],MATCH(monthly_mortgage_schedule[[#This Row],[Month]],additional_mortgage_payments[Month],0),3),0)</f>
        <v>0</v>
      </c>
      <c r="AA284" s="4">
        <f>AA283+monthly_mortgage_schedule[[#This Row],[Extra Payments Towards Equity]]</f>
        <v>34750</v>
      </c>
      <c r="AB284" s="4">
        <f>AB283+monthly_mortgage_schedule[[#This Row],[Principal With Extra Principal Payments]]+monthly_mortgage_schedule[[#This Row],[Extra Payments Towards Equity]]</f>
        <v>378711.04918053054</v>
      </c>
      <c r="AC284" s="4">
        <f>monthly_mortgage_schedule[[#This Row],[Cumulative Principal With Extra Principal Payments]]+down_payment_dollars</f>
        <v>438711.04918053054</v>
      </c>
      <c r="AD284" s="200">
        <f t="shared" si="29"/>
        <v>0</v>
      </c>
      <c r="AE28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161288.95081946944</v>
      </c>
      <c r="AF284" s="187">
        <f t="shared" si="35"/>
        <v>235455.37020539347</v>
      </c>
      <c r="AG284" s="4">
        <f>IF(monthly_mortgage_schedule[[#This Row],[Loan Balance (BOY) Without Extra Principal Payments]]&gt;0,monthly_mortgage_schedule[[#This Row],[Loan Balance (BOY) Without Extra Principal Payments]]*monthly_interest_rate,0)</f>
        <v>1098.7917276251696</v>
      </c>
      <c r="AH284" s="4">
        <f>IF(monthly_mortgage_schedule[[#This Row],[Loan Balance (BOY) Without Extra Principal Payments]]&gt;1,monthly_principal_and_interest-monthly_mortgage_schedule[[#This Row],[Interest Without Extra Principal Payments]],0)</f>
        <v>2001.2347678382384</v>
      </c>
      <c r="AI284" s="4">
        <f>AI283+monthly_mortgage_schedule[[#This Row],[Principal Without Extra Principal Payments]]</f>
        <v>306545.86456244491</v>
      </c>
      <c r="AJ284" s="4">
        <f>monthly_mortgage_schedule[[#This Row],[Cumulative Principal Without Extra Principal Payments]]+down_payment_dollars</f>
        <v>366545.86456244491</v>
      </c>
      <c r="AK284" s="200">
        <f t="shared" si="30"/>
        <v>0</v>
      </c>
      <c r="AL28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233454.13543755523</v>
      </c>
      <c r="AN284" s="196">
        <f>monthly_mortgage_schedule[[#This Row],[Extra Payments Towards Equity]]+AN283+IF(monthly_mortgage_schedule[[#This Row],[Interest With Extra Principal Payments]]&gt;0,monthly_mortgage_schedule[[#This Row],[Interest Without Extra Principal Payments]]-monthly_mortgage_schedule[[#This Row],[Interest With Extra Principal Payments]],0)</f>
        <v>72165.184618085739</v>
      </c>
      <c r="AO284" s="4">
        <f>AO283+IF(monthly_mortgage_schedule[[#This Row],[Interest With Extra Principal Payments]]&gt;0,monthly_mortgage_schedule[[#This Row],[Interest Without Extra Principal Payments]]-monthly_mortgage_schedule[[#This Row],[Interest With Extra Principal Payments]],0)</f>
        <v>37415.18461808571</v>
      </c>
      <c r="AP284" s="4">
        <f>AP283+monthly_mortgage_schedule[[#This Row],[PMI Without Extra Principal Payments]]-monthly_mortgage_schedule[[#This Row],[PMI with Additional Payments]]</f>
        <v>990</v>
      </c>
      <c r="AQ284" s="4">
        <f t="shared" si="33"/>
        <v>101008.58842375029</v>
      </c>
      <c r="AR284" s="4">
        <f>Table60[[#This Row],[Cumulative Investments]]-monthly_mortgage_schedule[[#This Row],[Cumulative Extra Payments Towards Equity]]</f>
        <v>66258.588423750291</v>
      </c>
    </row>
    <row r="285" spans="9:44" x14ac:dyDescent="0.25">
      <c r="I285">
        <v>268</v>
      </c>
      <c r="J285">
        <f>IF(MOD(ROWS($J$18:J284),12)=0,J284+1,J284)</f>
        <v>2044</v>
      </c>
      <c r="K285" s="198">
        <f>IF(M285="#N/A",NA(),monthly_mortgage_schedule[[#This Row],[Month]])</f>
        <v>268</v>
      </c>
      <c r="L285" s="198">
        <f>IF(monthly_mortgage_schedule[[#This Row],[Calendar Year]]&gt;=$C$7,monthly_mortgage_schedule[[#This Row],[Calendar Year]],NA())</f>
        <v>2044</v>
      </c>
      <c r="M285" s="199">
        <f>IF((monthly_mortgage_schedule[[#This Row],[Calendar Year]]&gt;=$C$7)*(monthly_mortgage_schedule[[#This Row],[Calendar Year]]&lt;=$C$9),monthly_mortgage_schedule[[#This Row],[Begin Year (Range)]],NA())</f>
        <v>2044</v>
      </c>
      <c r="N285" s="214">
        <f>IF((monthly_mortgage_schedule[[#This Row],[Year (Range)]]&gt;=$C$7)*(monthly_mortgage_schedule[[#This Row],[Year (Range)]]&lt;=$C$9),X285,NA())</f>
        <v>752.68177049085739</v>
      </c>
      <c r="O285" s="214">
        <f>IF((monthly_mortgage_schedule[[#This Row],[Year (Range)]]&gt;=$C$7)*(monthly_mortgage_schedule[[#This Row],[Year (Range)]]&lt;=$C$9),Y285,NA())</f>
        <v>2347.3447249725505</v>
      </c>
      <c r="P285" s="214">
        <f>IF((monthly_mortgage_schedule[[#This Row],[Year (Range)]]&gt;=$C$7)*(monthly_mortgage_schedule[[#This Row],[Year (Range)]]&lt;=$C$9),AG285,NA())</f>
        <v>1089.4526320419245</v>
      </c>
      <c r="Q285" s="214">
        <f>IF((monthly_mortgage_schedule[[#This Row],[Year (Range)]]&gt;=$C$7)*(monthly_mortgage_schedule[[#This Row],[Year (Range)]]&lt;=$C$9),AH285,NA())</f>
        <v>2010.5738634214836</v>
      </c>
      <c r="R285" s="214">
        <f>IF((monthly_mortgage_schedule[[#This Row],[Year (Range)]]&gt;=$C$7)*(monthly_mortgage_schedule[[#This Row],[Year (Range)]]&lt;=$C$9),AO285,NA())</f>
        <v>37751.955479636774</v>
      </c>
      <c r="S285" s="214">
        <f>IF((monthly_mortgage_schedule[[#This Row],[Year (Range)]]&gt;=$C$7)*(monthly_mortgage_schedule[[#This Row],[Year (Range)]]&lt;=$C$9),AP285,NA())</f>
        <v>990</v>
      </c>
      <c r="T285" s="214">
        <f>IF((monthly_mortgage_schedule[[#This Row],[Year (Range)]]&gt;=$C$7)*(monthly_mortgage_schedule[[#This Row],[Year (Range)]]&lt;=$C$9),AR285,NA())</f>
        <v>66931.979013241958</v>
      </c>
      <c r="U285" s="214">
        <f>IF((monthly_mortgage_schedule[[#This Row],[Year (Range)]]&gt;=$C$7)*(monthly_mortgage_schedule[[#This Row],[Year (Range)]]&lt;=$C$9),AB285,NA())</f>
        <v>381058.39390550309</v>
      </c>
      <c r="V285" s="214">
        <f>IF((monthly_mortgage_schedule[[#This Row],[Year (Range)]]&gt;=$C$7)*(monthly_mortgage_schedule[[#This Row],[Year (Range)]]&lt;=$C$9),AI285,NA())</f>
        <v>308556.43842586642</v>
      </c>
      <c r="W285" s="187">
        <f t="shared" si="31"/>
        <v>161288.95081946944</v>
      </c>
      <c r="X285" s="4">
        <f t="shared" si="34"/>
        <v>752.68177049085739</v>
      </c>
      <c r="Y285" s="4">
        <f t="shared" si="32"/>
        <v>2347.3447249725505</v>
      </c>
      <c r="Z285" s="4">
        <f>_xlfn.IFNA(INDEX(additional_mortgage_payments[],MATCH(monthly_mortgage_schedule[[#This Row],[Month]],additional_mortgage_payments[Month],0),3),0)</f>
        <v>0</v>
      </c>
      <c r="AA285" s="4">
        <f>AA284+monthly_mortgage_schedule[[#This Row],[Extra Payments Towards Equity]]</f>
        <v>34750</v>
      </c>
      <c r="AB285" s="4">
        <f>AB284+monthly_mortgage_schedule[[#This Row],[Principal With Extra Principal Payments]]+monthly_mortgage_schedule[[#This Row],[Extra Payments Towards Equity]]</f>
        <v>381058.39390550309</v>
      </c>
      <c r="AC285" s="4">
        <f>monthly_mortgage_schedule[[#This Row],[Cumulative Principal With Extra Principal Payments]]+down_payment_dollars</f>
        <v>441058.39390550309</v>
      </c>
      <c r="AD285" s="200">
        <f t="shared" si="29"/>
        <v>0</v>
      </c>
      <c r="AE28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158941.60609449688</v>
      </c>
      <c r="AF285" s="187">
        <f t="shared" si="35"/>
        <v>233454.13543755523</v>
      </c>
      <c r="AG285" s="4">
        <f>IF(monthly_mortgage_schedule[[#This Row],[Loan Balance (BOY) Without Extra Principal Payments]]&gt;0,monthly_mortgage_schedule[[#This Row],[Loan Balance (BOY) Without Extra Principal Payments]]*monthly_interest_rate,0)</f>
        <v>1089.4526320419245</v>
      </c>
      <c r="AH285" s="4">
        <f>IF(monthly_mortgage_schedule[[#This Row],[Loan Balance (BOY) Without Extra Principal Payments]]&gt;1,monthly_principal_and_interest-monthly_mortgage_schedule[[#This Row],[Interest Without Extra Principal Payments]],0)</f>
        <v>2010.5738634214836</v>
      </c>
      <c r="AI285" s="4">
        <f>AI284+monthly_mortgage_schedule[[#This Row],[Principal Without Extra Principal Payments]]</f>
        <v>308556.43842586642</v>
      </c>
      <c r="AJ285" s="4">
        <f>monthly_mortgage_schedule[[#This Row],[Cumulative Principal Without Extra Principal Payments]]+down_payment_dollars</f>
        <v>368556.43842586642</v>
      </c>
      <c r="AK285" s="200">
        <f t="shared" si="30"/>
        <v>0</v>
      </c>
      <c r="AL28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231443.56157413375</v>
      </c>
      <c r="AN285" s="196">
        <f>monthly_mortgage_schedule[[#This Row],[Extra Payments Towards Equity]]+AN284+IF(monthly_mortgage_schedule[[#This Row],[Interest With Extra Principal Payments]]&gt;0,monthly_mortgage_schedule[[#This Row],[Interest Without Extra Principal Payments]]-monthly_mortgage_schedule[[#This Row],[Interest With Extra Principal Payments]],0)</f>
        <v>72501.955479636803</v>
      </c>
      <c r="AO285" s="4">
        <f>AO284+IF(monthly_mortgage_schedule[[#This Row],[Interest With Extra Principal Payments]]&gt;0,monthly_mortgage_schedule[[#This Row],[Interest Without Extra Principal Payments]]-monthly_mortgage_schedule[[#This Row],[Interest With Extra Principal Payments]],0)</f>
        <v>37751.955479636774</v>
      </c>
      <c r="AP285" s="4">
        <f>AP284+monthly_mortgage_schedule[[#This Row],[PMI Without Extra Principal Payments]]-monthly_mortgage_schedule[[#This Row],[PMI with Additional Payments]]</f>
        <v>990</v>
      </c>
      <c r="AQ285" s="4">
        <f t="shared" si="33"/>
        <v>101681.97901324196</v>
      </c>
      <c r="AR285" s="4">
        <f>Table60[[#This Row],[Cumulative Investments]]-monthly_mortgage_schedule[[#This Row],[Cumulative Extra Payments Towards Equity]]</f>
        <v>66931.979013241958</v>
      </c>
    </row>
    <row r="286" spans="9:44" x14ac:dyDescent="0.25">
      <c r="I286">
        <v>269</v>
      </c>
      <c r="J286">
        <f>IF(MOD(ROWS($J$18:J285),12)=0,J285+1,J285)</f>
        <v>2044</v>
      </c>
      <c r="K286" s="198">
        <f>IF(M286="#N/A",NA(),monthly_mortgage_schedule[[#This Row],[Month]])</f>
        <v>269</v>
      </c>
      <c r="L286" s="198">
        <f>IF(monthly_mortgage_schedule[[#This Row],[Calendar Year]]&gt;=$C$7,monthly_mortgage_schedule[[#This Row],[Calendar Year]],NA())</f>
        <v>2044</v>
      </c>
      <c r="M286" s="199">
        <f>IF((monthly_mortgage_schedule[[#This Row],[Calendar Year]]&gt;=$C$7)*(monthly_mortgage_schedule[[#This Row],[Calendar Year]]&lt;=$C$9),monthly_mortgage_schedule[[#This Row],[Begin Year (Range)]],NA())</f>
        <v>2044</v>
      </c>
      <c r="N286" s="214">
        <f>IF((monthly_mortgage_schedule[[#This Row],[Year (Range)]]&gt;=$C$7)*(monthly_mortgage_schedule[[#This Row],[Year (Range)]]&lt;=$C$9),X286,NA())</f>
        <v>741.7274951076522</v>
      </c>
      <c r="O286" s="214">
        <f>IF((monthly_mortgage_schedule[[#This Row],[Year (Range)]]&gt;=$C$7)*(monthly_mortgage_schedule[[#This Row],[Year (Range)]]&lt;=$C$9),Y286,NA())</f>
        <v>2358.2990003557561</v>
      </c>
      <c r="P286" s="214">
        <f>IF((monthly_mortgage_schedule[[#This Row],[Year (Range)]]&gt;=$C$7)*(monthly_mortgage_schedule[[#This Row],[Year (Range)]]&lt;=$C$9),AG286,NA())</f>
        <v>1080.0699540126243</v>
      </c>
      <c r="Q286" s="214">
        <f>IF((monthly_mortgage_schedule[[#This Row],[Year (Range)]]&gt;=$C$7)*(monthly_mortgage_schedule[[#This Row],[Year (Range)]]&lt;=$C$9),AH286,NA())</f>
        <v>2019.9565414507838</v>
      </c>
      <c r="R286" s="214">
        <f>IF((monthly_mortgage_schedule[[#This Row],[Year (Range)]]&gt;=$C$7)*(monthly_mortgage_schedule[[#This Row],[Year (Range)]]&lt;=$C$9),AO286,NA())</f>
        <v>38090.297938541749</v>
      </c>
      <c r="S286" s="214">
        <f>IF((monthly_mortgage_schedule[[#This Row],[Year (Range)]]&gt;=$C$7)*(monthly_mortgage_schedule[[#This Row],[Year (Range)]]&lt;=$C$9),AP286,NA())</f>
        <v>990</v>
      </c>
      <c r="T286" s="214">
        <f>IF((monthly_mortgage_schedule[[#This Row],[Year (Range)]]&gt;=$C$7)*(monthly_mortgage_schedule[[#This Row],[Year (Range)]]&lt;=$C$9),AR286,NA())</f>
        <v>67609.858873330231</v>
      </c>
      <c r="U286" s="214">
        <f>IF((monthly_mortgage_schedule[[#This Row],[Year (Range)]]&gt;=$C$7)*(monthly_mortgage_schedule[[#This Row],[Year (Range)]]&lt;=$C$9),AB286,NA())</f>
        <v>383416.69290585886</v>
      </c>
      <c r="V286" s="214">
        <f>IF((monthly_mortgage_schedule[[#This Row],[Year (Range)]]&gt;=$C$7)*(monthly_mortgage_schedule[[#This Row],[Year (Range)]]&lt;=$C$9),AI286,NA())</f>
        <v>310576.39496731723</v>
      </c>
      <c r="W286" s="187">
        <f t="shared" si="31"/>
        <v>158941.60609449688</v>
      </c>
      <c r="X286" s="4">
        <f t="shared" si="34"/>
        <v>741.7274951076522</v>
      </c>
      <c r="Y286" s="4">
        <f t="shared" si="32"/>
        <v>2358.2990003557561</v>
      </c>
      <c r="Z286" s="4">
        <f>_xlfn.IFNA(INDEX(additional_mortgage_payments[],MATCH(monthly_mortgage_schedule[[#This Row],[Month]],additional_mortgage_payments[Month],0),3),0)</f>
        <v>0</v>
      </c>
      <c r="AA286" s="4">
        <f>AA285+monthly_mortgage_schedule[[#This Row],[Extra Payments Towards Equity]]</f>
        <v>34750</v>
      </c>
      <c r="AB286" s="4">
        <f>AB285+monthly_mortgage_schedule[[#This Row],[Principal With Extra Principal Payments]]+monthly_mortgage_schedule[[#This Row],[Extra Payments Towards Equity]]</f>
        <v>383416.69290585886</v>
      </c>
      <c r="AC286" s="4">
        <f>monthly_mortgage_schedule[[#This Row],[Cumulative Principal With Extra Principal Payments]]+down_payment_dollars</f>
        <v>443416.69290585886</v>
      </c>
      <c r="AD286" s="200">
        <f t="shared" si="29"/>
        <v>0</v>
      </c>
      <c r="AE28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156583.30709414111</v>
      </c>
      <c r="AF286" s="187">
        <f t="shared" si="35"/>
        <v>231443.56157413375</v>
      </c>
      <c r="AG286" s="4">
        <f>IF(monthly_mortgage_schedule[[#This Row],[Loan Balance (BOY) Without Extra Principal Payments]]&gt;0,monthly_mortgage_schedule[[#This Row],[Loan Balance (BOY) Without Extra Principal Payments]]*monthly_interest_rate,0)</f>
        <v>1080.0699540126243</v>
      </c>
      <c r="AH286" s="4">
        <f>IF(monthly_mortgage_schedule[[#This Row],[Loan Balance (BOY) Without Extra Principal Payments]]&gt;1,monthly_principal_and_interest-monthly_mortgage_schedule[[#This Row],[Interest Without Extra Principal Payments]],0)</f>
        <v>2019.9565414507838</v>
      </c>
      <c r="AI286" s="4">
        <f>AI285+monthly_mortgage_schedule[[#This Row],[Principal Without Extra Principal Payments]]</f>
        <v>310576.39496731723</v>
      </c>
      <c r="AJ286" s="4">
        <f>monthly_mortgage_schedule[[#This Row],[Cumulative Principal Without Extra Principal Payments]]+down_payment_dollars</f>
        <v>370576.39496731723</v>
      </c>
      <c r="AK286" s="200">
        <f t="shared" si="30"/>
        <v>0</v>
      </c>
      <c r="AL28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229423.60503268297</v>
      </c>
      <c r="AN286" s="196">
        <f>monthly_mortgage_schedule[[#This Row],[Extra Payments Towards Equity]]+AN285+IF(monthly_mortgage_schedule[[#This Row],[Interest With Extra Principal Payments]]&gt;0,monthly_mortgage_schedule[[#This Row],[Interest Without Extra Principal Payments]]-monthly_mortgage_schedule[[#This Row],[Interest With Extra Principal Payments]],0)</f>
        <v>72840.297938541771</v>
      </c>
      <c r="AO286" s="4">
        <f>AO285+IF(monthly_mortgage_schedule[[#This Row],[Interest With Extra Principal Payments]]&gt;0,monthly_mortgage_schedule[[#This Row],[Interest Without Extra Principal Payments]]-monthly_mortgage_schedule[[#This Row],[Interest With Extra Principal Payments]],0)</f>
        <v>38090.297938541749</v>
      </c>
      <c r="AP286" s="4">
        <f>AP285+monthly_mortgage_schedule[[#This Row],[PMI Without Extra Principal Payments]]-monthly_mortgage_schedule[[#This Row],[PMI with Additional Payments]]</f>
        <v>990</v>
      </c>
      <c r="AQ286" s="4">
        <f t="shared" si="33"/>
        <v>102359.85887333023</v>
      </c>
      <c r="AR286" s="4">
        <f>Table60[[#This Row],[Cumulative Investments]]-monthly_mortgage_schedule[[#This Row],[Cumulative Extra Payments Towards Equity]]</f>
        <v>67609.858873330231</v>
      </c>
    </row>
    <row r="287" spans="9:44" x14ac:dyDescent="0.25">
      <c r="I287">
        <v>270</v>
      </c>
      <c r="J287">
        <f>IF(MOD(ROWS($J$18:J286),12)=0,J286+1,J286)</f>
        <v>2044</v>
      </c>
      <c r="K287" s="198">
        <f>IF(M287="#N/A",NA(),monthly_mortgage_schedule[[#This Row],[Month]])</f>
        <v>270</v>
      </c>
      <c r="L287" s="198">
        <f>IF(monthly_mortgage_schedule[[#This Row],[Calendar Year]]&gt;=$C$7,monthly_mortgage_schedule[[#This Row],[Calendar Year]],NA())</f>
        <v>2044</v>
      </c>
      <c r="M287" s="199">
        <f>IF((monthly_mortgage_schedule[[#This Row],[Calendar Year]]&gt;=$C$7)*(monthly_mortgage_schedule[[#This Row],[Calendar Year]]&lt;=$C$9),monthly_mortgage_schedule[[#This Row],[Begin Year (Range)]],NA())</f>
        <v>2044</v>
      </c>
      <c r="N287" s="214">
        <f>IF((monthly_mortgage_schedule[[#This Row],[Year (Range)]]&gt;=$C$7)*(monthly_mortgage_schedule[[#This Row],[Year (Range)]]&lt;=$C$9),X287,NA())</f>
        <v>730.72209977265857</v>
      </c>
      <c r="O287" s="214">
        <f>IF((monthly_mortgage_schedule[[#This Row],[Year (Range)]]&gt;=$C$7)*(monthly_mortgage_schedule[[#This Row],[Year (Range)]]&lt;=$C$9),Y287,NA())</f>
        <v>2369.3043956907495</v>
      </c>
      <c r="P287" s="214">
        <f>IF((monthly_mortgage_schedule[[#This Row],[Year (Range)]]&gt;=$C$7)*(monthly_mortgage_schedule[[#This Row],[Year (Range)]]&lt;=$C$9),AG287,NA())</f>
        <v>1070.6434901525206</v>
      </c>
      <c r="Q287" s="214">
        <f>IF((monthly_mortgage_schedule[[#This Row],[Year (Range)]]&gt;=$C$7)*(monthly_mortgage_schedule[[#This Row],[Year (Range)]]&lt;=$C$9),AH287,NA())</f>
        <v>2029.3830053108875</v>
      </c>
      <c r="R287" s="214">
        <f>IF((monthly_mortgage_schedule[[#This Row],[Year (Range)]]&gt;=$C$7)*(monthly_mortgage_schedule[[#This Row],[Year (Range)]]&lt;=$C$9),AO287,NA())</f>
        <v>38430.219328921608</v>
      </c>
      <c r="S287" s="214">
        <f>IF((monthly_mortgage_schedule[[#This Row],[Year (Range)]]&gt;=$C$7)*(monthly_mortgage_schedule[[#This Row],[Year (Range)]]&lt;=$C$9),AP287,NA())</f>
        <v>990</v>
      </c>
      <c r="T287" s="214">
        <f>IF((monthly_mortgage_schedule[[#This Row],[Year (Range)]]&gt;=$C$7)*(monthly_mortgage_schedule[[#This Row],[Year (Range)]]&lt;=$C$9),AR287,NA())</f>
        <v>68295.591265819094</v>
      </c>
      <c r="U287" s="214">
        <f>IF((monthly_mortgage_schedule[[#This Row],[Year (Range)]]&gt;=$C$7)*(monthly_mortgage_schedule[[#This Row],[Year (Range)]]&lt;=$C$9),AB287,NA())</f>
        <v>386285.99730154959</v>
      </c>
      <c r="V287" s="214">
        <f>IF((monthly_mortgage_schedule[[#This Row],[Year (Range)]]&gt;=$C$7)*(monthly_mortgage_schedule[[#This Row],[Year (Range)]]&lt;=$C$9),AI287,NA())</f>
        <v>312605.77797262813</v>
      </c>
      <c r="W287" s="187">
        <f t="shared" si="31"/>
        <v>156583.30709414111</v>
      </c>
      <c r="X287" s="4">
        <f t="shared" si="34"/>
        <v>730.72209977265857</v>
      </c>
      <c r="Y287" s="4">
        <f t="shared" si="32"/>
        <v>2369.3043956907495</v>
      </c>
      <c r="Z287" s="4">
        <f>_xlfn.IFNA(INDEX(additional_mortgage_payments[],MATCH(monthly_mortgage_schedule[[#This Row],[Month]],additional_mortgage_payments[Month],0),3),0)</f>
        <v>500</v>
      </c>
      <c r="AA287" s="4">
        <f>AA286+monthly_mortgage_schedule[[#This Row],[Extra Payments Towards Equity]]</f>
        <v>35250</v>
      </c>
      <c r="AB287" s="4">
        <f>AB286+monthly_mortgage_schedule[[#This Row],[Principal With Extra Principal Payments]]+monthly_mortgage_schedule[[#This Row],[Extra Payments Towards Equity]]</f>
        <v>386285.99730154959</v>
      </c>
      <c r="AC287" s="4">
        <f>monthly_mortgage_schedule[[#This Row],[Cumulative Principal With Extra Principal Payments]]+down_payment_dollars</f>
        <v>446285.99730154959</v>
      </c>
      <c r="AD287" s="200">
        <f t="shared" si="29"/>
        <v>0</v>
      </c>
      <c r="AE28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153714.00269845035</v>
      </c>
      <c r="AF287" s="187">
        <f t="shared" si="35"/>
        <v>229423.60503268297</v>
      </c>
      <c r="AG287" s="4">
        <f>IF(monthly_mortgage_schedule[[#This Row],[Loan Balance (BOY) Without Extra Principal Payments]]&gt;0,monthly_mortgage_schedule[[#This Row],[Loan Balance (BOY) Without Extra Principal Payments]]*monthly_interest_rate,0)</f>
        <v>1070.6434901525206</v>
      </c>
      <c r="AH287" s="4">
        <f>IF(monthly_mortgage_schedule[[#This Row],[Loan Balance (BOY) Without Extra Principal Payments]]&gt;1,monthly_principal_and_interest-monthly_mortgage_schedule[[#This Row],[Interest Without Extra Principal Payments]],0)</f>
        <v>2029.3830053108875</v>
      </c>
      <c r="AI287" s="4">
        <f>AI286+monthly_mortgage_schedule[[#This Row],[Principal Without Extra Principal Payments]]</f>
        <v>312605.77797262813</v>
      </c>
      <c r="AJ287" s="4">
        <f>monthly_mortgage_schedule[[#This Row],[Cumulative Principal Without Extra Principal Payments]]+down_payment_dollars</f>
        <v>372605.77797262813</v>
      </c>
      <c r="AK287" s="200">
        <f t="shared" si="30"/>
        <v>0</v>
      </c>
      <c r="AL28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227394.22202737207</v>
      </c>
      <c r="AN287" s="196">
        <f>monthly_mortgage_schedule[[#This Row],[Extra Payments Towards Equity]]+AN286+IF(monthly_mortgage_schedule[[#This Row],[Interest With Extra Principal Payments]]&gt;0,monthly_mortgage_schedule[[#This Row],[Interest Without Extra Principal Payments]]-monthly_mortgage_schedule[[#This Row],[Interest With Extra Principal Payments]],0)</f>
        <v>73680.219328921637</v>
      </c>
      <c r="AO287" s="4">
        <f>AO286+IF(monthly_mortgage_schedule[[#This Row],[Interest With Extra Principal Payments]]&gt;0,monthly_mortgage_schedule[[#This Row],[Interest Without Extra Principal Payments]]-monthly_mortgage_schedule[[#This Row],[Interest With Extra Principal Payments]],0)</f>
        <v>38430.219328921608</v>
      </c>
      <c r="AP287" s="4">
        <f>AP286+monthly_mortgage_schedule[[#This Row],[PMI Without Extra Principal Payments]]-monthly_mortgage_schedule[[#This Row],[PMI with Additional Payments]]</f>
        <v>990</v>
      </c>
      <c r="AQ287" s="4">
        <f t="shared" si="33"/>
        <v>103545.59126581909</v>
      </c>
      <c r="AR287" s="4">
        <f>Table60[[#This Row],[Cumulative Investments]]-monthly_mortgage_schedule[[#This Row],[Cumulative Extra Payments Towards Equity]]</f>
        <v>68295.591265819094</v>
      </c>
    </row>
    <row r="288" spans="9:44" x14ac:dyDescent="0.25">
      <c r="I288">
        <v>271</v>
      </c>
      <c r="J288">
        <f>IF(MOD(ROWS($J$18:J287),12)=0,J287+1,J287)</f>
        <v>2044</v>
      </c>
      <c r="K288" s="198">
        <f>IF(M288="#N/A",NA(),monthly_mortgage_schedule[[#This Row],[Month]])</f>
        <v>271</v>
      </c>
      <c r="L288" s="198">
        <f>IF(monthly_mortgage_schedule[[#This Row],[Calendar Year]]&gt;=$C$7,monthly_mortgage_schedule[[#This Row],[Calendar Year]],NA())</f>
        <v>2044</v>
      </c>
      <c r="M288" s="199">
        <f>IF((monthly_mortgage_schedule[[#This Row],[Calendar Year]]&gt;=$C$7)*(monthly_mortgage_schedule[[#This Row],[Calendar Year]]&lt;=$C$9),monthly_mortgage_schedule[[#This Row],[Begin Year (Range)]],NA())</f>
        <v>2044</v>
      </c>
      <c r="N288" s="214">
        <f>IF((monthly_mortgage_schedule[[#This Row],[Year (Range)]]&gt;=$C$7)*(monthly_mortgage_schedule[[#This Row],[Year (Range)]]&lt;=$C$9),X288,NA())</f>
        <v>717.33201259276836</v>
      </c>
      <c r="O288" s="214">
        <f>IF((monthly_mortgage_schedule[[#This Row],[Year (Range)]]&gt;=$C$7)*(monthly_mortgage_schedule[[#This Row],[Year (Range)]]&lt;=$C$9),Y288,NA())</f>
        <v>2382.6944828706396</v>
      </c>
      <c r="P288" s="214">
        <f>IF((monthly_mortgage_schedule[[#This Row],[Year (Range)]]&gt;=$C$7)*(monthly_mortgage_schedule[[#This Row],[Year (Range)]]&lt;=$C$9),AG288,NA())</f>
        <v>1061.1730361277364</v>
      </c>
      <c r="Q288" s="214">
        <f>IF((monthly_mortgage_schedule[[#This Row],[Year (Range)]]&gt;=$C$7)*(monthly_mortgage_schedule[[#This Row],[Year (Range)]]&lt;=$C$9),AH288,NA())</f>
        <v>2038.8534593356717</v>
      </c>
      <c r="R288" s="214">
        <f>IF((monthly_mortgage_schedule[[#This Row],[Year (Range)]]&gt;=$C$7)*(monthly_mortgage_schedule[[#This Row],[Year (Range)]]&lt;=$C$9),AO288,NA())</f>
        <v>38774.060352456574</v>
      </c>
      <c r="S288" s="214">
        <f>IF((monthly_mortgage_schedule[[#This Row],[Year (Range)]]&gt;=$C$7)*(monthly_mortgage_schedule[[#This Row],[Year (Range)]]&lt;=$C$9),AP288,NA())</f>
        <v>990</v>
      </c>
      <c r="T288" s="214">
        <f>IF((monthly_mortgage_schedule[[#This Row],[Year (Range)]]&gt;=$C$7)*(monthly_mortgage_schedule[[#This Row],[Year (Range)]]&lt;=$C$9),AR288,NA())</f>
        <v>68985.895207591209</v>
      </c>
      <c r="U288" s="214">
        <f>IF((monthly_mortgage_schedule[[#This Row],[Year (Range)]]&gt;=$C$7)*(monthly_mortgage_schedule[[#This Row],[Year (Range)]]&lt;=$C$9),AB288,NA())</f>
        <v>388668.69178442023</v>
      </c>
      <c r="V288" s="214">
        <f>IF((monthly_mortgage_schedule[[#This Row],[Year (Range)]]&gt;=$C$7)*(monthly_mortgage_schedule[[#This Row],[Year (Range)]]&lt;=$C$9),AI288,NA())</f>
        <v>314644.63143196382</v>
      </c>
      <c r="W288" s="187">
        <f t="shared" si="31"/>
        <v>153714.00269845035</v>
      </c>
      <c r="X288" s="4">
        <f t="shared" si="34"/>
        <v>717.33201259276836</v>
      </c>
      <c r="Y288" s="4">
        <f t="shared" si="32"/>
        <v>2382.6944828706396</v>
      </c>
      <c r="Z288" s="4">
        <f>_xlfn.IFNA(INDEX(additional_mortgage_payments[],MATCH(monthly_mortgage_schedule[[#This Row],[Month]],additional_mortgage_payments[Month],0),3),0)</f>
        <v>0</v>
      </c>
      <c r="AA288" s="4">
        <f>AA287+monthly_mortgage_schedule[[#This Row],[Extra Payments Towards Equity]]</f>
        <v>35250</v>
      </c>
      <c r="AB288" s="4">
        <f>AB287+monthly_mortgage_schedule[[#This Row],[Principal With Extra Principal Payments]]+monthly_mortgage_schedule[[#This Row],[Extra Payments Towards Equity]]</f>
        <v>388668.69178442023</v>
      </c>
      <c r="AC288" s="4">
        <f>monthly_mortgage_schedule[[#This Row],[Cumulative Principal With Extra Principal Payments]]+down_payment_dollars</f>
        <v>448668.69178442023</v>
      </c>
      <c r="AD288" s="200">
        <f t="shared" si="29"/>
        <v>0</v>
      </c>
      <c r="AE28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151331.30821557972</v>
      </c>
      <c r="AF288" s="187">
        <f t="shared" si="35"/>
        <v>227394.22202737207</v>
      </c>
      <c r="AG288" s="4">
        <f>IF(monthly_mortgage_schedule[[#This Row],[Loan Balance (BOY) Without Extra Principal Payments]]&gt;0,monthly_mortgage_schedule[[#This Row],[Loan Balance (BOY) Without Extra Principal Payments]]*monthly_interest_rate,0)</f>
        <v>1061.1730361277364</v>
      </c>
      <c r="AH288" s="4">
        <f>IF(monthly_mortgage_schedule[[#This Row],[Loan Balance (BOY) Without Extra Principal Payments]]&gt;1,monthly_principal_and_interest-monthly_mortgage_schedule[[#This Row],[Interest Without Extra Principal Payments]],0)</f>
        <v>2038.8534593356717</v>
      </c>
      <c r="AI288" s="4">
        <f>AI287+monthly_mortgage_schedule[[#This Row],[Principal Without Extra Principal Payments]]</f>
        <v>314644.63143196382</v>
      </c>
      <c r="AJ288" s="4">
        <f>monthly_mortgage_schedule[[#This Row],[Cumulative Principal Without Extra Principal Payments]]+down_payment_dollars</f>
        <v>374644.63143196382</v>
      </c>
      <c r="AK288" s="200">
        <f t="shared" si="30"/>
        <v>0</v>
      </c>
      <c r="AL28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225355.36856803641</v>
      </c>
      <c r="AN288" s="196">
        <f>monthly_mortgage_schedule[[#This Row],[Extra Payments Towards Equity]]+AN287+IF(monthly_mortgage_schedule[[#This Row],[Interest With Extra Principal Payments]]&gt;0,monthly_mortgage_schedule[[#This Row],[Interest Without Extra Principal Payments]]-monthly_mortgage_schedule[[#This Row],[Interest With Extra Principal Payments]],0)</f>
        <v>74024.06035245661</v>
      </c>
      <c r="AO288" s="4">
        <f>AO287+IF(monthly_mortgage_schedule[[#This Row],[Interest With Extra Principal Payments]]&gt;0,monthly_mortgage_schedule[[#This Row],[Interest Without Extra Principal Payments]]-monthly_mortgage_schedule[[#This Row],[Interest With Extra Principal Payments]],0)</f>
        <v>38774.060352456574</v>
      </c>
      <c r="AP288" s="4">
        <f>AP287+monthly_mortgage_schedule[[#This Row],[PMI Without Extra Principal Payments]]-monthly_mortgage_schedule[[#This Row],[PMI with Additional Payments]]</f>
        <v>990</v>
      </c>
      <c r="AQ288" s="4">
        <f t="shared" si="33"/>
        <v>104235.89520759121</v>
      </c>
      <c r="AR288" s="4">
        <f>Table60[[#This Row],[Cumulative Investments]]-monthly_mortgage_schedule[[#This Row],[Cumulative Extra Payments Towards Equity]]</f>
        <v>68985.895207591209</v>
      </c>
    </row>
    <row r="289" spans="9:44" x14ac:dyDescent="0.25">
      <c r="I289">
        <v>272</v>
      </c>
      <c r="J289">
        <f>IF(MOD(ROWS($J$18:J288),12)=0,J288+1,J288)</f>
        <v>2044</v>
      </c>
      <c r="K289" s="198">
        <f>IF(M289="#N/A",NA(),monthly_mortgage_schedule[[#This Row],[Month]])</f>
        <v>272</v>
      </c>
      <c r="L289" s="198">
        <f>IF(monthly_mortgage_schedule[[#This Row],[Calendar Year]]&gt;=$C$7,monthly_mortgage_schedule[[#This Row],[Calendar Year]],NA())</f>
        <v>2044</v>
      </c>
      <c r="M289" s="199">
        <f>IF((monthly_mortgage_schedule[[#This Row],[Calendar Year]]&gt;=$C$7)*(monthly_mortgage_schedule[[#This Row],[Calendar Year]]&lt;=$C$9),monthly_mortgage_schedule[[#This Row],[Begin Year (Range)]],NA())</f>
        <v>2044</v>
      </c>
      <c r="N289" s="214">
        <f>IF((monthly_mortgage_schedule[[#This Row],[Year (Range)]]&gt;=$C$7)*(monthly_mortgage_schedule[[#This Row],[Year (Range)]]&lt;=$C$9),X289,NA())</f>
        <v>706.21277167270546</v>
      </c>
      <c r="O289" s="214">
        <f>IF((monthly_mortgage_schedule[[#This Row],[Year (Range)]]&gt;=$C$7)*(monthly_mortgage_schedule[[#This Row],[Year (Range)]]&lt;=$C$9),Y289,NA())</f>
        <v>2393.8137237907026</v>
      </c>
      <c r="P289" s="214">
        <f>IF((monthly_mortgage_schedule[[#This Row],[Year (Range)]]&gt;=$C$7)*(monthly_mortgage_schedule[[#This Row],[Year (Range)]]&lt;=$C$9),AG289,NA())</f>
        <v>1051.6583866508367</v>
      </c>
      <c r="Q289" s="214">
        <f>IF((monthly_mortgage_schedule[[#This Row],[Year (Range)]]&gt;=$C$7)*(monthly_mortgage_schedule[[#This Row],[Year (Range)]]&lt;=$C$9),AH289,NA())</f>
        <v>2048.3681088125713</v>
      </c>
      <c r="R289" s="214">
        <f>IF((monthly_mortgage_schedule[[#This Row],[Year (Range)]]&gt;=$C$7)*(monthly_mortgage_schedule[[#This Row],[Year (Range)]]&lt;=$C$9),AO289,NA())</f>
        <v>39119.505967434707</v>
      </c>
      <c r="S289" s="214">
        <f>IF((monthly_mortgage_schedule[[#This Row],[Year (Range)]]&gt;=$C$7)*(monthly_mortgage_schedule[[#This Row],[Year (Range)]]&lt;=$C$9),AP289,NA())</f>
        <v>990</v>
      </c>
      <c r="T289" s="214">
        <f>IF((monthly_mortgage_schedule[[#This Row],[Year (Range)]]&gt;=$C$7)*(monthly_mortgage_schedule[[#This Row],[Year (Range)]]&lt;=$C$9),AR289,NA())</f>
        <v>69680.801175641813</v>
      </c>
      <c r="U289" s="214">
        <f>IF((monthly_mortgage_schedule[[#This Row],[Year (Range)]]&gt;=$C$7)*(monthly_mortgage_schedule[[#This Row],[Year (Range)]]&lt;=$C$9),AB289,NA())</f>
        <v>391062.50550821092</v>
      </c>
      <c r="V289" s="214">
        <f>IF((monthly_mortgage_schedule[[#This Row],[Year (Range)]]&gt;=$C$7)*(monthly_mortgage_schedule[[#This Row],[Year (Range)]]&lt;=$C$9),AI289,NA())</f>
        <v>316692.99954077636</v>
      </c>
      <c r="W289" s="187">
        <f t="shared" si="31"/>
        <v>151331.30821557972</v>
      </c>
      <c r="X289" s="4">
        <f t="shared" si="34"/>
        <v>706.21277167270546</v>
      </c>
      <c r="Y289" s="4">
        <f t="shared" si="32"/>
        <v>2393.8137237907026</v>
      </c>
      <c r="Z289" s="4">
        <f>_xlfn.IFNA(INDEX(additional_mortgage_payments[],MATCH(monthly_mortgage_schedule[[#This Row],[Month]],additional_mortgage_payments[Month],0),3),0)</f>
        <v>0</v>
      </c>
      <c r="AA289" s="4">
        <f>AA288+monthly_mortgage_schedule[[#This Row],[Extra Payments Towards Equity]]</f>
        <v>35250</v>
      </c>
      <c r="AB289" s="4">
        <f>AB288+monthly_mortgage_schedule[[#This Row],[Principal With Extra Principal Payments]]+monthly_mortgage_schedule[[#This Row],[Extra Payments Towards Equity]]</f>
        <v>391062.50550821092</v>
      </c>
      <c r="AC289" s="4">
        <f>monthly_mortgage_schedule[[#This Row],[Cumulative Principal With Extra Principal Payments]]+down_payment_dollars</f>
        <v>451062.50550821092</v>
      </c>
      <c r="AD289" s="200">
        <f t="shared" si="29"/>
        <v>0</v>
      </c>
      <c r="AE28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148937.49449178902</v>
      </c>
      <c r="AF289" s="187">
        <f t="shared" si="35"/>
        <v>225355.36856803641</v>
      </c>
      <c r="AG289" s="4">
        <f>IF(monthly_mortgage_schedule[[#This Row],[Loan Balance (BOY) Without Extra Principal Payments]]&gt;0,monthly_mortgage_schedule[[#This Row],[Loan Balance (BOY) Without Extra Principal Payments]]*monthly_interest_rate,0)</f>
        <v>1051.6583866508367</v>
      </c>
      <c r="AH289" s="4">
        <f>IF(monthly_mortgage_schedule[[#This Row],[Loan Balance (BOY) Without Extra Principal Payments]]&gt;1,monthly_principal_and_interest-monthly_mortgage_schedule[[#This Row],[Interest Without Extra Principal Payments]],0)</f>
        <v>2048.3681088125713</v>
      </c>
      <c r="AI289" s="4">
        <f>AI288+monthly_mortgage_schedule[[#This Row],[Principal Without Extra Principal Payments]]</f>
        <v>316692.99954077636</v>
      </c>
      <c r="AJ289" s="4">
        <f>monthly_mortgage_schedule[[#This Row],[Cumulative Principal Without Extra Principal Payments]]+down_payment_dollars</f>
        <v>376692.99954077636</v>
      </c>
      <c r="AK289" s="200">
        <f t="shared" si="30"/>
        <v>0</v>
      </c>
      <c r="AL28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223307.00045922384</v>
      </c>
      <c r="AN289" s="196">
        <f>monthly_mortgage_schedule[[#This Row],[Extra Payments Towards Equity]]+AN288+IF(monthly_mortgage_schedule[[#This Row],[Interest With Extra Principal Payments]]&gt;0,monthly_mortgage_schedule[[#This Row],[Interest Without Extra Principal Payments]]-monthly_mortgage_schedule[[#This Row],[Interest With Extra Principal Payments]],0)</f>
        <v>74369.505967434743</v>
      </c>
      <c r="AO289" s="4">
        <f>AO288+IF(monthly_mortgage_schedule[[#This Row],[Interest With Extra Principal Payments]]&gt;0,monthly_mortgage_schedule[[#This Row],[Interest Without Extra Principal Payments]]-monthly_mortgage_schedule[[#This Row],[Interest With Extra Principal Payments]],0)</f>
        <v>39119.505967434707</v>
      </c>
      <c r="AP289" s="4">
        <f>AP288+monthly_mortgage_schedule[[#This Row],[PMI Without Extra Principal Payments]]-monthly_mortgage_schedule[[#This Row],[PMI with Additional Payments]]</f>
        <v>990</v>
      </c>
      <c r="AQ289" s="4">
        <f t="shared" si="33"/>
        <v>104930.80117564181</v>
      </c>
      <c r="AR289" s="4">
        <f>Table60[[#This Row],[Cumulative Investments]]-monthly_mortgage_schedule[[#This Row],[Cumulative Extra Payments Towards Equity]]</f>
        <v>69680.801175641813</v>
      </c>
    </row>
    <row r="290" spans="9:44" x14ac:dyDescent="0.25">
      <c r="I290">
        <v>273</v>
      </c>
      <c r="J290">
        <f>IF(MOD(ROWS($J$18:J289),12)=0,J289+1,J289)</f>
        <v>2044</v>
      </c>
      <c r="K290" s="198">
        <f>IF(M290="#N/A",NA(),monthly_mortgage_schedule[[#This Row],[Month]])</f>
        <v>273</v>
      </c>
      <c r="L290" s="198">
        <f>IF(monthly_mortgage_schedule[[#This Row],[Calendar Year]]&gt;=$C$7,monthly_mortgage_schedule[[#This Row],[Calendar Year]],NA())</f>
        <v>2044</v>
      </c>
      <c r="M290" s="199">
        <f>IF((monthly_mortgage_schedule[[#This Row],[Calendar Year]]&gt;=$C$7)*(monthly_mortgage_schedule[[#This Row],[Calendar Year]]&lt;=$C$9),monthly_mortgage_schedule[[#This Row],[Begin Year (Range)]],NA())</f>
        <v>2044</v>
      </c>
      <c r="N290" s="214">
        <f>IF((monthly_mortgage_schedule[[#This Row],[Year (Range)]]&gt;=$C$7)*(monthly_mortgage_schedule[[#This Row],[Year (Range)]]&lt;=$C$9),X290,NA())</f>
        <v>695.04164096168222</v>
      </c>
      <c r="O290" s="214">
        <f>IF((monthly_mortgage_schedule[[#This Row],[Year (Range)]]&gt;=$C$7)*(monthly_mortgage_schedule[[#This Row],[Year (Range)]]&lt;=$C$9),Y290,NA())</f>
        <v>2404.9848545017257</v>
      </c>
      <c r="P290" s="214">
        <f>IF((monthly_mortgage_schedule[[#This Row],[Year (Range)]]&gt;=$C$7)*(monthly_mortgage_schedule[[#This Row],[Year (Range)]]&lt;=$C$9),AG290,NA())</f>
        <v>1042.099335476378</v>
      </c>
      <c r="Q290" s="214">
        <f>IF((monthly_mortgage_schedule[[#This Row],[Year (Range)]]&gt;=$C$7)*(monthly_mortgage_schedule[[#This Row],[Year (Range)]]&lt;=$C$9),AH290,NA())</f>
        <v>2057.9271599870299</v>
      </c>
      <c r="R290" s="214">
        <f>IF((monthly_mortgage_schedule[[#This Row],[Year (Range)]]&gt;=$C$7)*(monthly_mortgage_schedule[[#This Row],[Year (Range)]]&lt;=$C$9),AO290,NA())</f>
        <v>39466.563661949403</v>
      </c>
      <c r="S290" s="214">
        <f>IF((monthly_mortgage_schedule[[#This Row],[Year (Range)]]&gt;=$C$7)*(monthly_mortgage_schedule[[#This Row],[Year (Range)]]&lt;=$C$9),AP290,NA())</f>
        <v>990</v>
      </c>
      <c r="T290" s="214">
        <f>IF((monthly_mortgage_schedule[[#This Row],[Year (Range)]]&gt;=$C$7)*(monthly_mortgage_schedule[[#This Row],[Year (Range)]]&lt;=$C$9),AR290,NA())</f>
        <v>70380.339850146091</v>
      </c>
      <c r="U290" s="214">
        <f>IF((monthly_mortgage_schedule[[#This Row],[Year (Range)]]&gt;=$C$7)*(monthly_mortgage_schedule[[#This Row],[Year (Range)]]&lt;=$C$9),AB290,NA())</f>
        <v>393467.49036271265</v>
      </c>
      <c r="V290" s="214">
        <f>IF((monthly_mortgage_schedule[[#This Row],[Year (Range)]]&gt;=$C$7)*(monthly_mortgage_schedule[[#This Row],[Year (Range)]]&lt;=$C$9),AI290,NA())</f>
        <v>318750.9267007634</v>
      </c>
      <c r="W290" s="187">
        <f t="shared" si="31"/>
        <v>148937.49449178902</v>
      </c>
      <c r="X290" s="4">
        <f t="shared" si="34"/>
        <v>695.04164096168222</v>
      </c>
      <c r="Y290" s="4">
        <f t="shared" si="32"/>
        <v>2404.9848545017257</v>
      </c>
      <c r="Z290" s="4">
        <f>_xlfn.IFNA(INDEX(additional_mortgage_payments[],MATCH(monthly_mortgage_schedule[[#This Row],[Month]],additional_mortgage_payments[Month],0),3),0)</f>
        <v>0</v>
      </c>
      <c r="AA290" s="4">
        <f>AA289+monthly_mortgage_schedule[[#This Row],[Extra Payments Towards Equity]]</f>
        <v>35250</v>
      </c>
      <c r="AB290" s="4">
        <f>AB289+monthly_mortgage_schedule[[#This Row],[Principal With Extra Principal Payments]]+monthly_mortgage_schedule[[#This Row],[Extra Payments Towards Equity]]</f>
        <v>393467.49036271265</v>
      </c>
      <c r="AC290" s="4">
        <f>monthly_mortgage_schedule[[#This Row],[Cumulative Principal With Extra Principal Payments]]+down_payment_dollars</f>
        <v>453467.49036271265</v>
      </c>
      <c r="AD290" s="200">
        <f t="shared" si="29"/>
        <v>0</v>
      </c>
      <c r="AE29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146532.50963728729</v>
      </c>
      <c r="AF290" s="187">
        <f t="shared" si="35"/>
        <v>223307.00045922384</v>
      </c>
      <c r="AG290" s="4">
        <f>IF(monthly_mortgage_schedule[[#This Row],[Loan Balance (BOY) Without Extra Principal Payments]]&gt;0,monthly_mortgage_schedule[[#This Row],[Loan Balance (BOY) Without Extra Principal Payments]]*monthly_interest_rate,0)</f>
        <v>1042.099335476378</v>
      </c>
      <c r="AH290" s="4">
        <f>IF(monthly_mortgage_schedule[[#This Row],[Loan Balance (BOY) Without Extra Principal Payments]]&gt;1,monthly_principal_and_interest-monthly_mortgage_schedule[[#This Row],[Interest Without Extra Principal Payments]],0)</f>
        <v>2057.9271599870299</v>
      </c>
      <c r="AI290" s="4">
        <f>AI289+monthly_mortgage_schedule[[#This Row],[Principal Without Extra Principal Payments]]</f>
        <v>318750.9267007634</v>
      </c>
      <c r="AJ290" s="4">
        <f>monthly_mortgage_schedule[[#This Row],[Cumulative Principal Without Extra Principal Payments]]+down_payment_dollars</f>
        <v>378750.9267007634</v>
      </c>
      <c r="AK290" s="200">
        <f t="shared" si="30"/>
        <v>0</v>
      </c>
      <c r="AL29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221249.0732992368</v>
      </c>
      <c r="AN290" s="196">
        <f>monthly_mortgage_schedule[[#This Row],[Extra Payments Towards Equity]]+AN289+IF(monthly_mortgage_schedule[[#This Row],[Interest With Extra Principal Payments]]&gt;0,monthly_mortgage_schedule[[#This Row],[Interest Without Extra Principal Payments]]-monthly_mortgage_schedule[[#This Row],[Interest With Extra Principal Payments]],0)</f>
        <v>74716.563661949433</v>
      </c>
      <c r="AO290" s="4">
        <f>AO289+IF(monthly_mortgage_schedule[[#This Row],[Interest With Extra Principal Payments]]&gt;0,monthly_mortgage_schedule[[#This Row],[Interest Without Extra Principal Payments]]-monthly_mortgage_schedule[[#This Row],[Interest With Extra Principal Payments]],0)</f>
        <v>39466.563661949403</v>
      </c>
      <c r="AP290" s="4">
        <f>AP289+monthly_mortgage_schedule[[#This Row],[PMI Without Extra Principal Payments]]-monthly_mortgage_schedule[[#This Row],[PMI with Additional Payments]]</f>
        <v>990</v>
      </c>
      <c r="AQ290" s="4">
        <f t="shared" si="33"/>
        <v>105630.33985014609</v>
      </c>
      <c r="AR290" s="4">
        <f>Table60[[#This Row],[Cumulative Investments]]-monthly_mortgage_schedule[[#This Row],[Cumulative Extra Payments Towards Equity]]</f>
        <v>70380.339850146091</v>
      </c>
    </row>
    <row r="291" spans="9:44" x14ac:dyDescent="0.25">
      <c r="I291">
        <v>274</v>
      </c>
      <c r="J291">
        <f>IF(MOD(ROWS($J$18:J290),12)=0,J290+1,J290)</f>
        <v>2044</v>
      </c>
      <c r="K291" s="198">
        <f>IF(M291="#N/A",NA(),monthly_mortgage_schedule[[#This Row],[Month]])</f>
        <v>274</v>
      </c>
      <c r="L291" s="198">
        <f>IF(monthly_mortgage_schedule[[#This Row],[Calendar Year]]&gt;=$C$7,monthly_mortgage_schedule[[#This Row],[Calendar Year]],NA())</f>
        <v>2044</v>
      </c>
      <c r="M291" s="199">
        <f>IF((monthly_mortgage_schedule[[#This Row],[Calendar Year]]&gt;=$C$7)*(monthly_mortgage_schedule[[#This Row],[Calendar Year]]&lt;=$C$9),monthly_mortgage_schedule[[#This Row],[Begin Year (Range)]],NA())</f>
        <v>2044</v>
      </c>
      <c r="N291" s="214">
        <f>IF((monthly_mortgage_schedule[[#This Row],[Year (Range)]]&gt;=$C$7)*(monthly_mortgage_schedule[[#This Row],[Year (Range)]]&lt;=$C$9),X291,NA())</f>
        <v>683.81837830734071</v>
      </c>
      <c r="O291" s="214">
        <f>IF((monthly_mortgage_schedule[[#This Row],[Year (Range)]]&gt;=$C$7)*(monthly_mortgage_schedule[[#This Row],[Year (Range)]]&lt;=$C$9),Y291,NA())</f>
        <v>2416.2081171560676</v>
      </c>
      <c r="P291" s="214">
        <f>IF((monthly_mortgage_schedule[[#This Row],[Year (Range)]]&gt;=$C$7)*(monthly_mortgage_schedule[[#This Row],[Year (Range)]]&lt;=$C$9),AG291,NA())</f>
        <v>1032.4956753964384</v>
      </c>
      <c r="Q291" s="214">
        <f>IF((monthly_mortgage_schedule[[#This Row],[Year (Range)]]&gt;=$C$7)*(monthly_mortgage_schedule[[#This Row],[Year (Range)]]&lt;=$C$9),AH291,NA())</f>
        <v>2067.5308200669697</v>
      </c>
      <c r="R291" s="214">
        <f>IF((monthly_mortgage_schedule[[#This Row],[Year (Range)]]&gt;=$C$7)*(monthly_mortgage_schedule[[#This Row],[Year (Range)]]&lt;=$C$9),AO291,NA())</f>
        <v>39815.2409590385</v>
      </c>
      <c r="S291" s="214">
        <f>IF((monthly_mortgage_schedule[[#This Row],[Year (Range)]]&gt;=$C$7)*(monthly_mortgage_schedule[[#This Row],[Year (Range)]]&lt;=$C$9),AP291,NA())</f>
        <v>990</v>
      </c>
      <c r="T291" s="214">
        <f>IF((monthly_mortgage_schedule[[#This Row],[Year (Range)]]&gt;=$C$7)*(monthly_mortgage_schedule[[#This Row],[Year (Range)]]&lt;=$C$9),AR291,NA())</f>
        <v>71084.542115813718</v>
      </c>
      <c r="U291" s="214">
        <f>IF((monthly_mortgage_schedule[[#This Row],[Year (Range)]]&gt;=$C$7)*(monthly_mortgage_schedule[[#This Row],[Year (Range)]]&lt;=$C$9),AB291,NA())</f>
        <v>395883.6984798687</v>
      </c>
      <c r="V291" s="214">
        <f>IF((monthly_mortgage_schedule[[#This Row],[Year (Range)]]&gt;=$C$7)*(monthly_mortgage_schedule[[#This Row],[Year (Range)]]&lt;=$C$9),AI291,NA())</f>
        <v>320818.45752083039</v>
      </c>
      <c r="W291" s="187">
        <f t="shared" si="31"/>
        <v>146532.50963728729</v>
      </c>
      <c r="X291" s="4">
        <f t="shared" si="34"/>
        <v>683.81837830734071</v>
      </c>
      <c r="Y291" s="4">
        <f t="shared" si="32"/>
        <v>2416.2081171560676</v>
      </c>
      <c r="Z291" s="4">
        <f>_xlfn.IFNA(INDEX(additional_mortgage_payments[],MATCH(monthly_mortgage_schedule[[#This Row],[Month]],additional_mortgage_payments[Month],0),3),0)</f>
        <v>0</v>
      </c>
      <c r="AA291" s="4">
        <f>AA290+monthly_mortgage_schedule[[#This Row],[Extra Payments Towards Equity]]</f>
        <v>35250</v>
      </c>
      <c r="AB291" s="4">
        <f>AB290+monthly_mortgage_schedule[[#This Row],[Principal With Extra Principal Payments]]+monthly_mortgage_schedule[[#This Row],[Extra Payments Towards Equity]]</f>
        <v>395883.6984798687</v>
      </c>
      <c r="AC291" s="4">
        <f>monthly_mortgage_schedule[[#This Row],[Cumulative Principal With Extra Principal Payments]]+down_payment_dollars</f>
        <v>455883.6984798687</v>
      </c>
      <c r="AD291" s="200">
        <f t="shared" si="29"/>
        <v>0</v>
      </c>
      <c r="AE29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144116.30152013124</v>
      </c>
      <c r="AF291" s="187">
        <f t="shared" si="35"/>
        <v>221249.0732992368</v>
      </c>
      <c r="AG291" s="4">
        <f>IF(monthly_mortgage_schedule[[#This Row],[Loan Balance (BOY) Without Extra Principal Payments]]&gt;0,monthly_mortgage_schedule[[#This Row],[Loan Balance (BOY) Without Extra Principal Payments]]*monthly_interest_rate,0)</f>
        <v>1032.4956753964384</v>
      </c>
      <c r="AH291" s="4">
        <f>IF(monthly_mortgage_schedule[[#This Row],[Loan Balance (BOY) Without Extra Principal Payments]]&gt;1,monthly_principal_and_interest-monthly_mortgage_schedule[[#This Row],[Interest Without Extra Principal Payments]],0)</f>
        <v>2067.5308200669697</v>
      </c>
      <c r="AI291" s="4">
        <f>AI290+monthly_mortgage_schedule[[#This Row],[Principal Without Extra Principal Payments]]</f>
        <v>320818.45752083039</v>
      </c>
      <c r="AJ291" s="4">
        <f>monthly_mortgage_schedule[[#This Row],[Cumulative Principal Without Extra Principal Payments]]+down_payment_dollars</f>
        <v>380818.45752083039</v>
      </c>
      <c r="AK291" s="200">
        <f t="shared" si="30"/>
        <v>0</v>
      </c>
      <c r="AL29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219181.54247916982</v>
      </c>
      <c r="AN291" s="196">
        <f>monthly_mortgage_schedule[[#This Row],[Extra Payments Towards Equity]]+AN290+IF(monthly_mortgage_schedule[[#This Row],[Interest With Extra Principal Payments]]&gt;0,monthly_mortgage_schedule[[#This Row],[Interest Without Extra Principal Payments]]-monthly_mortgage_schedule[[#This Row],[Interest With Extra Principal Payments]],0)</f>
        <v>75065.240959038536</v>
      </c>
      <c r="AO291" s="4">
        <f>AO290+IF(monthly_mortgage_schedule[[#This Row],[Interest With Extra Principal Payments]]&gt;0,monthly_mortgage_schedule[[#This Row],[Interest Without Extra Principal Payments]]-monthly_mortgage_schedule[[#This Row],[Interest With Extra Principal Payments]],0)</f>
        <v>39815.2409590385</v>
      </c>
      <c r="AP291" s="4">
        <f>AP290+monthly_mortgage_schedule[[#This Row],[PMI Without Extra Principal Payments]]-monthly_mortgage_schedule[[#This Row],[PMI with Additional Payments]]</f>
        <v>990</v>
      </c>
      <c r="AQ291" s="4">
        <f t="shared" si="33"/>
        <v>106334.54211581372</v>
      </c>
      <c r="AR291" s="4">
        <f>Table60[[#This Row],[Cumulative Investments]]-monthly_mortgage_schedule[[#This Row],[Cumulative Extra Payments Towards Equity]]</f>
        <v>71084.542115813718</v>
      </c>
    </row>
    <row r="292" spans="9:44" x14ac:dyDescent="0.25">
      <c r="I292">
        <v>275</v>
      </c>
      <c r="J292">
        <f>IF(MOD(ROWS($J$18:J291),12)=0,J291+1,J291)</f>
        <v>2044</v>
      </c>
      <c r="K292" s="198">
        <f>IF(M292="#N/A",NA(),monthly_mortgage_schedule[[#This Row],[Month]])</f>
        <v>275</v>
      </c>
      <c r="L292" s="198">
        <f>IF(monthly_mortgage_schedule[[#This Row],[Calendar Year]]&gt;=$C$7,monthly_mortgage_schedule[[#This Row],[Calendar Year]],NA())</f>
        <v>2044</v>
      </c>
      <c r="M292" s="199">
        <f>IF((monthly_mortgage_schedule[[#This Row],[Calendar Year]]&gt;=$C$7)*(monthly_mortgage_schedule[[#This Row],[Calendar Year]]&lt;=$C$9),monthly_mortgage_schedule[[#This Row],[Begin Year (Range)]],NA())</f>
        <v>2044</v>
      </c>
      <c r="N292" s="214">
        <f>IF((monthly_mortgage_schedule[[#This Row],[Year (Range)]]&gt;=$C$7)*(monthly_mortgage_schedule[[#This Row],[Year (Range)]]&lt;=$C$9),X292,NA())</f>
        <v>672.54274042727911</v>
      </c>
      <c r="O292" s="214">
        <f>IF((monthly_mortgage_schedule[[#This Row],[Year (Range)]]&gt;=$C$7)*(monthly_mortgage_schedule[[#This Row],[Year (Range)]]&lt;=$C$9),Y292,NA())</f>
        <v>2427.483755036129</v>
      </c>
      <c r="P292" s="214">
        <f>IF((monthly_mortgage_schedule[[#This Row],[Year (Range)]]&gt;=$C$7)*(monthly_mortgage_schedule[[#This Row],[Year (Range)]]&lt;=$C$9),AG292,NA())</f>
        <v>1022.8471982361259</v>
      </c>
      <c r="Q292" s="214">
        <f>IF((monthly_mortgage_schedule[[#This Row],[Year (Range)]]&gt;=$C$7)*(monthly_mortgage_schedule[[#This Row],[Year (Range)]]&lt;=$C$9),AH292,NA())</f>
        <v>2077.1792972272824</v>
      </c>
      <c r="R292" s="214">
        <f>IF((monthly_mortgage_schedule[[#This Row],[Year (Range)]]&gt;=$C$7)*(monthly_mortgage_schedule[[#This Row],[Year (Range)]]&lt;=$C$9),AO292,NA())</f>
        <v>40165.545416847344</v>
      </c>
      <c r="S292" s="214">
        <f>IF((monthly_mortgage_schedule[[#This Row],[Year (Range)]]&gt;=$C$7)*(monthly_mortgage_schedule[[#This Row],[Year (Range)]]&lt;=$C$9),AP292,NA())</f>
        <v>990</v>
      </c>
      <c r="T292" s="214">
        <f>IF((monthly_mortgage_schedule[[#This Row],[Year (Range)]]&gt;=$C$7)*(monthly_mortgage_schedule[[#This Row],[Year (Range)]]&lt;=$C$9),AR292,NA())</f>
        <v>71793.439063252474</v>
      </c>
      <c r="U292" s="214">
        <f>IF((monthly_mortgage_schedule[[#This Row],[Year (Range)]]&gt;=$C$7)*(monthly_mortgage_schedule[[#This Row],[Year (Range)]]&lt;=$C$9),AB292,NA())</f>
        <v>398311.18223490485</v>
      </c>
      <c r="V292" s="214">
        <f>IF((monthly_mortgage_schedule[[#This Row],[Year (Range)]]&gt;=$C$7)*(monthly_mortgage_schedule[[#This Row],[Year (Range)]]&lt;=$C$9),AI292,NA())</f>
        <v>322895.63681805768</v>
      </c>
      <c r="W292" s="187">
        <f t="shared" si="31"/>
        <v>144116.30152013124</v>
      </c>
      <c r="X292" s="4">
        <f t="shared" si="34"/>
        <v>672.54274042727911</v>
      </c>
      <c r="Y292" s="4">
        <f t="shared" si="32"/>
        <v>2427.483755036129</v>
      </c>
      <c r="Z292" s="4">
        <f>_xlfn.IFNA(INDEX(additional_mortgage_payments[],MATCH(monthly_mortgage_schedule[[#This Row],[Month]],additional_mortgage_payments[Month],0),3),0)</f>
        <v>0</v>
      </c>
      <c r="AA292" s="4">
        <f>AA291+monthly_mortgage_schedule[[#This Row],[Extra Payments Towards Equity]]</f>
        <v>35250</v>
      </c>
      <c r="AB292" s="4">
        <f>AB291+monthly_mortgage_schedule[[#This Row],[Principal With Extra Principal Payments]]+monthly_mortgage_schedule[[#This Row],[Extra Payments Towards Equity]]</f>
        <v>398311.18223490485</v>
      </c>
      <c r="AC292" s="4">
        <f>monthly_mortgage_schedule[[#This Row],[Cumulative Principal With Extra Principal Payments]]+down_payment_dollars</f>
        <v>458311.18223490485</v>
      </c>
      <c r="AD292" s="200">
        <f t="shared" si="29"/>
        <v>0</v>
      </c>
      <c r="AE29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141688.8177650951</v>
      </c>
      <c r="AF292" s="187">
        <f t="shared" si="35"/>
        <v>219181.54247916982</v>
      </c>
      <c r="AG292" s="4">
        <f>IF(monthly_mortgage_schedule[[#This Row],[Loan Balance (BOY) Without Extra Principal Payments]]&gt;0,monthly_mortgage_schedule[[#This Row],[Loan Balance (BOY) Without Extra Principal Payments]]*monthly_interest_rate,0)</f>
        <v>1022.8471982361259</v>
      </c>
      <c r="AH292" s="4">
        <f>IF(monthly_mortgage_schedule[[#This Row],[Loan Balance (BOY) Without Extra Principal Payments]]&gt;1,monthly_principal_and_interest-monthly_mortgage_schedule[[#This Row],[Interest Without Extra Principal Payments]],0)</f>
        <v>2077.1792972272824</v>
      </c>
      <c r="AI292" s="4">
        <f>AI291+monthly_mortgage_schedule[[#This Row],[Principal Without Extra Principal Payments]]</f>
        <v>322895.63681805768</v>
      </c>
      <c r="AJ292" s="4">
        <f>monthly_mortgage_schedule[[#This Row],[Cumulative Principal Without Extra Principal Payments]]+down_payment_dollars</f>
        <v>382895.63681805768</v>
      </c>
      <c r="AK292" s="200">
        <f t="shared" si="30"/>
        <v>0</v>
      </c>
      <c r="AL29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217104.36318194252</v>
      </c>
      <c r="AN292" s="196">
        <f>monthly_mortgage_schedule[[#This Row],[Extra Payments Towards Equity]]+AN291+IF(monthly_mortgage_schedule[[#This Row],[Interest With Extra Principal Payments]]&gt;0,monthly_mortgage_schedule[[#This Row],[Interest Without Extra Principal Payments]]-monthly_mortgage_schedule[[#This Row],[Interest With Extra Principal Payments]],0)</f>
        <v>75415.545416847381</v>
      </c>
      <c r="AO292" s="4">
        <f>AO291+IF(monthly_mortgage_schedule[[#This Row],[Interest With Extra Principal Payments]]&gt;0,monthly_mortgage_schedule[[#This Row],[Interest Without Extra Principal Payments]]-monthly_mortgage_schedule[[#This Row],[Interest With Extra Principal Payments]],0)</f>
        <v>40165.545416847344</v>
      </c>
      <c r="AP292" s="4">
        <f>AP291+monthly_mortgage_schedule[[#This Row],[PMI Without Extra Principal Payments]]-monthly_mortgage_schedule[[#This Row],[PMI with Additional Payments]]</f>
        <v>990</v>
      </c>
      <c r="AQ292" s="4">
        <f t="shared" si="33"/>
        <v>107043.43906325247</v>
      </c>
      <c r="AR292" s="4">
        <f>Table60[[#This Row],[Cumulative Investments]]-monthly_mortgage_schedule[[#This Row],[Cumulative Extra Payments Towards Equity]]</f>
        <v>71793.439063252474</v>
      </c>
    </row>
    <row r="293" spans="9:44" x14ac:dyDescent="0.25">
      <c r="I293">
        <v>276</v>
      </c>
      <c r="J293">
        <f>IF(MOD(ROWS($J$18:J292),12)=0,J292+1,J292)</f>
        <v>2044</v>
      </c>
      <c r="K293" s="198">
        <f>IF(M293="#N/A",NA(),monthly_mortgage_schedule[[#This Row],[Month]])</f>
        <v>276</v>
      </c>
      <c r="L293" s="198">
        <f>IF(monthly_mortgage_schedule[[#This Row],[Calendar Year]]&gt;=$C$7,monthly_mortgage_schedule[[#This Row],[Calendar Year]],NA())</f>
        <v>2044</v>
      </c>
      <c r="M293" s="199">
        <f>IF((monthly_mortgage_schedule[[#This Row],[Calendar Year]]&gt;=$C$7)*(monthly_mortgage_schedule[[#This Row],[Calendar Year]]&lt;=$C$9),monthly_mortgage_schedule[[#This Row],[Begin Year (Range)]],NA())</f>
        <v>2044</v>
      </c>
      <c r="N293" s="214">
        <f>IF((monthly_mortgage_schedule[[#This Row],[Year (Range)]]&gt;=$C$7)*(monthly_mortgage_schedule[[#This Row],[Year (Range)]]&lt;=$C$9),X293,NA())</f>
        <v>661.21448290377714</v>
      </c>
      <c r="O293" s="214">
        <f>IF((monthly_mortgage_schedule[[#This Row],[Year (Range)]]&gt;=$C$7)*(monthly_mortgage_schedule[[#This Row],[Year (Range)]]&lt;=$C$9),Y293,NA())</f>
        <v>2438.8120125596311</v>
      </c>
      <c r="P293" s="214">
        <f>IF((monthly_mortgage_schedule[[#This Row],[Year (Range)]]&gt;=$C$7)*(monthly_mortgage_schedule[[#This Row],[Year (Range)]]&lt;=$C$9),AG293,NA())</f>
        <v>1013.1536948490652</v>
      </c>
      <c r="Q293" s="214">
        <f>IF((monthly_mortgage_schedule[[#This Row],[Year (Range)]]&gt;=$C$7)*(monthly_mortgage_schedule[[#This Row],[Year (Range)]]&lt;=$C$9),AH293,NA())</f>
        <v>2086.8728006143429</v>
      </c>
      <c r="R293" s="214">
        <f>IF((monthly_mortgage_schedule[[#This Row],[Year (Range)]]&gt;=$C$7)*(monthly_mortgage_schedule[[#This Row],[Year (Range)]]&lt;=$C$9),AO293,NA())</f>
        <v>40517.484628792634</v>
      </c>
      <c r="S293" s="214">
        <f>IF((monthly_mortgage_schedule[[#This Row],[Year (Range)]]&gt;=$C$7)*(monthly_mortgage_schedule[[#This Row],[Year (Range)]]&lt;=$C$9),AP293,NA())</f>
        <v>990</v>
      </c>
      <c r="T293" s="214">
        <f>IF((monthly_mortgage_schedule[[#This Row],[Year (Range)]]&gt;=$C$7)*(monthly_mortgage_schedule[[#This Row],[Year (Range)]]&lt;=$C$9),AR293,NA())</f>
        <v>72507.061990340822</v>
      </c>
      <c r="U293" s="214">
        <f>IF((monthly_mortgage_schedule[[#This Row],[Year (Range)]]&gt;=$C$7)*(monthly_mortgage_schedule[[#This Row],[Year (Range)]]&lt;=$C$9),AB293,NA())</f>
        <v>400749.99424746446</v>
      </c>
      <c r="V293" s="214">
        <f>IF((monthly_mortgage_schedule[[#This Row],[Year (Range)]]&gt;=$C$7)*(monthly_mortgage_schedule[[#This Row],[Year (Range)]]&lt;=$C$9),AI293,NA())</f>
        <v>324982.50961867202</v>
      </c>
      <c r="W293" s="187">
        <f t="shared" si="31"/>
        <v>141688.8177650951</v>
      </c>
      <c r="X293" s="4">
        <f t="shared" si="34"/>
        <v>661.21448290377714</v>
      </c>
      <c r="Y293" s="4">
        <f t="shared" si="32"/>
        <v>2438.8120125596311</v>
      </c>
      <c r="Z293" s="4">
        <f>_xlfn.IFNA(INDEX(additional_mortgage_payments[],MATCH(monthly_mortgage_schedule[[#This Row],[Month]],additional_mortgage_payments[Month],0),3),0)</f>
        <v>0</v>
      </c>
      <c r="AA293" s="4">
        <f>AA292+monthly_mortgage_schedule[[#This Row],[Extra Payments Towards Equity]]</f>
        <v>35250</v>
      </c>
      <c r="AB293" s="4">
        <f>AB292+monthly_mortgage_schedule[[#This Row],[Principal With Extra Principal Payments]]+monthly_mortgage_schedule[[#This Row],[Extra Payments Towards Equity]]</f>
        <v>400749.99424746446</v>
      </c>
      <c r="AC293" s="4">
        <f>monthly_mortgage_schedule[[#This Row],[Cumulative Principal With Extra Principal Payments]]+down_payment_dollars</f>
        <v>460749.99424746446</v>
      </c>
      <c r="AD293" s="200">
        <f t="shared" si="29"/>
        <v>0</v>
      </c>
      <c r="AE29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139250.00575253548</v>
      </c>
      <c r="AF293" s="187">
        <f t="shared" si="35"/>
        <v>217104.36318194252</v>
      </c>
      <c r="AG293" s="4">
        <f>IF(monthly_mortgage_schedule[[#This Row],[Loan Balance (BOY) Without Extra Principal Payments]]&gt;0,monthly_mortgage_schedule[[#This Row],[Loan Balance (BOY) Without Extra Principal Payments]]*monthly_interest_rate,0)</f>
        <v>1013.1536948490652</v>
      </c>
      <c r="AH293" s="4">
        <f>IF(monthly_mortgage_schedule[[#This Row],[Loan Balance (BOY) Without Extra Principal Payments]]&gt;1,monthly_principal_and_interest-monthly_mortgage_schedule[[#This Row],[Interest Without Extra Principal Payments]],0)</f>
        <v>2086.8728006143429</v>
      </c>
      <c r="AI293" s="4">
        <f>AI292+monthly_mortgage_schedule[[#This Row],[Principal Without Extra Principal Payments]]</f>
        <v>324982.50961867202</v>
      </c>
      <c r="AJ293" s="4">
        <f>monthly_mortgage_schedule[[#This Row],[Cumulative Principal Without Extra Principal Payments]]+down_payment_dollars</f>
        <v>384982.50961867202</v>
      </c>
      <c r="AK293" s="200">
        <f t="shared" si="30"/>
        <v>0</v>
      </c>
      <c r="AL29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215017.49038132819</v>
      </c>
      <c r="AN293" s="196">
        <f>monthly_mortgage_schedule[[#This Row],[Extra Payments Towards Equity]]+AN292+IF(monthly_mortgage_schedule[[#This Row],[Interest With Extra Principal Payments]]&gt;0,monthly_mortgage_schedule[[#This Row],[Interest Without Extra Principal Payments]]-monthly_mortgage_schedule[[#This Row],[Interest With Extra Principal Payments]],0)</f>
        <v>75767.484628792663</v>
      </c>
      <c r="AO293" s="4">
        <f>AO292+IF(monthly_mortgage_schedule[[#This Row],[Interest With Extra Principal Payments]]&gt;0,monthly_mortgage_schedule[[#This Row],[Interest Without Extra Principal Payments]]-monthly_mortgage_schedule[[#This Row],[Interest With Extra Principal Payments]],0)</f>
        <v>40517.484628792634</v>
      </c>
      <c r="AP293" s="4">
        <f>AP292+monthly_mortgage_schedule[[#This Row],[PMI Without Extra Principal Payments]]-monthly_mortgage_schedule[[#This Row],[PMI with Additional Payments]]</f>
        <v>990</v>
      </c>
      <c r="AQ293" s="4">
        <f t="shared" si="33"/>
        <v>107757.06199034082</v>
      </c>
      <c r="AR293" s="4">
        <f>Table60[[#This Row],[Cumulative Investments]]-monthly_mortgage_schedule[[#This Row],[Cumulative Extra Payments Towards Equity]]</f>
        <v>72507.061990340822</v>
      </c>
    </row>
    <row r="294" spans="9:44" x14ac:dyDescent="0.25">
      <c r="I294">
        <v>277</v>
      </c>
      <c r="J294">
        <f>IF(MOD(ROWS($J$18:J293),12)=0,J293+1,J293)</f>
        <v>2045</v>
      </c>
      <c r="K294" s="198">
        <f>IF(M294="#N/A",NA(),monthly_mortgage_schedule[[#This Row],[Month]])</f>
        <v>277</v>
      </c>
      <c r="L294" s="198">
        <f>IF(monthly_mortgage_schedule[[#This Row],[Calendar Year]]&gt;=$C$7,monthly_mortgage_schedule[[#This Row],[Calendar Year]],NA())</f>
        <v>2045</v>
      </c>
      <c r="M294" s="199">
        <f>IF((monthly_mortgage_schedule[[#This Row],[Calendar Year]]&gt;=$C$7)*(monthly_mortgage_schedule[[#This Row],[Calendar Year]]&lt;=$C$9),monthly_mortgage_schedule[[#This Row],[Begin Year (Range)]],NA())</f>
        <v>2045</v>
      </c>
      <c r="N294" s="214">
        <f>IF((monthly_mortgage_schedule[[#This Row],[Year (Range)]]&gt;=$C$7)*(monthly_mortgage_schedule[[#This Row],[Year (Range)]]&lt;=$C$9),X294,NA())</f>
        <v>649.83336017849899</v>
      </c>
      <c r="O294" s="214">
        <f>IF((monthly_mortgage_schedule[[#This Row],[Year (Range)]]&gt;=$C$7)*(monthly_mortgage_schedule[[#This Row],[Year (Range)]]&lt;=$C$9),Y294,NA())</f>
        <v>2450.1931352849092</v>
      </c>
      <c r="P294" s="214">
        <f>IF((monthly_mortgage_schedule[[#This Row],[Year (Range)]]&gt;=$C$7)*(monthly_mortgage_schedule[[#This Row],[Year (Range)]]&lt;=$C$9),AG294,NA())</f>
        <v>1003.414955112865</v>
      </c>
      <c r="Q294" s="214">
        <f>IF((monthly_mortgage_schedule[[#This Row],[Year (Range)]]&gt;=$C$7)*(monthly_mortgage_schedule[[#This Row],[Year (Range)]]&lt;=$C$9),AH294,NA())</f>
        <v>2096.6115403505432</v>
      </c>
      <c r="R294" s="214">
        <f>IF((monthly_mortgage_schedule[[#This Row],[Year (Range)]]&gt;=$C$7)*(monthly_mortgage_schedule[[#This Row],[Year (Range)]]&lt;=$C$9),AO294,NA())</f>
        <v>40871.066223727001</v>
      </c>
      <c r="S294" s="214">
        <f>IF((monthly_mortgage_schedule[[#This Row],[Year (Range)]]&gt;=$C$7)*(monthly_mortgage_schedule[[#This Row],[Year (Range)]]&lt;=$C$9),AP294,NA())</f>
        <v>990</v>
      </c>
      <c r="T294" s="214">
        <f>IF((monthly_mortgage_schedule[[#This Row],[Year (Range)]]&gt;=$C$7)*(monthly_mortgage_schedule[[#This Row],[Year (Range)]]&lt;=$C$9),AR294,NA())</f>
        <v>73225.442403609748</v>
      </c>
      <c r="U294" s="214">
        <f>IF((monthly_mortgage_schedule[[#This Row],[Year (Range)]]&gt;=$C$7)*(monthly_mortgage_schedule[[#This Row],[Year (Range)]]&lt;=$C$9),AB294,NA())</f>
        <v>403200.1873827494</v>
      </c>
      <c r="V294" s="214">
        <f>IF((monthly_mortgage_schedule[[#This Row],[Year (Range)]]&gt;=$C$7)*(monthly_mortgage_schedule[[#This Row],[Year (Range)]]&lt;=$C$9),AI294,NA())</f>
        <v>327079.12115902256</v>
      </c>
      <c r="W294" s="187">
        <f t="shared" si="31"/>
        <v>139250.00575253548</v>
      </c>
      <c r="X294" s="4">
        <f t="shared" si="34"/>
        <v>649.83336017849899</v>
      </c>
      <c r="Y294" s="4">
        <f t="shared" si="32"/>
        <v>2450.1931352849092</v>
      </c>
      <c r="Z294" s="4">
        <f>_xlfn.IFNA(INDEX(additional_mortgage_payments[],MATCH(monthly_mortgage_schedule[[#This Row],[Month]],additional_mortgage_payments[Month],0),3),0)</f>
        <v>0</v>
      </c>
      <c r="AA294" s="4">
        <f>AA293+monthly_mortgage_schedule[[#This Row],[Extra Payments Towards Equity]]</f>
        <v>35250</v>
      </c>
      <c r="AB294" s="4">
        <f>AB293+monthly_mortgage_schedule[[#This Row],[Principal With Extra Principal Payments]]+monthly_mortgage_schedule[[#This Row],[Extra Payments Towards Equity]]</f>
        <v>403200.1873827494</v>
      </c>
      <c r="AC294" s="4">
        <f>monthly_mortgage_schedule[[#This Row],[Cumulative Principal With Extra Principal Payments]]+down_payment_dollars</f>
        <v>463200.1873827494</v>
      </c>
      <c r="AD294" s="200">
        <f t="shared" si="29"/>
        <v>0</v>
      </c>
      <c r="AE29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136799.81261725057</v>
      </c>
      <c r="AF294" s="187">
        <f t="shared" si="35"/>
        <v>215017.49038132819</v>
      </c>
      <c r="AG294" s="4">
        <f>IF(monthly_mortgage_schedule[[#This Row],[Loan Balance (BOY) Without Extra Principal Payments]]&gt;0,monthly_mortgage_schedule[[#This Row],[Loan Balance (BOY) Without Extra Principal Payments]]*monthly_interest_rate,0)</f>
        <v>1003.414955112865</v>
      </c>
      <c r="AH294" s="4">
        <f>IF(monthly_mortgage_schedule[[#This Row],[Loan Balance (BOY) Without Extra Principal Payments]]&gt;1,monthly_principal_and_interest-monthly_mortgage_schedule[[#This Row],[Interest Without Extra Principal Payments]],0)</f>
        <v>2096.6115403505432</v>
      </c>
      <c r="AI294" s="4">
        <f>AI293+monthly_mortgage_schedule[[#This Row],[Principal Without Extra Principal Payments]]</f>
        <v>327079.12115902256</v>
      </c>
      <c r="AJ294" s="4">
        <f>monthly_mortgage_schedule[[#This Row],[Cumulative Principal Without Extra Principal Payments]]+down_payment_dollars</f>
        <v>387079.12115902256</v>
      </c>
      <c r="AK294" s="200">
        <f t="shared" si="30"/>
        <v>0</v>
      </c>
      <c r="AL29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212920.87884097765</v>
      </c>
      <c r="AN294" s="196">
        <f>monthly_mortgage_schedule[[#This Row],[Extra Payments Towards Equity]]+AN293+IF(monthly_mortgage_schedule[[#This Row],[Interest With Extra Principal Payments]]&gt;0,monthly_mortgage_schedule[[#This Row],[Interest Without Extra Principal Payments]]-monthly_mortgage_schedule[[#This Row],[Interest With Extra Principal Payments]],0)</f>
        <v>76121.06622372703</v>
      </c>
      <c r="AO294" s="4">
        <f>AO293+IF(monthly_mortgage_schedule[[#This Row],[Interest With Extra Principal Payments]]&gt;0,monthly_mortgage_schedule[[#This Row],[Interest Without Extra Principal Payments]]-monthly_mortgage_schedule[[#This Row],[Interest With Extra Principal Payments]],0)</f>
        <v>40871.066223727001</v>
      </c>
      <c r="AP294" s="4">
        <f>AP293+monthly_mortgage_schedule[[#This Row],[PMI Without Extra Principal Payments]]-monthly_mortgage_schedule[[#This Row],[PMI with Additional Payments]]</f>
        <v>990</v>
      </c>
      <c r="AQ294" s="4">
        <f t="shared" si="33"/>
        <v>108475.44240360975</v>
      </c>
      <c r="AR294" s="4">
        <f>Table60[[#This Row],[Cumulative Investments]]-monthly_mortgage_schedule[[#This Row],[Cumulative Extra Payments Towards Equity]]</f>
        <v>73225.442403609748</v>
      </c>
    </row>
    <row r="295" spans="9:44" x14ac:dyDescent="0.25">
      <c r="I295">
        <v>278</v>
      </c>
      <c r="J295">
        <f>IF(MOD(ROWS($J$18:J294),12)=0,J294+1,J294)</f>
        <v>2045</v>
      </c>
      <c r="K295" s="198">
        <f>IF(M295="#N/A",NA(),monthly_mortgage_schedule[[#This Row],[Month]])</f>
        <v>278</v>
      </c>
      <c r="L295" s="198">
        <f>IF(monthly_mortgage_schedule[[#This Row],[Calendar Year]]&gt;=$C$7,monthly_mortgage_schedule[[#This Row],[Calendar Year]],NA())</f>
        <v>2045</v>
      </c>
      <c r="M295" s="199">
        <f>IF((monthly_mortgage_schedule[[#This Row],[Calendar Year]]&gt;=$C$7)*(monthly_mortgage_schedule[[#This Row],[Calendar Year]]&lt;=$C$9),monthly_mortgage_schedule[[#This Row],[Begin Year (Range)]],NA())</f>
        <v>2045</v>
      </c>
      <c r="N295" s="214">
        <f>IF((monthly_mortgage_schedule[[#This Row],[Year (Range)]]&gt;=$C$7)*(monthly_mortgage_schedule[[#This Row],[Year (Range)]]&lt;=$C$9),X295,NA())</f>
        <v>638.39912554716943</v>
      </c>
      <c r="O295" s="214">
        <f>IF((monthly_mortgage_schedule[[#This Row],[Year (Range)]]&gt;=$C$7)*(monthly_mortgage_schedule[[#This Row],[Year (Range)]]&lt;=$C$9),Y295,NA())</f>
        <v>2461.6273699162384</v>
      </c>
      <c r="P295" s="214">
        <f>IF((monthly_mortgage_schedule[[#This Row],[Year (Range)]]&gt;=$C$7)*(monthly_mortgage_schedule[[#This Row],[Year (Range)]]&lt;=$C$9),AG295,NA())</f>
        <v>993.63076792456241</v>
      </c>
      <c r="Q295" s="214">
        <f>IF((monthly_mortgage_schedule[[#This Row],[Year (Range)]]&gt;=$C$7)*(monthly_mortgage_schedule[[#This Row],[Year (Range)]]&lt;=$C$9),AH295,NA())</f>
        <v>2106.3957275388457</v>
      </c>
      <c r="R295" s="214">
        <f>IF((monthly_mortgage_schedule[[#This Row],[Year (Range)]]&gt;=$C$7)*(monthly_mortgage_schedule[[#This Row],[Year (Range)]]&lt;=$C$9),AO295,NA())</f>
        <v>41226.297866104396</v>
      </c>
      <c r="S295" s="214">
        <f>IF((monthly_mortgage_schedule[[#This Row],[Year (Range)]]&gt;=$C$7)*(monthly_mortgage_schedule[[#This Row],[Year (Range)]]&lt;=$C$9),AP295,NA())</f>
        <v>990</v>
      </c>
      <c r="T295" s="214">
        <f>IF((monthly_mortgage_schedule[[#This Row],[Year (Range)]]&gt;=$C$7)*(monthly_mortgage_schedule[[#This Row],[Year (Range)]]&lt;=$C$9),AR295,NA())</f>
        <v>73948.612019633802</v>
      </c>
      <c r="U295" s="214">
        <f>IF((monthly_mortgage_schedule[[#This Row],[Year (Range)]]&gt;=$C$7)*(monthly_mortgage_schedule[[#This Row],[Year (Range)]]&lt;=$C$9),AB295,NA())</f>
        <v>405661.81475266564</v>
      </c>
      <c r="V295" s="214">
        <f>IF((monthly_mortgage_schedule[[#This Row],[Year (Range)]]&gt;=$C$7)*(monthly_mortgage_schedule[[#This Row],[Year (Range)]]&lt;=$C$9),AI295,NA())</f>
        <v>329185.51688656141</v>
      </c>
      <c r="W295" s="187">
        <f t="shared" si="31"/>
        <v>136799.81261725057</v>
      </c>
      <c r="X295" s="4">
        <f t="shared" si="34"/>
        <v>638.39912554716943</v>
      </c>
      <c r="Y295" s="4">
        <f t="shared" si="32"/>
        <v>2461.6273699162384</v>
      </c>
      <c r="Z295" s="4">
        <f>_xlfn.IFNA(INDEX(additional_mortgage_payments[],MATCH(monthly_mortgage_schedule[[#This Row],[Month]],additional_mortgage_payments[Month],0),3),0)</f>
        <v>0</v>
      </c>
      <c r="AA295" s="4">
        <f>AA294+monthly_mortgage_schedule[[#This Row],[Extra Payments Towards Equity]]</f>
        <v>35250</v>
      </c>
      <c r="AB295" s="4">
        <f>AB294+monthly_mortgage_schedule[[#This Row],[Principal With Extra Principal Payments]]+monthly_mortgage_schedule[[#This Row],[Extra Payments Towards Equity]]</f>
        <v>405661.81475266564</v>
      </c>
      <c r="AC295" s="4">
        <f>monthly_mortgage_schedule[[#This Row],[Cumulative Principal With Extra Principal Payments]]+down_payment_dollars</f>
        <v>465661.81475266564</v>
      </c>
      <c r="AD295" s="200">
        <f t="shared" si="29"/>
        <v>0</v>
      </c>
      <c r="AE29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134338.18524733433</v>
      </c>
      <c r="AF295" s="187">
        <f t="shared" si="35"/>
        <v>212920.87884097765</v>
      </c>
      <c r="AG295" s="4">
        <f>IF(monthly_mortgage_schedule[[#This Row],[Loan Balance (BOY) Without Extra Principal Payments]]&gt;0,monthly_mortgage_schedule[[#This Row],[Loan Balance (BOY) Without Extra Principal Payments]]*monthly_interest_rate,0)</f>
        <v>993.63076792456241</v>
      </c>
      <c r="AH295" s="4">
        <f>IF(monthly_mortgage_schedule[[#This Row],[Loan Balance (BOY) Without Extra Principal Payments]]&gt;1,monthly_principal_and_interest-monthly_mortgage_schedule[[#This Row],[Interest Without Extra Principal Payments]],0)</f>
        <v>2106.3957275388457</v>
      </c>
      <c r="AI295" s="4">
        <f>AI294+monthly_mortgage_schedule[[#This Row],[Principal Without Extra Principal Payments]]</f>
        <v>329185.51688656141</v>
      </c>
      <c r="AJ295" s="4">
        <f>monthly_mortgage_schedule[[#This Row],[Cumulative Principal Without Extra Principal Payments]]+down_payment_dollars</f>
        <v>389185.51688656141</v>
      </c>
      <c r="AK295" s="200">
        <f t="shared" si="30"/>
        <v>0</v>
      </c>
      <c r="AL29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210814.48311343879</v>
      </c>
      <c r="AN295" s="196">
        <f>monthly_mortgage_schedule[[#This Row],[Extra Payments Towards Equity]]+AN294+IF(monthly_mortgage_schedule[[#This Row],[Interest With Extra Principal Payments]]&gt;0,monthly_mortgage_schedule[[#This Row],[Interest Without Extra Principal Payments]]-monthly_mortgage_schedule[[#This Row],[Interest With Extra Principal Payments]],0)</f>
        <v>76476.297866104418</v>
      </c>
      <c r="AO295" s="4">
        <f>AO294+IF(monthly_mortgage_schedule[[#This Row],[Interest With Extra Principal Payments]]&gt;0,monthly_mortgage_schedule[[#This Row],[Interest Without Extra Principal Payments]]-monthly_mortgage_schedule[[#This Row],[Interest With Extra Principal Payments]],0)</f>
        <v>41226.297866104396</v>
      </c>
      <c r="AP295" s="4">
        <f>AP294+monthly_mortgage_schedule[[#This Row],[PMI Without Extra Principal Payments]]-monthly_mortgage_schedule[[#This Row],[PMI with Additional Payments]]</f>
        <v>990</v>
      </c>
      <c r="AQ295" s="4">
        <f t="shared" si="33"/>
        <v>109198.6120196338</v>
      </c>
      <c r="AR295" s="4">
        <f>Table60[[#This Row],[Cumulative Investments]]-monthly_mortgage_schedule[[#This Row],[Cumulative Extra Payments Towards Equity]]</f>
        <v>73948.612019633802</v>
      </c>
    </row>
    <row r="296" spans="9:44" x14ac:dyDescent="0.25">
      <c r="I296">
        <v>279</v>
      </c>
      <c r="J296">
        <f>IF(MOD(ROWS($J$18:J295),12)=0,J295+1,J295)</f>
        <v>2045</v>
      </c>
      <c r="K296" s="198">
        <f>IF(M296="#N/A",NA(),monthly_mortgage_schedule[[#This Row],[Month]])</f>
        <v>279</v>
      </c>
      <c r="L296" s="198">
        <f>IF(monthly_mortgage_schedule[[#This Row],[Calendar Year]]&gt;=$C$7,monthly_mortgage_schedule[[#This Row],[Calendar Year]],NA())</f>
        <v>2045</v>
      </c>
      <c r="M296" s="199">
        <f>IF((monthly_mortgage_schedule[[#This Row],[Calendar Year]]&gt;=$C$7)*(monthly_mortgage_schedule[[#This Row],[Calendar Year]]&lt;=$C$9),monthly_mortgage_schedule[[#This Row],[Begin Year (Range)]],NA())</f>
        <v>2045</v>
      </c>
      <c r="N296" s="214">
        <f>IF((monthly_mortgage_schedule[[#This Row],[Year (Range)]]&gt;=$C$7)*(monthly_mortgage_schedule[[#This Row],[Year (Range)]]&lt;=$C$9),X296,NA())</f>
        <v>626.91153115422696</v>
      </c>
      <c r="O296" s="214">
        <f>IF((monthly_mortgage_schedule[[#This Row],[Year (Range)]]&gt;=$C$7)*(monthly_mortgage_schedule[[#This Row],[Year (Range)]]&lt;=$C$9),Y296,NA())</f>
        <v>2473.1149643091812</v>
      </c>
      <c r="P296" s="214">
        <f>IF((monthly_mortgage_schedule[[#This Row],[Year (Range)]]&gt;=$C$7)*(monthly_mortgage_schedule[[#This Row],[Year (Range)]]&lt;=$C$9),AG296,NA())</f>
        <v>983.80092119604774</v>
      </c>
      <c r="Q296" s="214">
        <f>IF((monthly_mortgage_schedule[[#This Row],[Year (Range)]]&gt;=$C$7)*(monthly_mortgage_schedule[[#This Row],[Year (Range)]]&lt;=$C$9),AH296,NA())</f>
        <v>2116.2255742673606</v>
      </c>
      <c r="R296" s="214">
        <f>IF((monthly_mortgage_schedule[[#This Row],[Year (Range)]]&gt;=$C$7)*(monthly_mortgage_schedule[[#This Row],[Year (Range)]]&lt;=$C$9),AO296,NA())</f>
        <v>41583.187256146215</v>
      </c>
      <c r="S296" s="214">
        <f>IF((monthly_mortgage_schedule[[#This Row],[Year (Range)]]&gt;=$C$7)*(monthly_mortgage_schedule[[#This Row],[Year (Range)]]&lt;=$C$9),AP296,NA())</f>
        <v>990</v>
      </c>
      <c r="T296" s="214">
        <f>IF((monthly_mortgage_schedule[[#This Row],[Year (Range)]]&gt;=$C$7)*(monthly_mortgage_schedule[[#This Row],[Year (Range)]]&lt;=$C$9),AR296,NA())</f>
        <v>74676.602766431359</v>
      </c>
      <c r="U296" s="214">
        <f>IF((monthly_mortgage_schedule[[#This Row],[Year (Range)]]&gt;=$C$7)*(monthly_mortgage_schedule[[#This Row],[Year (Range)]]&lt;=$C$9),AB296,NA())</f>
        <v>408134.92971697485</v>
      </c>
      <c r="V296" s="214">
        <f>IF((monthly_mortgage_schedule[[#This Row],[Year (Range)]]&gt;=$C$7)*(monthly_mortgage_schedule[[#This Row],[Year (Range)]]&lt;=$C$9),AI296,NA())</f>
        <v>331301.7424608288</v>
      </c>
      <c r="W296" s="187">
        <f t="shared" si="31"/>
        <v>134338.18524733433</v>
      </c>
      <c r="X296" s="4">
        <f t="shared" si="34"/>
        <v>626.91153115422696</v>
      </c>
      <c r="Y296" s="4">
        <f t="shared" si="32"/>
        <v>2473.1149643091812</v>
      </c>
      <c r="Z296" s="4">
        <f>_xlfn.IFNA(INDEX(additional_mortgage_payments[],MATCH(monthly_mortgage_schedule[[#This Row],[Month]],additional_mortgage_payments[Month],0),3),0)</f>
        <v>0</v>
      </c>
      <c r="AA296" s="4">
        <f>AA295+monthly_mortgage_schedule[[#This Row],[Extra Payments Towards Equity]]</f>
        <v>35250</v>
      </c>
      <c r="AB296" s="4">
        <f>AB295+monthly_mortgage_schedule[[#This Row],[Principal With Extra Principal Payments]]+monthly_mortgage_schedule[[#This Row],[Extra Payments Towards Equity]]</f>
        <v>408134.92971697485</v>
      </c>
      <c r="AC296" s="4">
        <f>monthly_mortgage_schedule[[#This Row],[Cumulative Principal With Extra Principal Payments]]+down_payment_dollars</f>
        <v>468134.92971697485</v>
      </c>
      <c r="AD296" s="200">
        <f t="shared" si="29"/>
        <v>0</v>
      </c>
      <c r="AE29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131865.07028302515</v>
      </c>
      <c r="AF296" s="187">
        <f t="shared" si="35"/>
        <v>210814.48311343879</v>
      </c>
      <c r="AG296" s="4">
        <f>IF(monthly_mortgage_schedule[[#This Row],[Loan Balance (BOY) Without Extra Principal Payments]]&gt;0,monthly_mortgage_schedule[[#This Row],[Loan Balance (BOY) Without Extra Principal Payments]]*monthly_interest_rate,0)</f>
        <v>983.80092119604774</v>
      </c>
      <c r="AH296" s="4">
        <f>IF(monthly_mortgage_schedule[[#This Row],[Loan Balance (BOY) Without Extra Principal Payments]]&gt;1,monthly_principal_and_interest-monthly_mortgage_schedule[[#This Row],[Interest Without Extra Principal Payments]],0)</f>
        <v>2116.2255742673606</v>
      </c>
      <c r="AI296" s="4">
        <f>AI295+monthly_mortgage_schedule[[#This Row],[Principal Without Extra Principal Payments]]</f>
        <v>331301.7424608288</v>
      </c>
      <c r="AJ296" s="4">
        <f>monthly_mortgage_schedule[[#This Row],[Cumulative Principal Without Extra Principal Payments]]+down_payment_dollars</f>
        <v>391301.7424608288</v>
      </c>
      <c r="AK296" s="200">
        <f t="shared" si="30"/>
        <v>0</v>
      </c>
      <c r="AL29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208698.25753917143</v>
      </c>
      <c r="AN296" s="196">
        <f>monthly_mortgage_schedule[[#This Row],[Extra Payments Towards Equity]]+AN295+IF(monthly_mortgage_schedule[[#This Row],[Interest With Extra Principal Payments]]&gt;0,monthly_mortgage_schedule[[#This Row],[Interest Without Extra Principal Payments]]-monthly_mortgage_schedule[[#This Row],[Interest With Extra Principal Payments]],0)</f>
        <v>76833.187256146237</v>
      </c>
      <c r="AO296" s="4">
        <f>AO295+IF(monthly_mortgage_schedule[[#This Row],[Interest With Extra Principal Payments]]&gt;0,monthly_mortgage_schedule[[#This Row],[Interest Without Extra Principal Payments]]-monthly_mortgage_schedule[[#This Row],[Interest With Extra Principal Payments]],0)</f>
        <v>41583.187256146215</v>
      </c>
      <c r="AP296" s="4">
        <f>AP295+monthly_mortgage_schedule[[#This Row],[PMI Without Extra Principal Payments]]-monthly_mortgage_schedule[[#This Row],[PMI with Additional Payments]]</f>
        <v>990</v>
      </c>
      <c r="AQ296" s="4">
        <f t="shared" si="33"/>
        <v>109926.60276643136</v>
      </c>
      <c r="AR296" s="4">
        <f>Table60[[#This Row],[Cumulative Investments]]-monthly_mortgage_schedule[[#This Row],[Cumulative Extra Payments Towards Equity]]</f>
        <v>74676.602766431359</v>
      </c>
    </row>
    <row r="297" spans="9:44" x14ac:dyDescent="0.25">
      <c r="I297">
        <v>280</v>
      </c>
      <c r="J297">
        <f>IF(MOD(ROWS($J$18:J296),12)=0,J296+1,J296)</f>
        <v>2045</v>
      </c>
      <c r="K297" s="198">
        <f>IF(M297="#N/A",NA(),monthly_mortgage_schedule[[#This Row],[Month]])</f>
        <v>280</v>
      </c>
      <c r="L297" s="198">
        <f>IF(monthly_mortgage_schedule[[#This Row],[Calendar Year]]&gt;=$C$7,monthly_mortgage_schedule[[#This Row],[Calendar Year]],NA())</f>
        <v>2045</v>
      </c>
      <c r="M297" s="199">
        <f>IF((monthly_mortgage_schedule[[#This Row],[Calendar Year]]&gt;=$C$7)*(monthly_mortgage_schedule[[#This Row],[Calendar Year]]&lt;=$C$9),monthly_mortgage_schedule[[#This Row],[Begin Year (Range)]],NA())</f>
        <v>2045</v>
      </c>
      <c r="N297" s="214">
        <f>IF((monthly_mortgage_schedule[[#This Row],[Year (Range)]]&gt;=$C$7)*(monthly_mortgage_schedule[[#This Row],[Year (Range)]]&lt;=$C$9),X297,NA())</f>
        <v>615.37032798745076</v>
      </c>
      <c r="O297" s="214">
        <f>IF((monthly_mortgage_schedule[[#This Row],[Year (Range)]]&gt;=$C$7)*(monthly_mortgage_schedule[[#This Row],[Year (Range)]]&lt;=$C$9),Y297,NA())</f>
        <v>2484.6561674759573</v>
      </c>
      <c r="P297" s="214">
        <f>IF((monthly_mortgage_schedule[[#This Row],[Year (Range)]]&gt;=$C$7)*(monthly_mortgage_schedule[[#This Row],[Year (Range)]]&lt;=$C$9),AG297,NA())</f>
        <v>973.92520184946682</v>
      </c>
      <c r="Q297" s="214">
        <f>IF((monthly_mortgage_schedule[[#This Row],[Year (Range)]]&gt;=$C$7)*(monthly_mortgage_schedule[[#This Row],[Year (Range)]]&lt;=$C$9),AH297,NA())</f>
        <v>2126.1012936139414</v>
      </c>
      <c r="R297" s="214">
        <f>IF((monthly_mortgage_schedule[[#This Row],[Year (Range)]]&gt;=$C$7)*(monthly_mortgage_schedule[[#This Row],[Year (Range)]]&lt;=$C$9),AO297,NA())</f>
        <v>41941.742130008228</v>
      </c>
      <c r="S297" s="214">
        <f>IF((monthly_mortgage_schedule[[#This Row],[Year (Range)]]&gt;=$C$7)*(monthly_mortgage_schedule[[#This Row],[Year (Range)]]&lt;=$C$9),AP297,NA())</f>
        <v>990</v>
      </c>
      <c r="T297" s="214">
        <f>IF((monthly_mortgage_schedule[[#This Row],[Year (Range)]]&gt;=$C$7)*(monthly_mortgage_schedule[[#This Row],[Year (Range)]]&lt;=$C$9),AR297,NA())</f>
        <v>75412.780118207564</v>
      </c>
      <c r="U297" s="214">
        <f>IF((monthly_mortgage_schedule[[#This Row],[Year (Range)]]&gt;=$C$7)*(monthly_mortgage_schedule[[#This Row],[Year (Range)]]&lt;=$C$9),AB297,NA())</f>
        <v>411119.58588445082</v>
      </c>
      <c r="V297" s="214">
        <f>IF((monthly_mortgage_schedule[[#This Row],[Year (Range)]]&gt;=$C$7)*(monthly_mortgage_schedule[[#This Row],[Year (Range)]]&lt;=$C$9),AI297,NA())</f>
        <v>333427.84375444276</v>
      </c>
      <c r="W297" s="187">
        <f t="shared" si="31"/>
        <v>131865.07028302515</v>
      </c>
      <c r="X297" s="4">
        <f t="shared" si="34"/>
        <v>615.37032798745076</v>
      </c>
      <c r="Y297" s="4">
        <f t="shared" si="32"/>
        <v>2484.6561674759573</v>
      </c>
      <c r="Z297" s="4">
        <f>_xlfn.IFNA(INDEX(additional_mortgage_payments[],MATCH(monthly_mortgage_schedule[[#This Row],[Month]],additional_mortgage_payments[Month],0),3),0)</f>
        <v>500</v>
      </c>
      <c r="AA297" s="4">
        <f>AA296+monthly_mortgage_schedule[[#This Row],[Extra Payments Towards Equity]]</f>
        <v>35750</v>
      </c>
      <c r="AB297" s="4">
        <f>AB296+monthly_mortgage_schedule[[#This Row],[Principal With Extra Principal Payments]]+monthly_mortgage_schedule[[#This Row],[Extra Payments Towards Equity]]</f>
        <v>411119.58588445082</v>
      </c>
      <c r="AC297" s="4">
        <f>monthly_mortgage_schedule[[#This Row],[Cumulative Principal With Extra Principal Payments]]+down_payment_dollars</f>
        <v>471119.58588445082</v>
      </c>
      <c r="AD297" s="200">
        <f t="shared" si="29"/>
        <v>0</v>
      </c>
      <c r="AE29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128880.4141155492</v>
      </c>
      <c r="AF297" s="187">
        <f t="shared" si="35"/>
        <v>208698.25753917143</v>
      </c>
      <c r="AG297" s="4">
        <f>IF(monthly_mortgage_schedule[[#This Row],[Loan Balance (BOY) Without Extra Principal Payments]]&gt;0,monthly_mortgage_schedule[[#This Row],[Loan Balance (BOY) Without Extra Principal Payments]]*monthly_interest_rate,0)</f>
        <v>973.92520184946682</v>
      </c>
      <c r="AH297" s="4">
        <f>IF(monthly_mortgage_schedule[[#This Row],[Loan Balance (BOY) Without Extra Principal Payments]]&gt;1,monthly_principal_and_interest-monthly_mortgage_schedule[[#This Row],[Interest Without Extra Principal Payments]],0)</f>
        <v>2126.1012936139414</v>
      </c>
      <c r="AI297" s="4">
        <f>AI296+monthly_mortgage_schedule[[#This Row],[Principal Without Extra Principal Payments]]</f>
        <v>333427.84375444276</v>
      </c>
      <c r="AJ297" s="4">
        <f>monthly_mortgage_schedule[[#This Row],[Cumulative Principal Without Extra Principal Payments]]+down_payment_dollars</f>
        <v>393427.84375444276</v>
      </c>
      <c r="AK297" s="200">
        <f t="shared" si="30"/>
        <v>0</v>
      </c>
      <c r="AL29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206572.1562455575</v>
      </c>
      <c r="AN297" s="196">
        <f>monthly_mortgage_schedule[[#This Row],[Extra Payments Towards Equity]]+AN296+IF(monthly_mortgage_schedule[[#This Row],[Interest With Extra Principal Payments]]&gt;0,monthly_mortgage_schedule[[#This Row],[Interest Without Extra Principal Payments]]-monthly_mortgage_schedule[[#This Row],[Interest With Extra Principal Payments]],0)</f>
        <v>77691.74213000825</v>
      </c>
      <c r="AO297" s="4">
        <f>AO296+IF(monthly_mortgage_schedule[[#This Row],[Interest With Extra Principal Payments]]&gt;0,monthly_mortgage_schedule[[#This Row],[Interest Without Extra Principal Payments]]-monthly_mortgage_schedule[[#This Row],[Interest With Extra Principal Payments]],0)</f>
        <v>41941.742130008228</v>
      </c>
      <c r="AP297" s="4">
        <f>AP296+monthly_mortgage_schedule[[#This Row],[PMI Without Extra Principal Payments]]-monthly_mortgage_schedule[[#This Row],[PMI with Additional Payments]]</f>
        <v>990</v>
      </c>
      <c r="AQ297" s="4">
        <f t="shared" si="33"/>
        <v>111162.78011820756</v>
      </c>
      <c r="AR297" s="4">
        <f>Table60[[#This Row],[Cumulative Investments]]-monthly_mortgage_schedule[[#This Row],[Cumulative Extra Payments Towards Equity]]</f>
        <v>75412.780118207564</v>
      </c>
    </row>
    <row r="298" spans="9:44" x14ac:dyDescent="0.25">
      <c r="I298">
        <v>281</v>
      </c>
      <c r="J298">
        <f>IF(MOD(ROWS($J$18:J297),12)=0,J297+1,J297)</f>
        <v>2045</v>
      </c>
      <c r="K298" s="198">
        <f>IF(M298="#N/A",NA(),monthly_mortgage_schedule[[#This Row],[Month]])</f>
        <v>281</v>
      </c>
      <c r="L298" s="198">
        <f>IF(monthly_mortgage_schedule[[#This Row],[Calendar Year]]&gt;=$C$7,monthly_mortgage_schedule[[#This Row],[Calendar Year]],NA())</f>
        <v>2045</v>
      </c>
      <c r="M298" s="199">
        <f>IF((monthly_mortgage_schedule[[#This Row],[Calendar Year]]&gt;=$C$7)*(monthly_mortgage_schedule[[#This Row],[Calendar Year]]&lt;=$C$9),monthly_mortgage_schedule[[#This Row],[Begin Year (Range)]],NA())</f>
        <v>2045</v>
      </c>
      <c r="N298" s="214">
        <f>IF((monthly_mortgage_schedule[[#This Row],[Year (Range)]]&gt;=$C$7)*(monthly_mortgage_schedule[[#This Row],[Year (Range)]]&lt;=$C$9),X298,NA())</f>
        <v>601.44193253922958</v>
      </c>
      <c r="O298" s="214">
        <f>IF((monthly_mortgage_schedule[[#This Row],[Year (Range)]]&gt;=$C$7)*(monthly_mortgage_schedule[[#This Row],[Year (Range)]]&lt;=$C$9),Y298,NA())</f>
        <v>2498.5845629241785</v>
      </c>
      <c r="P298" s="214">
        <f>IF((monthly_mortgage_schedule[[#This Row],[Year (Range)]]&gt;=$C$7)*(monthly_mortgage_schedule[[#This Row],[Year (Range)]]&lt;=$C$9),AG298,NA())</f>
        <v>964.00339581260175</v>
      </c>
      <c r="Q298" s="214">
        <f>IF((monthly_mortgage_schedule[[#This Row],[Year (Range)]]&gt;=$C$7)*(monthly_mortgage_schedule[[#This Row],[Year (Range)]]&lt;=$C$9),AH298,NA())</f>
        <v>2136.0230996508062</v>
      </c>
      <c r="R298" s="214">
        <f>IF((monthly_mortgage_schedule[[#This Row],[Year (Range)]]&gt;=$C$7)*(monthly_mortgage_schedule[[#This Row],[Year (Range)]]&lt;=$C$9),AO298,NA())</f>
        <v>42304.303593281598</v>
      </c>
      <c r="S298" s="214">
        <f>IF((monthly_mortgage_schedule[[#This Row],[Year (Range)]]&gt;=$C$7)*(monthly_mortgage_schedule[[#This Row],[Year (Range)]]&lt;=$C$9),AP298,NA())</f>
        <v>990</v>
      </c>
      <c r="T298" s="214">
        <f>IF((monthly_mortgage_schedule[[#This Row],[Year (Range)]]&gt;=$C$7)*(monthly_mortgage_schedule[[#This Row],[Year (Range)]]&lt;=$C$9),AR298,NA())</f>
        <v>76153.865318995609</v>
      </c>
      <c r="U298" s="214">
        <f>IF((monthly_mortgage_schedule[[#This Row],[Year (Range)]]&gt;=$C$7)*(monthly_mortgage_schedule[[#This Row],[Year (Range)]]&lt;=$C$9),AB298,NA())</f>
        <v>413618.17044737499</v>
      </c>
      <c r="V298" s="214">
        <f>IF((monthly_mortgage_schedule[[#This Row],[Year (Range)]]&gt;=$C$7)*(monthly_mortgage_schedule[[#This Row],[Year (Range)]]&lt;=$C$9),AI298,NA())</f>
        <v>335563.86685409356</v>
      </c>
      <c r="W298" s="187">
        <f t="shared" si="31"/>
        <v>128880.4141155492</v>
      </c>
      <c r="X298" s="4">
        <f t="shared" si="34"/>
        <v>601.44193253922958</v>
      </c>
      <c r="Y298" s="4">
        <f t="shared" si="32"/>
        <v>2498.5845629241785</v>
      </c>
      <c r="Z298" s="4">
        <f>_xlfn.IFNA(INDEX(additional_mortgage_payments[],MATCH(monthly_mortgage_schedule[[#This Row],[Month]],additional_mortgage_payments[Month],0),3),0)</f>
        <v>0</v>
      </c>
      <c r="AA298" s="4">
        <f>AA297+monthly_mortgage_schedule[[#This Row],[Extra Payments Towards Equity]]</f>
        <v>35750</v>
      </c>
      <c r="AB298" s="4">
        <f>AB297+monthly_mortgage_schedule[[#This Row],[Principal With Extra Principal Payments]]+monthly_mortgage_schedule[[#This Row],[Extra Payments Towards Equity]]</f>
        <v>413618.17044737499</v>
      </c>
      <c r="AC298" s="4">
        <f>monthly_mortgage_schedule[[#This Row],[Cumulative Principal With Extra Principal Payments]]+down_payment_dollars</f>
        <v>473618.17044737499</v>
      </c>
      <c r="AD298" s="200">
        <f t="shared" si="29"/>
        <v>0</v>
      </c>
      <c r="AE29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126381.82955262501</v>
      </c>
      <c r="AF298" s="187">
        <f t="shared" si="35"/>
        <v>206572.1562455575</v>
      </c>
      <c r="AG298" s="4">
        <f>IF(monthly_mortgage_schedule[[#This Row],[Loan Balance (BOY) Without Extra Principal Payments]]&gt;0,monthly_mortgage_schedule[[#This Row],[Loan Balance (BOY) Without Extra Principal Payments]]*monthly_interest_rate,0)</f>
        <v>964.00339581260175</v>
      </c>
      <c r="AH298" s="4">
        <f>IF(monthly_mortgage_schedule[[#This Row],[Loan Balance (BOY) Without Extra Principal Payments]]&gt;1,monthly_principal_and_interest-monthly_mortgage_schedule[[#This Row],[Interest Without Extra Principal Payments]],0)</f>
        <v>2136.0230996508062</v>
      </c>
      <c r="AI298" s="4">
        <f>AI297+monthly_mortgage_schedule[[#This Row],[Principal Without Extra Principal Payments]]</f>
        <v>335563.86685409356</v>
      </c>
      <c r="AJ298" s="4">
        <f>monthly_mortgage_schedule[[#This Row],[Cumulative Principal Without Extra Principal Payments]]+down_payment_dollars</f>
        <v>395563.86685409356</v>
      </c>
      <c r="AK298" s="200">
        <f t="shared" si="30"/>
        <v>0</v>
      </c>
      <c r="AL29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204436.1331459067</v>
      </c>
      <c r="AN298" s="196">
        <f>monthly_mortgage_schedule[[#This Row],[Extra Payments Towards Equity]]+AN297+IF(monthly_mortgage_schedule[[#This Row],[Interest With Extra Principal Payments]]&gt;0,monthly_mortgage_schedule[[#This Row],[Interest Without Extra Principal Payments]]-monthly_mortgage_schedule[[#This Row],[Interest With Extra Principal Payments]],0)</f>
        <v>78054.303593281627</v>
      </c>
      <c r="AO298" s="4">
        <f>AO297+IF(monthly_mortgage_schedule[[#This Row],[Interest With Extra Principal Payments]]&gt;0,monthly_mortgage_schedule[[#This Row],[Interest Without Extra Principal Payments]]-monthly_mortgage_schedule[[#This Row],[Interest With Extra Principal Payments]],0)</f>
        <v>42304.303593281598</v>
      </c>
      <c r="AP298" s="4">
        <f>AP297+monthly_mortgage_schedule[[#This Row],[PMI Without Extra Principal Payments]]-monthly_mortgage_schedule[[#This Row],[PMI with Additional Payments]]</f>
        <v>990</v>
      </c>
      <c r="AQ298" s="4">
        <f t="shared" si="33"/>
        <v>111903.86531899561</v>
      </c>
      <c r="AR298" s="4">
        <f>Table60[[#This Row],[Cumulative Investments]]-monthly_mortgage_schedule[[#This Row],[Cumulative Extra Payments Towards Equity]]</f>
        <v>76153.865318995609</v>
      </c>
    </row>
    <row r="299" spans="9:44" x14ac:dyDescent="0.25">
      <c r="I299">
        <v>282</v>
      </c>
      <c r="J299">
        <f>IF(MOD(ROWS($J$18:J298),12)=0,J298+1,J298)</f>
        <v>2045</v>
      </c>
      <c r="K299" s="198">
        <f>IF(M299="#N/A",NA(),monthly_mortgage_schedule[[#This Row],[Month]])</f>
        <v>282</v>
      </c>
      <c r="L299" s="198">
        <f>IF(monthly_mortgage_schedule[[#This Row],[Calendar Year]]&gt;=$C$7,monthly_mortgage_schedule[[#This Row],[Calendar Year]],NA())</f>
        <v>2045</v>
      </c>
      <c r="M299" s="199">
        <f>IF((monthly_mortgage_schedule[[#This Row],[Calendar Year]]&gt;=$C$7)*(monthly_mortgage_schedule[[#This Row],[Calendar Year]]&lt;=$C$9),monthly_mortgage_schedule[[#This Row],[Begin Year (Range)]],NA())</f>
        <v>2045</v>
      </c>
      <c r="N299" s="214">
        <f>IF((monthly_mortgage_schedule[[#This Row],[Year (Range)]]&gt;=$C$7)*(monthly_mortgage_schedule[[#This Row],[Year (Range)]]&lt;=$C$9),X299,NA())</f>
        <v>589.78187124558349</v>
      </c>
      <c r="O299" s="214">
        <f>IF((monthly_mortgage_schedule[[#This Row],[Year (Range)]]&gt;=$C$7)*(monthly_mortgage_schedule[[#This Row],[Year (Range)]]&lt;=$C$9),Y299,NA())</f>
        <v>2510.2446242178248</v>
      </c>
      <c r="P299" s="214">
        <f>IF((monthly_mortgage_schedule[[#This Row],[Year (Range)]]&gt;=$C$7)*(monthly_mortgage_schedule[[#This Row],[Year (Range)]]&lt;=$C$9),AG299,NA())</f>
        <v>954.03528801423136</v>
      </c>
      <c r="Q299" s="214">
        <f>IF((monthly_mortgage_schedule[[#This Row],[Year (Range)]]&gt;=$C$7)*(monthly_mortgage_schedule[[#This Row],[Year (Range)]]&lt;=$C$9),AH299,NA())</f>
        <v>2145.9912074491767</v>
      </c>
      <c r="R299" s="214">
        <f>IF((monthly_mortgage_schedule[[#This Row],[Year (Range)]]&gt;=$C$7)*(monthly_mortgage_schedule[[#This Row],[Year (Range)]]&lt;=$C$9),AO299,NA())</f>
        <v>42668.557010050245</v>
      </c>
      <c r="S299" s="214">
        <f>IF((monthly_mortgage_schedule[[#This Row],[Year (Range)]]&gt;=$C$7)*(monthly_mortgage_schedule[[#This Row],[Year (Range)]]&lt;=$C$9),AP299,NA())</f>
        <v>990</v>
      </c>
      <c r="T299" s="214">
        <f>IF((monthly_mortgage_schedule[[#This Row],[Year (Range)]]&gt;=$C$7)*(monthly_mortgage_schedule[[#This Row],[Year (Range)]]&lt;=$C$9),AR299,NA())</f>
        <v>76899.891087788899</v>
      </c>
      <c r="U299" s="214">
        <f>IF((monthly_mortgage_schedule[[#This Row],[Year (Range)]]&gt;=$C$7)*(monthly_mortgage_schedule[[#This Row],[Year (Range)]]&lt;=$C$9),AB299,NA())</f>
        <v>416128.41507159278</v>
      </c>
      <c r="V299" s="214">
        <f>IF((monthly_mortgage_schedule[[#This Row],[Year (Range)]]&gt;=$C$7)*(monthly_mortgage_schedule[[#This Row],[Year (Range)]]&lt;=$C$9),AI299,NA())</f>
        <v>337709.85806154273</v>
      </c>
      <c r="W299" s="187">
        <f t="shared" si="31"/>
        <v>126381.82955262501</v>
      </c>
      <c r="X299" s="4">
        <f t="shared" si="34"/>
        <v>589.78187124558349</v>
      </c>
      <c r="Y299" s="4">
        <f t="shared" si="32"/>
        <v>2510.2446242178248</v>
      </c>
      <c r="Z299" s="4">
        <f>_xlfn.IFNA(INDEX(additional_mortgage_payments[],MATCH(monthly_mortgage_schedule[[#This Row],[Month]],additional_mortgage_payments[Month],0),3),0)</f>
        <v>0</v>
      </c>
      <c r="AA299" s="4">
        <f>AA298+monthly_mortgage_schedule[[#This Row],[Extra Payments Towards Equity]]</f>
        <v>35750</v>
      </c>
      <c r="AB299" s="4">
        <f>AB298+monthly_mortgage_schedule[[#This Row],[Principal With Extra Principal Payments]]+monthly_mortgage_schedule[[#This Row],[Extra Payments Towards Equity]]</f>
        <v>416128.41507159278</v>
      </c>
      <c r="AC299" s="4">
        <f>monthly_mortgage_schedule[[#This Row],[Cumulative Principal With Extra Principal Payments]]+down_payment_dollars</f>
        <v>476128.41507159278</v>
      </c>
      <c r="AD299" s="200">
        <f t="shared" si="29"/>
        <v>0</v>
      </c>
      <c r="AE29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123871.58492840719</v>
      </c>
      <c r="AF299" s="187">
        <f t="shared" si="35"/>
        <v>204436.1331459067</v>
      </c>
      <c r="AG299" s="4">
        <f>IF(monthly_mortgage_schedule[[#This Row],[Loan Balance (BOY) Without Extra Principal Payments]]&gt;0,monthly_mortgage_schedule[[#This Row],[Loan Balance (BOY) Without Extra Principal Payments]]*monthly_interest_rate,0)</f>
        <v>954.03528801423136</v>
      </c>
      <c r="AH299" s="4">
        <f>IF(monthly_mortgage_schedule[[#This Row],[Loan Balance (BOY) Without Extra Principal Payments]]&gt;1,monthly_principal_and_interest-monthly_mortgage_schedule[[#This Row],[Interest Without Extra Principal Payments]],0)</f>
        <v>2145.9912074491767</v>
      </c>
      <c r="AI299" s="4">
        <f>AI298+monthly_mortgage_schedule[[#This Row],[Principal Without Extra Principal Payments]]</f>
        <v>337709.85806154273</v>
      </c>
      <c r="AJ299" s="4">
        <f>monthly_mortgage_schedule[[#This Row],[Cumulative Principal Without Extra Principal Payments]]+down_payment_dollars</f>
        <v>397709.85806154273</v>
      </c>
      <c r="AK299" s="200">
        <f t="shared" si="30"/>
        <v>0</v>
      </c>
      <c r="AL29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202290.14193845753</v>
      </c>
      <c r="AN299" s="196">
        <f>monthly_mortgage_schedule[[#This Row],[Extra Payments Towards Equity]]+AN298+IF(monthly_mortgage_schedule[[#This Row],[Interest With Extra Principal Payments]]&gt;0,monthly_mortgage_schedule[[#This Row],[Interest Without Extra Principal Payments]]-monthly_mortgage_schedule[[#This Row],[Interest With Extra Principal Payments]],0)</f>
        <v>78418.557010050281</v>
      </c>
      <c r="AO299" s="4">
        <f>AO298+IF(monthly_mortgage_schedule[[#This Row],[Interest With Extra Principal Payments]]&gt;0,monthly_mortgage_schedule[[#This Row],[Interest Without Extra Principal Payments]]-monthly_mortgage_schedule[[#This Row],[Interest With Extra Principal Payments]],0)</f>
        <v>42668.557010050245</v>
      </c>
      <c r="AP299" s="4">
        <f>AP298+monthly_mortgage_schedule[[#This Row],[PMI Without Extra Principal Payments]]-monthly_mortgage_schedule[[#This Row],[PMI with Additional Payments]]</f>
        <v>990</v>
      </c>
      <c r="AQ299" s="4">
        <f t="shared" si="33"/>
        <v>112649.8910877889</v>
      </c>
      <c r="AR299" s="4">
        <f>Table60[[#This Row],[Cumulative Investments]]-monthly_mortgage_schedule[[#This Row],[Cumulative Extra Payments Towards Equity]]</f>
        <v>76899.891087788899</v>
      </c>
    </row>
    <row r="300" spans="9:44" x14ac:dyDescent="0.25">
      <c r="I300">
        <v>283</v>
      </c>
      <c r="J300">
        <f>IF(MOD(ROWS($J$18:J299),12)=0,J299+1,J299)</f>
        <v>2045</v>
      </c>
      <c r="K300" s="198">
        <f>IF(M300="#N/A",NA(),monthly_mortgage_schedule[[#This Row],[Month]])</f>
        <v>283</v>
      </c>
      <c r="L300" s="198">
        <f>IF(monthly_mortgage_schedule[[#This Row],[Calendar Year]]&gt;=$C$7,monthly_mortgage_schedule[[#This Row],[Calendar Year]],NA())</f>
        <v>2045</v>
      </c>
      <c r="M300" s="199">
        <f>IF((monthly_mortgage_schedule[[#This Row],[Calendar Year]]&gt;=$C$7)*(monthly_mortgage_schedule[[#This Row],[Calendar Year]]&lt;=$C$9),monthly_mortgage_schedule[[#This Row],[Begin Year (Range)]],NA())</f>
        <v>2045</v>
      </c>
      <c r="N300" s="214">
        <f>IF((monthly_mortgage_schedule[[#This Row],[Year (Range)]]&gt;=$C$7)*(monthly_mortgage_schedule[[#This Row],[Year (Range)]]&lt;=$C$9),X300,NA())</f>
        <v>578.06739633256689</v>
      </c>
      <c r="O300" s="214">
        <f>IF((monthly_mortgage_schedule[[#This Row],[Year (Range)]]&gt;=$C$7)*(monthly_mortgage_schedule[[#This Row],[Year (Range)]]&lt;=$C$9),Y300,NA())</f>
        <v>2521.9590991308414</v>
      </c>
      <c r="P300" s="214">
        <f>IF((monthly_mortgage_schedule[[#This Row],[Year (Range)]]&gt;=$C$7)*(monthly_mortgage_schedule[[#This Row],[Year (Range)]]&lt;=$C$9),AG300,NA())</f>
        <v>944.02066237946849</v>
      </c>
      <c r="Q300" s="214">
        <f>IF((monthly_mortgage_schedule[[#This Row],[Year (Range)]]&gt;=$C$7)*(monthly_mortgage_schedule[[#This Row],[Year (Range)]]&lt;=$C$9),AH300,NA())</f>
        <v>2156.0058330839397</v>
      </c>
      <c r="R300" s="214">
        <f>IF((monthly_mortgage_schedule[[#This Row],[Year (Range)]]&gt;=$C$7)*(monthly_mortgage_schedule[[#This Row],[Year (Range)]]&lt;=$C$9),AO300,NA())</f>
        <v>43034.510276097149</v>
      </c>
      <c r="S300" s="214">
        <f>IF((monthly_mortgage_schedule[[#This Row],[Year (Range)]]&gt;=$C$7)*(monthly_mortgage_schedule[[#This Row],[Year (Range)]]&lt;=$C$9),AP300,NA())</f>
        <v>990</v>
      </c>
      <c r="T300" s="214">
        <f>IF((monthly_mortgage_schedule[[#This Row],[Year (Range)]]&gt;=$C$7)*(monthly_mortgage_schedule[[#This Row],[Year (Range)]]&lt;=$C$9),AR300,NA())</f>
        <v>77650.890361707483</v>
      </c>
      <c r="U300" s="214">
        <f>IF((monthly_mortgage_schedule[[#This Row],[Year (Range)]]&gt;=$C$7)*(monthly_mortgage_schedule[[#This Row],[Year (Range)]]&lt;=$C$9),AB300,NA())</f>
        <v>418650.3741707236</v>
      </c>
      <c r="V300" s="214">
        <f>IF((monthly_mortgage_schedule[[#This Row],[Year (Range)]]&gt;=$C$7)*(monthly_mortgage_schedule[[#This Row],[Year (Range)]]&lt;=$C$9),AI300,NA())</f>
        <v>339865.86389462667</v>
      </c>
      <c r="W300" s="187">
        <f t="shared" si="31"/>
        <v>123871.58492840719</v>
      </c>
      <c r="X300" s="4">
        <f t="shared" si="34"/>
        <v>578.06739633256689</v>
      </c>
      <c r="Y300" s="4">
        <f t="shared" si="32"/>
        <v>2521.9590991308414</v>
      </c>
      <c r="Z300" s="4">
        <f>_xlfn.IFNA(INDEX(additional_mortgage_payments[],MATCH(monthly_mortgage_schedule[[#This Row],[Month]],additional_mortgage_payments[Month],0),3),0)</f>
        <v>0</v>
      </c>
      <c r="AA300" s="4">
        <f>AA299+monthly_mortgage_schedule[[#This Row],[Extra Payments Towards Equity]]</f>
        <v>35750</v>
      </c>
      <c r="AB300" s="4">
        <f>AB299+monthly_mortgage_schedule[[#This Row],[Principal With Extra Principal Payments]]+monthly_mortgage_schedule[[#This Row],[Extra Payments Towards Equity]]</f>
        <v>418650.3741707236</v>
      </c>
      <c r="AC300" s="4">
        <f>monthly_mortgage_schedule[[#This Row],[Cumulative Principal With Extra Principal Payments]]+down_payment_dollars</f>
        <v>478650.3741707236</v>
      </c>
      <c r="AD300" s="200">
        <f t="shared" si="29"/>
        <v>0</v>
      </c>
      <c r="AE30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121349.62582927635</v>
      </c>
      <c r="AF300" s="187">
        <f t="shared" si="35"/>
        <v>202290.14193845753</v>
      </c>
      <c r="AG300" s="4">
        <f>IF(monthly_mortgage_schedule[[#This Row],[Loan Balance (BOY) Without Extra Principal Payments]]&gt;0,monthly_mortgage_schedule[[#This Row],[Loan Balance (BOY) Without Extra Principal Payments]]*monthly_interest_rate,0)</f>
        <v>944.02066237946849</v>
      </c>
      <c r="AH300" s="4">
        <f>IF(monthly_mortgage_schedule[[#This Row],[Loan Balance (BOY) Without Extra Principal Payments]]&gt;1,monthly_principal_and_interest-monthly_mortgage_schedule[[#This Row],[Interest Without Extra Principal Payments]],0)</f>
        <v>2156.0058330839397</v>
      </c>
      <c r="AI300" s="4">
        <f>AI299+monthly_mortgage_schedule[[#This Row],[Principal Without Extra Principal Payments]]</f>
        <v>339865.86389462667</v>
      </c>
      <c r="AJ300" s="4">
        <f>monthly_mortgage_schedule[[#This Row],[Cumulative Principal Without Extra Principal Payments]]+down_payment_dollars</f>
        <v>399865.86389462667</v>
      </c>
      <c r="AK300" s="200">
        <f t="shared" si="30"/>
        <v>0</v>
      </c>
      <c r="AL30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200134.13610537359</v>
      </c>
      <c r="AN300" s="196">
        <f>monthly_mortgage_schedule[[#This Row],[Extra Payments Towards Equity]]+AN299+IF(monthly_mortgage_schedule[[#This Row],[Interest With Extra Principal Payments]]&gt;0,monthly_mortgage_schedule[[#This Row],[Interest Without Extra Principal Payments]]-monthly_mortgage_schedule[[#This Row],[Interest With Extra Principal Payments]],0)</f>
        <v>78784.510276097179</v>
      </c>
      <c r="AO300" s="4">
        <f>AO299+IF(monthly_mortgage_schedule[[#This Row],[Interest With Extra Principal Payments]]&gt;0,monthly_mortgage_schedule[[#This Row],[Interest Without Extra Principal Payments]]-monthly_mortgage_schedule[[#This Row],[Interest With Extra Principal Payments]],0)</f>
        <v>43034.510276097149</v>
      </c>
      <c r="AP300" s="4">
        <f>AP299+monthly_mortgage_schedule[[#This Row],[PMI Without Extra Principal Payments]]-monthly_mortgage_schedule[[#This Row],[PMI with Additional Payments]]</f>
        <v>990</v>
      </c>
      <c r="AQ300" s="4">
        <f t="shared" si="33"/>
        <v>113400.89036170748</v>
      </c>
      <c r="AR300" s="4">
        <f>Table60[[#This Row],[Cumulative Investments]]-monthly_mortgage_schedule[[#This Row],[Cumulative Extra Payments Towards Equity]]</f>
        <v>77650.890361707483</v>
      </c>
    </row>
    <row r="301" spans="9:44" x14ac:dyDescent="0.25">
      <c r="I301">
        <v>284</v>
      </c>
      <c r="J301">
        <f>IF(MOD(ROWS($J$18:J300),12)=0,J300+1,J300)</f>
        <v>2045</v>
      </c>
      <c r="K301" s="198">
        <f>IF(M301="#N/A",NA(),monthly_mortgage_schedule[[#This Row],[Month]])</f>
        <v>284</v>
      </c>
      <c r="L301" s="198">
        <f>IF(monthly_mortgage_schedule[[#This Row],[Calendar Year]]&gt;=$C$7,monthly_mortgage_schedule[[#This Row],[Calendar Year]],NA())</f>
        <v>2045</v>
      </c>
      <c r="M301" s="199">
        <f>IF((monthly_mortgage_schedule[[#This Row],[Calendar Year]]&gt;=$C$7)*(monthly_mortgage_schedule[[#This Row],[Calendar Year]]&lt;=$C$9),monthly_mortgage_schedule[[#This Row],[Begin Year (Range)]],NA())</f>
        <v>2045</v>
      </c>
      <c r="N301" s="214">
        <f>IF((monthly_mortgage_schedule[[#This Row],[Year (Range)]]&gt;=$C$7)*(monthly_mortgage_schedule[[#This Row],[Year (Range)]]&lt;=$C$9),X301,NA())</f>
        <v>566.2982538699564</v>
      </c>
      <c r="O301" s="214">
        <f>IF((monthly_mortgage_schedule[[#This Row],[Year (Range)]]&gt;=$C$7)*(monthly_mortgage_schedule[[#This Row],[Year (Range)]]&lt;=$C$9),Y301,NA())</f>
        <v>2533.7282415934515</v>
      </c>
      <c r="P301" s="214">
        <f>IF((monthly_mortgage_schedule[[#This Row],[Year (Range)]]&gt;=$C$7)*(monthly_mortgage_schedule[[#This Row],[Year (Range)]]&lt;=$C$9),AG301,NA())</f>
        <v>933.95930182507686</v>
      </c>
      <c r="Q301" s="214">
        <f>IF((monthly_mortgage_schedule[[#This Row],[Year (Range)]]&gt;=$C$7)*(monthly_mortgage_schedule[[#This Row],[Year (Range)]]&lt;=$C$9),AH301,NA())</f>
        <v>2166.0671936383314</v>
      </c>
      <c r="R301" s="214">
        <f>IF((monthly_mortgage_schedule[[#This Row],[Year (Range)]]&gt;=$C$7)*(monthly_mortgage_schedule[[#This Row],[Year (Range)]]&lt;=$C$9),AO301,NA())</f>
        <v>43402.171324052273</v>
      </c>
      <c r="S301" s="214">
        <f>IF((monthly_mortgage_schedule[[#This Row],[Year (Range)]]&gt;=$C$7)*(monthly_mortgage_schedule[[#This Row],[Year (Range)]]&lt;=$C$9),AP301,NA())</f>
        <v>990</v>
      </c>
      <c r="T301" s="214">
        <f>IF((monthly_mortgage_schedule[[#This Row],[Year (Range)]]&gt;=$C$7)*(monthly_mortgage_schedule[[#This Row],[Year (Range)]]&lt;=$C$9),AR301,NA())</f>
        <v>78406.896297452186</v>
      </c>
      <c r="U301" s="214">
        <f>IF((monthly_mortgage_schedule[[#This Row],[Year (Range)]]&gt;=$C$7)*(monthly_mortgage_schedule[[#This Row],[Year (Range)]]&lt;=$C$9),AB301,NA())</f>
        <v>421184.10241231706</v>
      </c>
      <c r="V301" s="214">
        <f>IF((monthly_mortgage_schedule[[#This Row],[Year (Range)]]&gt;=$C$7)*(monthly_mortgage_schedule[[#This Row],[Year (Range)]]&lt;=$C$9),AI301,NA())</f>
        <v>342031.93108826503</v>
      </c>
      <c r="W301" s="187">
        <f t="shared" si="31"/>
        <v>121349.62582927635</v>
      </c>
      <c r="X301" s="4">
        <f t="shared" si="34"/>
        <v>566.2982538699564</v>
      </c>
      <c r="Y301" s="4">
        <f t="shared" si="32"/>
        <v>2533.7282415934515</v>
      </c>
      <c r="Z301" s="4">
        <f>_xlfn.IFNA(INDEX(additional_mortgage_payments[],MATCH(monthly_mortgage_schedule[[#This Row],[Month]],additional_mortgage_payments[Month],0),3),0)</f>
        <v>0</v>
      </c>
      <c r="AA301" s="4">
        <f>AA300+monthly_mortgage_schedule[[#This Row],[Extra Payments Towards Equity]]</f>
        <v>35750</v>
      </c>
      <c r="AB301" s="4">
        <f>AB300+monthly_mortgage_schedule[[#This Row],[Principal With Extra Principal Payments]]+monthly_mortgage_schedule[[#This Row],[Extra Payments Towards Equity]]</f>
        <v>421184.10241231706</v>
      </c>
      <c r="AC301" s="4">
        <f>monthly_mortgage_schedule[[#This Row],[Cumulative Principal With Extra Principal Payments]]+down_payment_dollars</f>
        <v>481184.10241231706</v>
      </c>
      <c r="AD301" s="200">
        <f t="shared" si="29"/>
        <v>0</v>
      </c>
      <c r="AE30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118815.89758768291</v>
      </c>
      <c r="AF301" s="187">
        <f t="shared" si="35"/>
        <v>200134.13610537359</v>
      </c>
      <c r="AG301" s="4">
        <f>IF(monthly_mortgage_schedule[[#This Row],[Loan Balance (BOY) Without Extra Principal Payments]]&gt;0,monthly_mortgage_schedule[[#This Row],[Loan Balance (BOY) Without Extra Principal Payments]]*monthly_interest_rate,0)</f>
        <v>933.95930182507686</v>
      </c>
      <c r="AH301" s="4">
        <f>IF(monthly_mortgage_schedule[[#This Row],[Loan Balance (BOY) Without Extra Principal Payments]]&gt;1,monthly_principal_and_interest-monthly_mortgage_schedule[[#This Row],[Interest Without Extra Principal Payments]],0)</f>
        <v>2166.0671936383314</v>
      </c>
      <c r="AI301" s="4">
        <f>AI300+monthly_mortgage_schedule[[#This Row],[Principal Without Extra Principal Payments]]</f>
        <v>342031.93108826503</v>
      </c>
      <c r="AJ301" s="4">
        <f>monthly_mortgage_schedule[[#This Row],[Cumulative Principal Without Extra Principal Payments]]+down_payment_dollars</f>
        <v>402031.93108826503</v>
      </c>
      <c r="AK301" s="200">
        <f t="shared" si="30"/>
        <v>0</v>
      </c>
      <c r="AL30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197968.06891173526</v>
      </c>
      <c r="AN301" s="196">
        <f>monthly_mortgage_schedule[[#This Row],[Extra Payments Towards Equity]]+AN300+IF(monthly_mortgage_schedule[[#This Row],[Interest With Extra Principal Payments]]&gt;0,monthly_mortgage_schedule[[#This Row],[Interest Without Extra Principal Payments]]-monthly_mortgage_schedule[[#This Row],[Interest With Extra Principal Payments]],0)</f>
        <v>79152.171324052295</v>
      </c>
      <c r="AO301" s="4">
        <f>AO300+IF(monthly_mortgage_schedule[[#This Row],[Interest With Extra Principal Payments]]&gt;0,monthly_mortgage_schedule[[#This Row],[Interest Without Extra Principal Payments]]-monthly_mortgage_schedule[[#This Row],[Interest With Extra Principal Payments]],0)</f>
        <v>43402.171324052273</v>
      </c>
      <c r="AP301" s="4">
        <f>AP300+monthly_mortgage_schedule[[#This Row],[PMI Without Extra Principal Payments]]-monthly_mortgage_schedule[[#This Row],[PMI with Additional Payments]]</f>
        <v>990</v>
      </c>
      <c r="AQ301" s="4">
        <f t="shared" si="33"/>
        <v>114156.89629745219</v>
      </c>
      <c r="AR301" s="4">
        <f>Table60[[#This Row],[Cumulative Investments]]-monthly_mortgage_schedule[[#This Row],[Cumulative Extra Payments Towards Equity]]</f>
        <v>78406.896297452186</v>
      </c>
    </row>
    <row r="302" spans="9:44" x14ac:dyDescent="0.25">
      <c r="I302">
        <v>285</v>
      </c>
      <c r="J302">
        <f>IF(MOD(ROWS($J$18:J301),12)=0,J301+1,J301)</f>
        <v>2045</v>
      </c>
      <c r="K302" s="198">
        <f>IF(M302="#N/A",NA(),monthly_mortgage_schedule[[#This Row],[Month]])</f>
        <v>285</v>
      </c>
      <c r="L302" s="198">
        <f>IF(monthly_mortgage_schedule[[#This Row],[Calendar Year]]&gt;=$C$7,monthly_mortgage_schedule[[#This Row],[Calendar Year]],NA())</f>
        <v>2045</v>
      </c>
      <c r="M302" s="199">
        <f>IF((monthly_mortgage_schedule[[#This Row],[Calendar Year]]&gt;=$C$7)*(monthly_mortgage_schedule[[#This Row],[Calendar Year]]&lt;=$C$9),monthly_mortgage_schedule[[#This Row],[Begin Year (Range)]],NA())</f>
        <v>2045</v>
      </c>
      <c r="N302" s="214">
        <f>IF((monthly_mortgage_schedule[[#This Row],[Year (Range)]]&gt;=$C$7)*(monthly_mortgage_schedule[[#This Row],[Year (Range)]]&lt;=$C$9),X302,NA())</f>
        <v>554.47418874252025</v>
      </c>
      <c r="O302" s="214">
        <f>IF((monthly_mortgage_schedule[[#This Row],[Year (Range)]]&gt;=$C$7)*(monthly_mortgage_schedule[[#This Row],[Year (Range)]]&lt;=$C$9),Y302,NA())</f>
        <v>2545.5523067208878</v>
      </c>
      <c r="P302" s="214">
        <f>IF((monthly_mortgage_schedule[[#This Row],[Year (Range)]]&gt;=$C$7)*(monthly_mortgage_schedule[[#This Row],[Year (Range)]]&lt;=$C$9),AG302,NA())</f>
        <v>923.85098825476462</v>
      </c>
      <c r="Q302" s="214">
        <f>IF((monthly_mortgage_schedule[[#This Row],[Year (Range)]]&gt;=$C$7)*(monthly_mortgage_schedule[[#This Row],[Year (Range)]]&lt;=$C$9),AH302,NA())</f>
        <v>2176.1755072086435</v>
      </c>
      <c r="R302" s="214">
        <f>IF((monthly_mortgage_schedule[[#This Row],[Year (Range)]]&gt;=$C$7)*(monthly_mortgage_schedule[[#This Row],[Year (Range)]]&lt;=$C$9),AO302,NA())</f>
        <v>43771.54812356452</v>
      </c>
      <c r="S302" s="214">
        <f>IF((monthly_mortgage_schedule[[#This Row],[Year (Range)]]&gt;=$C$7)*(monthly_mortgage_schedule[[#This Row],[Year (Range)]]&lt;=$C$9),AP302,NA())</f>
        <v>990</v>
      </c>
      <c r="T302" s="214">
        <f>IF((monthly_mortgage_schedule[[#This Row],[Year (Range)]]&gt;=$C$7)*(monthly_mortgage_schedule[[#This Row],[Year (Range)]]&lt;=$C$9),AR302,NA())</f>
        <v>79167.942272768531</v>
      </c>
      <c r="U302" s="214">
        <f>IF((monthly_mortgage_schedule[[#This Row],[Year (Range)]]&gt;=$C$7)*(monthly_mortgage_schedule[[#This Row],[Year (Range)]]&lt;=$C$9),AB302,NA())</f>
        <v>423729.65471903794</v>
      </c>
      <c r="V302" s="214">
        <f>IF((monthly_mortgage_schedule[[#This Row],[Year (Range)]]&gt;=$C$7)*(monthly_mortgage_schedule[[#This Row],[Year (Range)]]&lt;=$C$9),AI302,NA())</f>
        <v>344208.10659547366</v>
      </c>
      <c r="W302" s="187">
        <f t="shared" si="31"/>
        <v>118815.89758768291</v>
      </c>
      <c r="X302" s="4">
        <f t="shared" si="34"/>
        <v>554.47418874252025</v>
      </c>
      <c r="Y302" s="4">
        <f t="shared" si="32"/>
        <v>2545.5523067208878</v>
      </c>
      <c r="Z302" s="4">
        <f>_xlfn.IFNA(INDEX(additional_mortgage_payments[],MATCH(monthly_mortgage_schedule[[#This Row],[Month]],additional_mortgage_payments[Month],0),3),0)</f>
        <v>0</v>
      </c>
      <c r="AA302" s="4">
        <f>AA301+monthly_mortgage_schedule[[#This Row],[Extra Payments Towards Equity]]</f>
        <v>35750</v>
      </c>
      <c r="AB302" s="4">
        <f>AB301+monthly_mortgage_schedule[[#This Row],[Principal With Extra Principal Payments]]+monthly_mortgage_schedule[[#This Row],[Extra Payments Towards Equity]]</f>
        <v>423729.65471903794</v>
      </c>
      <c r="AC302" s="4">
        <f>monthly_mortgage_schedule[[#This Row],[Cumulative Principal With Extra Principal Payments]]+down_payment_dollars</f>
        <v>483729.65471903794</v>
      </c>
      <c r="AD302" s="200">
        <f t="shared" si="29"/>
        <v>0</v>
      </c>
      <c r="AE30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116270.34528096202</v>
      </c>
      <c r="AF302" s="187">
        <f t="shared" si="35"/>
        <v>197968.06891173526</v>
      </c>
      <c r="AG302" s="4">
        <f>IF(monthly_mortgage_schedule[[#This Row],[Loan Balance (BOY) Without Extra Principal Payments]]&gt;0,monthly_mortgage_schedule[[#This Row],[Loan Balance (BOY) Without Extra Principal Payments]]*monthly_interest_rate,0)</f>
        <v>923.85098825476462</v>
      </c>
      <c r="AH302" s="4">
        <f>IF(monthly_mortgage_schedule[[#This Row],[Loan Balance (BOY) Without Extra Principal Payments]]&gt;1,monthly_principal_and_interest-monthly_mortgage_schedule[[#This Row],[Interest Without Extra Principal Payments]],0)</f>
        <v>2176.1755072086435</v>
      </c>
      <c r="AI302" s="4">
        <f>AI301+monthly_mortgage_schedule[[#This Row],[Principal Without Extra Principal Payments]]</f>
        <v>344208.10659547366</v>
      </c>
      <c r="AJ302" s="4">
        <f>monthly_mortgage_schedule[[#This Row],[Cumulative Principal Without Extra Principal Payments]]+down_payment_dollars</f>
        <v>404208.10659547366</v>
      </c>
      <c r="AK302" s="200">
        <f t="shared" si="30"/>
        <v>0</v>
      </c>
      <c r="AL30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195791.89340452661</v>
      </c>
      <c r="AN302" s="196">
        <f>monthly_mortgage_schedule[[#This Row],[Extra Payments Towards Equity]]+AN301+IF(monthly_mortgage_schedule[[#This Row],[Interest With Extra Principal Payments]]&gt;0,monthly_mortgage_schedule[[#This Row],[Interest Without Extra Principal Payments]]-monthly_mortgage_schedule[[#This Row],[Interest With Extra Principal Payments]],0)</f>
        <v>79521.548123564542</v>
      </c>
      <c r="AO302" s="4">
        <f>AO301+IF(monthly_mortgage_schedule[[#This Row],[Interest With Extra Principal Payments]]&gt;0,monthly_mortgage_schedule[[#This Row],[Interest Without Extra Principal Payments]]-monthly_mortgage_schedule[[#This Row],[Interest With Extra Principal Payments]],0)</f>
        <v>43771.54812356452</v>
      </c>
      <c r="AP302" s="4">
        <f>AP301+monthly_mortgage_schedule[[#This Row],[PMI Without Extra Principal Payments]]-monthly_mortgage_schedule[[#This Row],[PMI with Additional Payments]]</f>
        <v>990</v>
      </c>
      <c r="AQ302" s="4">
        <f t="shared" si="33"/>
        <v>114917.94227276853</v>
      </c>
      <c r="AR302" s="4">
        <f>Table60[[#This Row],[Cumulative Investments]]-monthly_mortgage_schedule[[#This Row],[Cumulative Extra Payments Towards Equity]]</f>
        <v>79167.942272768531</v>
      </c>
    </row>
    <row r="303" spans="9:44" x14ac:dyDescent="0.25">
      <c r="I303">
        <v>286</v>
      </c>
      <c r="J303">
        <f>IF(MOD(ROWS($J$18:J302),12)=0,J302+1,J302)</f>
        <v>2045</v>
      </c>
      <c r="K303" s="198">
        <f>IF(M303="#N/A",NA(),monthly_mortgage_schedule[[#This Row],[Month]])</f>
        <v>286</v>
      </c>
      <c r="L303" s="198">
        <f>IF(monthly_mortgage_schedule[[#This Row],[Calendar Year]]&gt;=$C$7,monthly_mortgage_schedule[[#This Row],[Calendar Year]],NA())</f>
        <v>2045</v>
      </c>
      <c r="M303" s="199">
        <f>IF((monthly_mortgage_schedule[[#This Row],[Calendar Year]]&gt;=$C$7)*(monthly_mortgage_schedule[[#This Row],[Calendar Year]]&lt;=$C$9),monthly_mortgage_schedule[[#This Row],[Begin Year (Range)]],NA())</f>
        <v>2045</v>
      </c>
      <c r="N303" s="214">
        <f>IF((monthly_mortgage_schedule[[#This Row],[Year (Range)]]&gt;=$C$7)*(monthly_mortgage_schedule[[#This Row],[Year (Range)]]&lt;=$C$9),X303,NA())</f>
        <v>542.59494464448949</v>
      </c>
      <c r="O303" s="214">
        <f>IF((monthly_mortgage_schedule[[#This Row],[Year (Range)]]&gt;=$C$7)*(monthly_mortgage_schedule[[#This Row],[Year (Range)]]&lt;=$C$9),Y303,NA())</f>
        <v>2557.4315508189184</v>
      </c>
      <c r="P303" s="214">
        <f>IF((monthly_mortgage_schedule[[#This Row],[Year (Range)]]&gt;=$C$7)*(monthly_mortgage_schedule[[#This Row],[Year (Range)]]&lt;=$C$9),AG303,NA())</f>
        <v>913.69550255445756</v>
      </c>
      <c r="Q303" s="214">
        <f>IF((monthly_mortgage_schedule[[#This Row],[Year (Range)]]&gt;=$C$7)*(monthly_mortgage_schedule[[#This Row],[Year (Range)]]&lt;=$C$9),AH303,NA())</f>
        <v>2186.3309929089505</v>
      </c>
      <c r="R303" s="214">
        <f>IF((monthly_mortgage_schedule[[#This Row],[Year (Range)]]&gt;=$C$7)*(monthly_mortgage_schedule[[#This Row],[Year (Range)]]&lt;=$C$9),AO303,NA())</f>
        <v>44142.648681474486</v>
      </c>
      <c r="S303" s="214">
        <f>IF((monthly_mortgage_schedule[[#This Row],[Year (Range)]]&gt;=$C$7)*(monthly_mortgage_schedule[[#This Row],[Year (Range)]]&lt;=$C$9),AP303,NA())</f>
        <v>990</v>
      </c>
      <c r="T303" s="214">
        <f>IF((monthly_mortgage_schedule[[#This Row],[Year (Range)]]&gt;=$C$7)*(monthly_mortgage_schedule[[#This Row],[Year (Range)]]&lt;=$C$9),AR303,NA())</f>
        <v>79934.06188792031</v>
      </c>
      <c r="U303" s="214">
        <f>IF((monthly_mortgage_schedule[[#This Row],[Year (Range)]]&gt;=$C$7)*(monthly_mortgage_schedule[[#This Row],[Year (Range)]]&lt;=$C$9),AB303,NA())</f>
        <v>426287.08626985684</v>
      </c>
      <c r="V303" s="214">
        <f>IF((monthly_mortgage_schedule[[#This Row],[Year (Range)]]&gt;=$C$7)*(monthly_mortgage_schedule[[#This Row],[Year (Range)]]&lt;=$C$9),AI303,NA())</f>
        <v>346394.43758838263</v>
      </c>
      <c r="W303" s="187">
        <f t="shared" si="31"/>
        <v>116270.34528096202</v>
      </c>
      <c r="X303" s="4">
        <f t="shared" si="34"/>
        <v>542.59494464448949</v>
      </c>
      <c r="Y303" s="4">
        <f t="shared" si="32"/>
        <v>2557.4315508189184</v>
      </c>
      <c r="Z303" s="4">
        <f>_xlfn.IFNA(INDEX(additional_mortgage_payments[],MATCH(monthly_mortgage_schedule[[#This Row],[Month]],additional_mortgage_payments[Month],0),3),0)</f>
        <v>0</v>
      </c>
      <c r="AA303" s="4">
        <f>AA302+monthly_mortgage_schedule[[#This Row],[Extra Payments Towards Equity]]</f>
        <v>35750</v>
      </c>
      <c r="AB303" s="4">
        <f>AB302+monthly_mortgage_schedule[[#This Row],[Principal With Extra Principal Payments]]+monthly_mortgage_schedule[[#This Row],[Extra Payments Towards Equity]]</f>
        <v>426287.08626985684</v>
      </c>
      <c r="AC303" s="4">
        <f>monthly_mortgage_schedule[[#This Row],[Cumulative Principal With Extra Principal Payments]]+down_payment_dollars</f>
        <v>486287.08626985684</v>
      </c>
      <c r="AD303" s="200">
        <f t="shared" si="29"/>
        <v>0</v>
      </c>
      <c r="AE30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113712.9137301431</v>
      </c>
      <c r="AF303" s="187">
        <f t="shared" si="35"/>
        <v>195791.89340452661</v>
      </c>
      <c r="AG303" s="4">
        <f>IF(monthly_mortgage_schedule[[#This Row],[Loan Balance (BOY) Without Extra Principal Payments]]&gt;0,monthly_mortgage_schedule[[#This Row],[Loan Balance (BOY) Without Extra Principal Payments]]*monthly_interest_rate,0)</f>
        <v>913.69550255445756</v>
      </c>
      <c r="AH303" s="4">
        <f>IF(monthly_mortgage_schedule[[#This Row],[Loan Balance (BOY) Without Extra Principal Payments]]&gt;1,monthly_principal_and_interest-monthly_mortgage_schedule[[#This Row],[Interest Without Extra Principal Payments]],0)</f>
        <v>2186.3309929089505</v>
      </c>
      <c r="AI303" s="4">
        <f>AI302+monthly_mortgage_schedule[[#This Row],[Principal Without Extra Principal Payments]]</f>
        <v>346394.43758838263</v>
      </c>
      <c r="AJ303" s="4">
        <f>monthly_mortgage_schedule[[#This Row],[Cumulative Principal Without Extra Principal Payments]]+down_payment_dollars</f>
        <v>406394.43758838263</v>
      </c>
      <c r="AK303" s="200">
        <f t="shared" si="30"/>
        <v>0</v>
      </c>
      <c r="AL30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193605.56241161766</v>
      </c>
      <c r="AN303" s="196">
        <f>monthly_mortgage_schedule[[#This Row],[Extra Payments Towards Equity]]+AN302+IF(monthly_mortgage_schedule[[#This Row],[Interest With Extra Principal Payments]]&gt;0,monthly_mortgage_schedule[[#This Row],[Interest Without Extra Principal Payments]]-monthly_mortgage_schedule[[#This Row],[Interest With Extra Principal Payments]],0)</f>
        <v>79892.648681474515</v>
      </c>
      <c r="AO303" s="4">
        <f>AO302+IF(monthly_mortgage_schedule[[#This Row],[Interest With Extra Principal Payments]]&gt;0,monthly_mortgage_schedule[[#This Row],[Interest Without Extra Principal Payments]]-monthly_mortgage_schedule[[#This Row],[Interest With Extra Principal Payments]],0)</f>
        <v>44142.648681474486</v>
      </c>
      <c r="AP303" s="4">
        <f>AP302+monthly_mortgage_schedule[[#This Row],[PMI Without Extra Principal Payments]]-monthly_mortgage_schedule[[#This Row],[PMI with Additional Payments]]</f>
        <v>990</v>
      </c>
      <c r="AQ303" s="4">
        <f t="shared" si="33"/>
        <v>115684.06188792031</v>
      </c>
      <c r="AR303" s="4">
        <f>Table60[[#This Row],[Cumulative Investments]]-monthly_mortgage_schedule[[#This Row],[Cumulative Extra Payments Towards Equity]]</f>
        <v>79934.06188792031</v>
      </c>
    </row>
    <row r="304" spans="9:44" x14ac:dyDescent="0.25">
      <c r="I304">
        <v>287</v>
      </c>
      <c r="J304">
        <f>IF(MOD(ROWS($J$18:J303),12)=0,J303+1,J303)</f>
        <v>2045</v>
      </c>
      <c r="K304" s="198">
        <f>IF(M304="#N/A",NA(),monthly_mortgage_schedule[[#This Row],[Month]])</f>
        <v>287</v>
      </c>
      <c r="L304" s="198">
        <f>IF(monthly_mortgage_schedule[[#This Row],[Calendar Year]]&gt;=$C$7,monthly_mortgage_schedule[[#This Row],[Calendar Year]],NA())</f>
        <v>2045</v>
      </c>
      <c r="M304" s="199">
        <f>IF((monthly_mortgage_schedule[[#This Row],[Calendar Year]]&gt;=$C$7)*(monthly_mortgage_schedule[[#This Row],[Calendar Year]]&lt;=$C$9),monthly_mortgage_schedule[[#This Row],[Begin Year (Range)]],NA())</f>
        <v>2045</v>
      </c>
      <c r="N304" s="214">
        <f>IF((monthly_mortgage_schedule[[#This Row],[Year (Range)]]&gt;=$C$7)*(monthly_mortgage_schedule[[#This Row],[Year (Range)]]&lt;=$C$9),X304,NA())</f>
        <v>530.66026407400125</v>
      </c>
      <c r="O304" s="214">
        <f>IF((monthly_mortgage_schedule[[#This Row],[Year (Range)]]&gt;=$C$7)*(monthly_mortgage_schedule[[#This Row],[Year (Range)]]&lt;=$C$9),Y304,NA())</f>
        <v>2569.3662313894069</v>
      </c>
      <c r="P304" s="214">
        <f>IF((monthly_mortgage_schedule[[#This Row],[Year (Range)]]&gt;=$C$7)*(monthly_mortgage_schedule[[#This Row],[Year (Range)]]&lt;=$C$9),AG304,NA())</f>
        <v>903.49262458754913</v>
      </c>
      <c r="Q304" s="214">
        <f>IF((monthly_mortgage_schedule[[#This Row],[Year (Range)]]&gt;=$C$7)*(monthly_mortgage_schedule[[#This Row],[Year (Range)]]&lt;=$C$9),AH304,NA())</f>
        <v>2196.5338708758591</v>
      </c>
      <c r="R304" s="214">
        <f>IF((monthly_mortgage_schedule[[#This Row],[Year (Range)]]&gt;=$C$7)*(monthly_mortgage_schedule[[#This Row],[Year (Range)]]&lt;=$C$9),AO304,NA())</f>
        <v>44515.48104198803</v>
      </c>
      <c r="S304" s="214">
        <f>IF((monthly_mortgage_schedule[[#This Row],[Year (Range)]]&gt;=$C$7)*(monthly_mortgage_schedule[[#This Row],[Year (Range)]]&lt;=$C$9),AP304,NA())</f>
        <v>990</v>
      </c>
      <c r="T304" s="214">
        <f>IF((monthly_mortgage_schedule[[#This Row],[Year (Range)]]&gt;=$C$7)*(monthly_mortgage_schedule[[#This Row],[Year (Range)]]&lt;=$C$9),AR304,NA())</f>
        <v>80705.28896717311</v>
      </c>
      <c r="U304" s="214">
        <f>IF((monthly_mortgage_schedule[[#This Row],[Year (Range)]]&gt;=$C$7)*(monthly_mortgage_schedule[[#This Row],[Year (Range)]]&lt;=$C$9),AB304,NA())</f>
        <v>428856.45250124624</v>
      </c>
      <c r="V304" s="214">
        <f>IF((monthly_mortgage_schedule[[#This Row],[Year (Range)]]&gt;=$C$7)*(monthly_mortgage_schedule[[#This Row],[Year (Range)]]&lt;=$C$9),AI304,NA())</f>
        <v>348590.97145925846</v>
      </c>
      <c r="W304" s="187">
        <f t="shared" si="31"/>
        <v>113712.9137301431</v>
      </c>
      <c r="X304" s="4">
        <f t="shared" si="34"/>
        <v>530.66026407400125</v>
      </c>
      <c r="Y304" s="4">
        <f t="shared" si="32"/>
        <v>2569.3662313894069</v>
      </c>
      <c r="Z304" s="4">
        <f>_xlfn.IFNA(INDEX(additional_mortgage_payments[],MATCH(monthly_mortgage_schedule[[#This Row],[Month]],additional_mortgage_payments[Month],0),3),0)</f>
        <v>0</v>
      </c>
      <c r="AA304" s="4">
        <f>AA303+monthly_mortgage_schedule[[#This Row],[Extra Payments Towards Equity]]</f>
        <v>35750</v>
      </c>
      <c r="AB304" s="4">
        <f>AB303+monthly_mortgage_schedule[[#This Row],[Principal With Extra Principal Payments]]+monthly_mortgage_schedule[[#This Row],[Extra Payments Towards Equity]]</f>
        <v>428856.45250124624</v>
      </c>
      <c r="AC304" s="4">
        <f>monthly_mortgage_schedule[[#This Row],[Cumulative Principal With Extra Principal Payments]]+down_payment_dollars</f>
        <v>488856.45250124624</v>
      </c>
      <c r="AD304" s="200">
        <f t="shared" si="29"/>
        <v>0</v>
      </c>
      <c r="AE30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111143.5474987537</v>
      </c>
      <c r="AF304" s="187">
        <f t="shared" si="35"/>
        <v>193605.56241161766</v>
      </c>
      <c r="AG304" s="4">
        <f>IF(monthly_mortgage_schedule[[#This Row],[Loan Balance (BOY) Without Extra Principal Payments]]&gt;0,monthly_mortgage_schedule[[#This Row],[Loan Balance (BOY) Without Extra Principal Payments]]*monthly_interest_rate,0)</f>
        <v>903.49262458754913</v>
      </c>
      <c r="AH304" s="4">
        <f>IF(monthly_mortgage_schedule[[#This Row],[Loan Balance (BOY) Without Extra Principal Payments]]&gt;1,monthly_principal_and_interest-monthly_mortgage_schedule[[#This Row],[Interest Without Extra Principal Payments]],0)</f>
        <v>2196.5338708758591</v>
      </c>
      <c r="AI304" s="4">
        <f>AI303+monthly_mortgage_schedule[[#This Row],[Principal Without Extra Principal Payments]]</f>
        <v>348590.97145925846</v>
      </c>
      <c r="AJ304" s="4">
        <f>monthly_mortgage_schedule[[#This Row],[Cumulative Principal Without Extra Principal Payments]]+down_payment_dollars</f>
        <v>408590.97145925846</v>
      </c>
      <c r="AK304" s="200">
        <f t="shared" si="30"/>
        <v>0</v>
      </c>
      <c r="AL30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191409.0285407418</v>
      </c>
      <c r="AN304" s="196">
        <f>monthly_mortgage_schedule[[#This Row],[Extra Payments Towards Equity]]+AN303+IF(monthly_mortgage_schedule[[#This Row],[Interest With Extra Principal Payments]]&gt;0,monthly_mortgage_schedule[[#This Row],[Interest Without Extra Principal Payments]]-monthly_mortgage_schedule[[#This Row],[Interest With Extra Principal Payments]],0)</f>
        <v>80265.481041988067</v>
      </c>
      <c r="AO304" s="4">
        <f>AO303+IF(monthly_mortgage_schedule[[#This Row],[Interest With Extra Principal Payments]]&gt;0,monthly_mortgage_schedule[[#This Row],[Interest Without Extra Principal Payments]]-monthly_mortgage_schedule[[#This Row],[Interest With Extra Principal Payments]],0)</f>
        <v>44515.48104198803</v>
      </c>
      <c r="AP304" s="4">
        <f>AP303+monthly_mortgage_schedule[[#This Row],[PMI Without Extra Principal Payments]]-monthly_mortgage_schedule[[#This Row],[PMI with Additional Payments]]</f>
        <v>990</v>
      </c>
      <c r="AQ304" s="4">
        <f t="shared" si="33"/>
        <v>116455.28896717311</v>
      </c>
      <c r="AR304" s="4">
        <f>Table60[[#This Row],[Cumulative Investments]]-monthly_mortgage_schedule[[#This Row],[Cumulative Extra Payments Towards Equity]]</f>
        <v>80705.28896717311</v>
      </c>
    </row>
    <row r="305" spans="9:44" x14ac:dyDescent="0.25">
      <c r="I305">
        <v>288</v>
      </c>
      <c r="J305">
        <f>IF(MOD(ROWS($J$18:J304),12)=0,J304+1,J304)</f>
        <v>2045</v>
      </c>
      <c r="K305" s="198">
        <f>IF(M305="#N/A",NA(),monthly_mortgage_schedule[[#This Row],[Month]])</f>
        <v>288</v>
      </c>
      <c r="L305" s="198">
        <f>IF(monthly_mortgage_schedule[[#This Row],[Calendar Year]]&gt;=$C$7,monthly_mortgage_schedule[[#This Row],[Calendar Year]],NA())</f>
        <v>2045</v>
      </c>
      <c r="M305" s="199">
        <f>IF((monthly_mortgage_schedule[[#This Row],[Calendar Year]]&gt;=$C$7)*(monthly_mortgage_schedule[[#This Row],[Calendar Year]]&lt;=$C$9),monthly_mortgage_schedule[[#This Row],[Begin Year (Range)]],NA())</f>
        <v>2045</v>
      </c>
      <c r="N305" s="214">
        <f>IF((monthly_mortgage_schedule[[#This Row],[Year (Range)]]&gt;=$C$7)*(monthly_mortgage_schedule[[#This Row],[Year (Range)]]&lt;=$C$9),X305,NA())</f>
        <v>518.66988832751736</v>
      </c>
      <c r="O305" s="214">
        <f>IF((monthly_mortgage_schedule[[#This Row],[Year (Range)]]&gt;=$C$7)*(monthly_mortgage_schedule[[#This Row],[Year (Range)]]&lt;=$C$9),Y305,NA())</f>
        <v>2581.356607135891</v>
      </c>
      <c r="P305" s="214">
        <f>IF((monthly_mortgage_schedule[[#This Row],[Year (Range)]]&gt;=$C$7)*(monthly_mortgage_schedule[[#This Row],[Year (Range)]]&lt;=$C$9),AG305,NA())</f>
        <v>893.24213319012847</v>
      </c>
      <c r="Q305" s="214">
        <f>IF((monthly_mortgage_schedule[[#This Row],[Year (Range)]]&gt;=$C$7)*(monthly_mortgage_schedule[[#This Row],[Year (Range)]]&lt;=$C$9),AH305,NA())</f>
        <v>2206.7843622732798</v>
      </c>
      <c r="R305" s="214">
        <f>IF((monthly_mortgage_schedule[[#This Row],[Year (Range)]]&gt;=$C$7)*(monthly_mortgage_schedule[[#This Row],[Year (Range)]]&lt;=$C$9),AO305,NA())</f>
        <v>44890.053286850642</v>
      </c>
      <c r="S305" s="214">
        <f>IF((monthly_mortgage_schedule[[#This Row],[Year (Range)]]&gt;=$C$7)*(monthly_mortgage_schedule[[#This Row],[Year (Range)]]&lt;=$C$9),AP305,NA())</f>
        <v>990</v>
      </c>
      <c r="T305" s="214">
        <f>IF((monthly_mortgage_schedule[[#This Row],[Year (Range)]]&gt;=$C$7)*(monthly_mortgage_schedule[[#This Row],[Year (Range)]]&lt;=$C$9),AR305,NA())</f>
        <v>81481.657560287596</v>
      </c>
      <c r="U305" s="214">
        <f>IF((monthly_mortgage_schedule[[#This Row],[Year (Range)]]&gt;=$C$7)*(monthly_mortgage_schedule[[#This Row],[Year (Range)]]&lt;=$C$9),AB305,NA())</f>
        <v>431437.80910838215</v>
      </c>
      <c r="V305" s="214">
        <f>IF((monthly_mortgage_schedule[[#This Row],[Year (Range)]]&gt;=$C$7)*(monthly_mortgage_schedule[[#This Row],[Year (Range)]]&lt;=$C$9),AI305,NA())</f>
        <v>350797.75582153175</v>
      </c>
      <c r="W305" s="187">
        <f t="shared" si="31"/>
        <v>111143.5474987537</v>
      </c>
      <c r="X305" s="4">
        <f t="shared" si="34"/>
        <v>518.66988832751736</v>
      </c>
      <c r="Y305" s="4">
        <f t="shared" si="32"/>
        <v>2581.356607135891</v>
      </c>
      <c r="Z305" s="4">
        <f>_xlfn.IFNA(INDEX(additional_mortgage_payments[],MATCH(monthly_mortgage_schedule[[#This Row],[Month]],additional_mortgage_payments[Month],0),3),0)</f>
        <v>0</v>
      </c>
      <c r="AA305" s="4">
        <f>AA304+monthly_mortgage_schedule[[#This Row],[Extra Payments Towards Equity]]</f>
        <v>35750</v>
      </c>
      <c r="AB305" s="4">
        <f>AB304+monthly_mortgage_schedule[[#This Row],[Principal With Extra Principal Payments]]+monthly_mortgage_schedule[[#This Row],[Extra Payments Towards Equity]]</f>
        <v>431437.80910838215</v>
      </c>
      <c r="AC305" s="4">
        <f>monthly_mortgage_schedule[[#This Row],[Cumulative Principal With Extra Principal Payments]]+down_payment_dollars</f>
        <v>491437.80910838215</v>
      </c>
      <c r="AD305" s="200">
        <f t="shared" si="29"/>
        <v>0</v>
      </c>
      <c r="AE30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108562.19089161781</v>
      </c>
      <c r="AF305" s="187">
        <f t="shared" si="35"/>
        <v>191409.0285407418</v>
      </c>
      <c r="AG305" s="4">
        <f>IF(monthly_mortgage_schedule[[#This Row],[Loan Balance (BOY) Without Extra Principal Payments]]&gt;0,monthly_mortgage_schedule[[#This Row],[Loan Balance (BOY) Without Extra Principal Payments]]*monthly_interest_rate,0)</f>
        <v>893.24213319012847</v>
      </c>
      <c r="AH305" s="4">
        <f>IF(monthly_mortgage_schedule[[#This Row],[Loan Balance (BOY) Without Extra Principal Payments]]&gt;1,monthly_principal_and_interest-monthly_mortgage_schedule[[#This Row],[Interest Without Extra Principal Payments]],0)</f>
        <v>2206.7843622732798</v>
      </c>
      <c r="AI305" s="4">
        <f>AI304+monthly_mortgage_schedule[[#This Row],[Principal Without Extra Principal Payments]]</f>
        <v>350797.75582153175</v>
      </c>
      <c r="AJ305" s="4">
        <f>monthly_mortgage_schedule[[#This Row],[Cumulative Principal Without Extra Principal Payments]]+down_payment_dollars</f>
        <v>410797.75582153175</v>
      </c>
      <c r="AK305" s="200">
        <f t="shared" si="30"/>
        <v>0</v>
      </c>
      <c r="AL30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189202.24417846851</v>
      </c>
      <c r="AN305" s="196">
        <f>monthly_mortgage_schedule[[#This Row],[Extra Payments Towards Equity]]+AN304+IF(monthly_mortgage_schedule[[#This Row],[Interest With Extra Principal Payments]]&gt;0,monthly_mortgage_schedule[[#This Row],[Interest Without Extra Principal Payments]]-monthly_mortgage_schedule[[#This Row],[Interest With Extra Principal Payments]],0)</f>
        <v>80640.053286850685</v>
      </c>
      <c r="AO305" s="4">
        <f>AO304+IF(monthly_mortgage_schedule[[#This Row],[Interest With Extra Principal Payments]]&gt;0,monthly_mortgage_schedule[[#This Row],[Interest Without Extra Principal Payments]]-monthly_mortgage_schedule[[#This Row],[Interest With Extra Principal Payments]],0)</f>
        <v>44890.053286850642</v>
      </c>
      <c r="AP305" s="4">
        <f>AP304+monthly_mortgage_schedule[[#This Row],[PMI Without Extra Principal Payments]]-monthly_mortgage_schedule[[#This Row],[PMI with Additional Payments]]</f>
        <v>990</v>
      </c>
      <c r="AQ305" s="4">
        <f t="shared" si="33"/>
        <v>117231.6575602876</v>
      </c>
      <c r="AR305" s="4">
        <f>Table60[[#This Row],[Cumulative Investments]]-monthly_mortgage_schedule[[#This Row],[Cumulative Extra Payments Towards Equity]]</f>
        <v>81481.657560287596</v>
      </c>
    </row>
    <row r="306" spans="9:44" x14ac:dyDescent="0.25">
      <c r="I306">
        <v>289</v>
      </c>
      <c r="J306">
        <f>IF(MOD(ROWS($J$18:J305),12)=0,J305+1,J305)</f>
        <v>2046</v>
      </c>
      <c r="K306" s="198">
        <f>IF(M306="#N/A",NA(),monthly_mortgage_schedule[[#This Row],[Month]])</f>
        <v>289</v>
      </c>
      <c r="L306" s="198">
        <f>IF(monthly_mortgage_schedule[[#This Row],[Calendar Year]]&gt;=$C$7,monthly_mortgage_schedule[[#This Row],[Calendar Year]],NA())</f>
        <v>2046</v>
      </c>
      <c r="M306" s="199">
        <f>IF((monthly_mortgage_schedule[[#This Row],[Calendar Year]]&gt;=$C$7)*(monthly_mortgage_schedule[[#This Row],[Calendar Year]]&lt;=$C$9),monthly_mortgage_schedule[[#This Row],[Begin Year (Range)]],NA())</f>
        <v>2046</v>
      </c>
      <c r="N306" s="214">
        <f>IF((monthly_mortgage_schedule[[#This Row],[Year (Range)]]&gt;=$C$7)*(monthly_mortgage_schedule[[#This Row],[Year (Range)]]&lt;=$C$9),X306,NA())</f>
        <v>506.62355749421647</v>
      </c>
      <c r="O306" s="214">
        <f>IF((monthly_mortgage_schedule[[#This Row],[Year (Range)]]&gt;=$C$7)*(monthly_mortgage_schedule[[#This Row],[Year (Range)]]&lt;=$C$9),Y306,NA())</f>
        <v>2593.4029379691915</v>
      </c>
      <c r="P306" s="214">
        <f>IF((monthly_mortgage_schedule[[#This Row],[Year (Range)]]&gt;=$C$7)*(monthly_mortgage_schedule[[#This Row],[Year (Range)]]&lt;=$C$9),AG306,NA())</f>
        <v>882.94380616618639</v>
      </c>
      <c r="Q306" s="214">
        <f>IF((monthly_mortgage_schedule[[#This Row],[Year (Range)]]&gt;=$C$7)*(monthly_mortgage_schedule[[#This Row],[Year (Range)]]&lt;=$C$9),AH306,NA())</f>
        <v>2217.0826892972218</v>
      </c>
      <c r="R306" s="214">
        <f>IF((monthly_mortgage_schedule[[#This Row],[Year (Range)]]&gt;=$C$7)*(monthly_mortgage_schedule[[#This Row],[Year (Range)]]&lt;=$C$9),AO306,NA())</f>
        <v>45266.373535522609</v>
      </c>
      <c r="S306" s="214">
        <f>IF((monthly_mortgage_schedule[[#This Row],[Year (Range)]]&gt;=$C$7)*(monthly_mortgage_schedule[[#This Row],[Year (Range)]]&lt;=$C$9),AP306,NA())</f>
        <v>990</v>
      </c>
      <c r="T306" s="214">
        <f>IF((monthly_mortgage_schedule[[#This Row],[Year (Range)]]&gt;=$C$7)*(monthly_mortgage_schedule[[#This Row],[Year (Range)]]&lt;=$C$9),AR306,NA())</f>
        <v>82263.201944022832</v>
      </c>
      <c r="U306" s="214">
        <f>IF((monthly_mortgage_schedule[[#This Row],[Year (Range)]]&gt;=$C$7)*(monthly_mortgage_schedule[[#This Row],[Year (Range)]]&lt;=$C$9),AB306,NA())</f>
        <v>434031.21204635134</v>
      </c>
      <c r="V306" s="214">
        <f>IF((monthly_mortgage_schedule[[#This Row],[Year (Range)]]&gt;=$C$7)*(monthly_mortgage_schedule[[#This Row],[Year (Range)]]&lt;=$C$9),AI306,NA())</f>
        <v>353014.83851082897</v>
      </c>
      <c r="W306" s="187">
        <f t="shared" si="31"/>
        <v>108562.19089161781</v>
      </c>
      <c r="X306" s="4">
        <f t="shared" si="34"/>
        <v>506.62355749421647</v>
      </c>
      <c r="Y306" s="4">
        <f t="shared" si="32"/>
        <v>2593.4029379691915</v>
      </c>
      <c r="Z306" s="4">
        <f>_xlfn.IFNA(INDEX(additional_mortgage_payments[],MATCH(monthly_mortgage_schedule[[#This Row],[Month]],additional_mortgage_payments[Month],0),3),0)</f>
        <v>0</v>
      </c>
      <c r="AA306" s="4">
        <f>AA305+monthly_mortgage_schedule[[#This Row],[Extra Payments Towards Equity]]</f>
        <v>35750</v>
      </c>
      <c r="AB306" s="4">
        <f>AB305+monthly_mortgage_schedule[[#This Row],[Principal With Extra Principal Payments]]+monthly_mortgage_schedule[[#This Row],[Extra Payments Towards Equity]]</f>
        <v>434031.21204635134</v>
      </c>
      <c r="AC306" s="4">
        <f>monthly_mortgage_schedule[[#This Row],[Cumulative Principal With Extra Principal Payments]]+down_payment_dollars</f>
        <v>494031.21204635134</v>
      </c>
      <c r="AD306" s="200">
        <f t="shared" si="29"/>
        <v>0</v>
      </c>
      <c r="AE30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105968.78795364861</v>
      </c>
      <c r="AF306" s="187">
        <f t="shared" si="35"/>
        <v>189202.24417846851</v>
      </c>
      <c r="AG306" s="4">
        <f>IF(monthly_mortgage_schedule[[#This Row],[Loan Balance (BOY) Without Extra Principal Payments]]&gt;0,monthly_mortgage_schedule[[#This Row],[Loan Balance (BOY) Without Extra Principal Payments]]*monthly_interest_rate,0)</f>
        <v>882.94380616618639</v>
      </c>
      <c r="AH306" s="4">
        <f>IF(monthly_mortgage_schedule[[#This Row],[Loan Balance (BOY) Without Extra Principal Payments]]&gt;1,monthly_principal_and_interest-monthly_mortgage_schedule[[#This Row],[Interest Without Extra Principal Payments]],0)</f>
        <v>2217.0826892972218</v>
      </c>
      <c r="AI306" s="4">
        <f>AI305+monthly_mortgage_schedule[[#This Row],[Principal Without Extra Principal Payments]]</f>
        <v>353014.83851082897</v>
      </c>
      <c r="AJ306" s="4">
        <f>monthly_mortgage_schedule[[#This Row],[Cumulative Principal Without Extra Principal Payments]]+down_payment_dollars</f>
        <v>413014.83851082897</v>
      </c>
      <c r="AK306" s="200">
        <f t="shared" si="30"/>
        <v>0</v>
      </c>
      <c r="AL30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186985.1614891713</v>
      </c>
      <c r="AN306" s="196">
        <f>monthly_mortgage_schedule[[#This Row],[Extra Payments Towards Equity]]+AN305+IF(monthly_mortgage_schedule[[#This Row],[Interest With Extra Principal Payments]]&gt;0,monthly_mortgage_schedule[[#This Row],[Interest Without Extra Principal Payments]]-monthly_mortgage_schedule[[#This Row],[Interest With Extra Principal Payments]],0)</f>
        <v>81016.373535522653</v>
      </c>
      <c r="AO306" s="4">
        <f>AO305+IF(monthly_mortgage_schedule[[#This Row],[Interest With Extra Principal Payments]]&gt;0,monthly_mortgage_schedule[[#This Row],[Interest Without Extra Principal Payments]]-monthly_mortgage_schedule[[#This Row],[Interest With Extra Principal Payments]],0)</f>
        <v>45266.373535522609</v>
      </c>
      <c r="AP306" s="4">
        <f>AP305+monthly_mortgage_schedule[[#This Row],[PMI Without Extra Principal Payments]]-monthly_mortgage_schedule[[#This Row],[PMI with Additional Payments]]</f>
        <v>990</v>
      </c>
      <c r="AQ306" s="4">
        <f t="shared" si="33"/>
        <v>118013.20194402283</v>
      </c>
      <c r="AR306" s="4">
        <f>Table60[[#This Row],[Cumulative Investments]]-monthly_mortgage_schedule[[#This Row],[Cumulative Extra Payments Towards Equity]]</f>
        <v>82263.201944022832</v>
      </c>
    </row>
    <row r="307" spans="9:44" x14ac:dyDescent="0.25">
      <c r="I307">
        <v>290</v>
      </c>
      <c r="J307">
        <f>IF(MOD(ROWS($J$18:J306),12)=0,J306+1,J306)</f>
        <v>2046</v>
      </c>
      <c r="K307" s="198">
        <f>IF(M307="#N/A",NA(),monthly_mortgage_schedule[[#This Row],[Month]])</f>
        <v>290</v>
      </c>
      <c r="L307" s="198">
        <f>IF(monthly_mortgage_schedule[[#This Row],[Calendar Year]]&gt;=$C$7,monthly_mortgage_schedule[[#This Row],[Calendar Year]],NA())</f>
        <v>2046</v>
      </c>
      <c r="M307" s="199">
        <f>IF((monthly_mortgage_schedule[[#This Row],[Calendar Year]]&gt;=$C$7)*(monthly_mortgage_schedule[[#This Row],[Calendar Year]]&lt;=$C$9),monthly_mortgage_schedule[[#This Row],[Begin Year (Range)]],NA())</f>
        <v>2046</v>
      </c>
      <c r="N307" s="214">
        <f>IF((monthly_mortgage_schedule[[#This Row],[Year (Range)]]&gt;=$C$7)*(monthly_mortgage_schedule[[#This Row],[Year (Range)]]&lt;=$C$9),X307,NA())</f>
        <v>494.52101045036022</v>
      </c>
      <c r="O307" s="214">
        <f>IF((monthly_mortgage_schedule[[#This Row],[Year (Range)]]&gt;=$C$7)*(monthly_mortgage_schedule[[#This Row],[Year (Range)]]&lt;=$C$9),Y307,NA())</f>
        <v>2605.5054850130477</v>
      </c>
      <c r="P307" s="214">
        <f>IF((monthly_mortgage_schedule[[#This Row],[Year (Range)]]&gt;=$C$7)*(monthly_mortgage_schedule[[#This Row],[Year (Range)]]&lt;=$C$9),AG307,NA())</f>
        <v>872.59742028279948</v>
      </c>
      <c r="Q307" s="214">
        <f>IF((monthly_mortgage_schedule[[#This Row],[Year (Range)]]&gt;=$C$7)*(monthly_mortgage_schedule[[#This Row],[Year (Range)]]&lt;=$C$9),AH307,NA())</f>
        <v>2227.4290751806084</v>
      </c>
      <c r="R307" s="214">
        <f>IF((monthly_mortgage_schedule[[#This Row],[Year (Range)]]&gt;=$C$7)*(monthly_mortgage_schedule[[#This Row],[Year (Range)]]&lt;=$C$9),AO307,NA())</f>
        <v>45644.449945355045</v>
      </c>
      <c r="S307" s="214">
        <f>IF((monthly_mortgage_schedule[[#This Row],[Year (Range)]]&gt;=$C$7)*(monthly_mortgage_schedule[[#This Row],[Year (Range)]]&lt;=$C$9),AP307,NA())</f>
        <v>990</v>
      </c>
      <c r="T307" s="214">
        <f>IF((monthly_mortgage_schedule[[#This Row],[Year (Range)]]&gt;=$C$7)*(monthly_mortgage_schedule[[#This Row],[Year (Range)]]&lt;=$C$9),AR307,NA())</f>
        <v>83049.956623649647</v>
      </c>
      <c r="U307" s="214">
        <f>IF((monthly_mortgage_schedule[[#This Row],[Year (Range)]]&gt;=$C$7)*(monthly_mortgage_schedule[[#This Row],[Year (Range)]]&lt;=$C$9),AB307,NA())</f>
        <v>436636.71753136441</v>
      </c>
      <c r="V307" s="214">
        <f>IF((monthly_mortgage_schedule[[#This Row],[Year (Range)]]&gt;=$C$7)*(monthly_mortgage_schedule[[#This Row],[Year (Range)]]&lt;=$C$9),AI307,NA())</f>
        <v>355242.26758600958</v>
      </c>
      <c r="W307" s="187">
        <f t="shared" si="31"/>
        <v>105968.78795364861</v>
      </c>
      <c r="X307" s="4">
        <f t="shared" si="34"/>
        <v>494.52101045036022</v>
      </c>
      <c r="Y307" s="4">
        <f t="shared" si="32"/>
        <v>2605.5054850130477</v>
      </c>
      <c r="Z307" s="4">
        <f>_xlfn.IFNA(INDEX(additional_mortgage_payments[],MATCH(monthly_mortgage_schedule[[#This Row],[Month]],additional_mortgage_payments[Month],0),3),0)</f>
        <v>0</v>
      </c>
      <c r="AA307" s="4">
        <f>AA306+monthly_mortgage_schedule[[#This Row],[Extra Payments Towards Equity]]</f>
        <v>35750</v>
      </c>
      <c r="AB307" s="4">
        <f>AB306+monthly_mortgage_schedule[[#This Row],[Principal With Extra Principal Payments]]+monthly_mortgage_schedule[[#This Row],[Extra Payments Towards Equity]]</f>
        <v>436636.71753136441</v>
      </c>
      <c r="AC307" s="4">
        <f>monthly_mortgage_schedule[[#This Row],[Cumulative Principal With Extra Principal Payments]]+down_payment_dollars</f>
        <v>496636.71753136441</v>
      </c>
      <c r="AD307" s="200">
        <f t="shared" si="29"/>
        <v>0</v>
      </c>
      <c r="AE30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103363.28246863556</v>
      </c>
      <c r="AF307" s="187">
        <f t="shared" si="35"/>
        <v>186985.1614891713</v>
      </c>
      <c r="AG307" s="4">
        <f>IF(monthly_mortgage_schedule[[#This Row],[Loan Balance (BOY) Without Extra Principal Payments]]&gt;0,monthly_mortgage_schedule[[#This Row],[Loan Balance (BOY) Without Extra Principal Payments]]*monthly_interest_rate,0)</f>
        <v>872.59742028279948</v>
      </c>
      <c r="AH307" s="4">
        <f>IF(monthly_mortgage_schedule[[#This Row],[Loan Balance (BOY) Without Extra Principal Payments]]&gt;1,monthly_principal_and_interest-monthly_mortgage_schedule[[#This Row],[Interest Without Extra Principal Payments]],0)</f>
        <v>2227.4290751806084</v>
      </c>
      <c r="AI307" s="4">
        <f>AI306+monthly_mortgage_schedule[[#This Row],[Principal Without Extra Principal Payments]]</f>
        <v>355242.26758600958</v>
      </c>
      <c r="AJ307" s="4">
        <f>monthly_mortgage_schedule[[#This Row],[Cumulative Principal Without Extra Principal Payments]]+down_payment_dollars</f>
        <v>415242.26758600958</v>
      </c>
      <c r="AK307" s="200">
        <f t="shared" si="30"/>
        <v>0</v>
      </c>
      <c r="AL30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184757.73241399069</v>
      </c>
      <c r="AN307" s="196">
        <f>monthly_mortgage_schedule[[#This Row],[Extra Payments Towards Equity]]+AN306+IF(monthly_mortgage_schedule[[#This Row],[Interest With Extra Principal Payments]]&gt;0,monthly_mortgage_schedule[[#This Row],[Interest Without Extra Principal Payments]]-monthly_mortgage_schedule[[#This Row],[Interest With Extra Principal Payments]],0)</f>
        <v>81394.449945355096</v>
      </c>
      <c r="AO307" s="4">
        <f>AO306+IF(monthly_mortgage_schedule[[#This Row],[Interest With Extra Principal Payments]]&gt;0,monthly_mortgage_schedule[[#This Row],[Interest Without Extra Principal Payments]]-monthly_mortgage_schedule[[#This Row],[Interest With Extra Principal Payments]],0)</f>
        <v>45644.449945355045</v>
      </c>
      <c r="AP307" s="4">
        <f>AP306+monthly_mortgage_schedule[[#This Row],[PMI Without Extra Principal Payments]]-monthly_mortgage_schedule[[#This Row],[PMI with Additional Payments]]</f>
        <v>990</v>
      </c>
      <c r="AQ307" s="4">
        <f t="shared" si="33"/>
        <v>118799.95662364965</v>
      </c>
      <c r="AR307" s="4">
        <f>Table60[[#This Row],[Cumulative Investments]]-monthly_mortgage_schedule[[#This Row],[Cumulative Extra Payments Towards Equity]]</f>
        <v>83049.956623649647</v>
      </c>
    </row>
    <row r="308" spans="9:44" x14ac:dyDescent="0.25">
      <c r="I308">
        <v>291</v>
      </c>
      <c r="J308">
        <f>IF(MOD(ROWS($J$18:J307),12)=0,J307+1,J307)</f>
        <v>2046</v>
      </c>
      <c r="K308" s="198">
        <f>IF(M308="#N/A",NA(),monthly_mortgage_schedule[[#This Row],[Month]])</f>
        <v>291</v>
      </c>
      <c r="L308" s="198">
        <f>IF(monthly_mortgage_schedule[[#This Row],[Calendar Year]]&gt;=$C$7,monthly_mortgage_schedule[[#This Row],[Calendar Year]],NA())</f>
        <v>2046</v>
      </c>
      <c r="M308" s="199">
        <f>IF((monthly_mortgage_schedule[[#This Row],[Calendar Year]]&gt;=$C$7)*(monthly_mortgage_schedule[[#This Row],[Calendar Year]]&lt;=$C$9),monthly_mortgage_schedule[[#This Row],[Begin Year (Range)]],NA())</f>
        <v>2046</v>
      </c>
      <c r="N308" s="214">
        <f>IF((monthly_mortgage_schedule[[#This Row],[Year (Range)]]&gt;=$C$7)*(monthly_mortgage_schedule[[#This Row],[Year (Range)]]&lt;=$C$9),X308,NA())</f>
        <v>482.36198485363263</v>
      </c>
      <c r="O308" s="214">
        <f>IF((monthly_mortgage_schedule[[#This Row],[Year (Range)]]&gt;=$C$7)*(monthly_mortgage_schedule[[#This Row],[Year (Range)]]&lt;=$C$9),Y308,NA())</f>
        <v>2617.6645106097753</v>
      </c>
      <c r="P308" s="214">
        <f>IF((monthly_mortgage_schedule[[#This Row],[Year (Range)]]&gt;=$C$7)*(monthly_mortgage_schedule[[#This Row],[Year (Range)]]&lt;=$C$9),AG308,NA())</f>
        <v>862.20275126528998</v>
      </c>
      <c r="Q308" s="214">
        <f>IF((monthly_mortgage_schedule[[#This Row],[Year (Range)]]&gt;=$C$7)*(monthly_mortgage_schedule[[#This Row],[Year (Range)]]&lt;=$C$9),AH308,NA())</f>
        <v>2237.8237441981182</v>
      </c>
      <c r="R308" s="214">
        <f>IF((monthly_mortgage_schedule[[#This Row],[Year (Range)]]&gt;=$C$7)*(monthly_mortgage_schedule[[#This Row],[Year (Range)]]&lt;=$C$9),AO308,NA())</f>
        <v>46024.290711766705</v>
      </c>
      <c r="S308" s="214">
        <f>IF((monthly_mortgage_schedule[[#This Row],[Year (Range)]]&gt;=$C$7)*(monthly_mortgage_schedule[[#This Row],[Year (Range)]]&lt;=$C$9),AP308,NA())</f>
        <v>990</v>
      </c>
      <c r="T308" s="214">
        <f>IF((monthly_mortgage_schedule[[#This Row],[Year (Range)]]&gt;=$C$7)*(monthly_mortgage_schedule[[#This Row],[Year (Range)]]&lt;=$C$9),AR308,NA())</f>
        <v>83841.956334473973</v>
      </c>
      <c r="U308" s="214">
        <f>IF((monthly_mortgage_schedule[[#This Row],[Year (Range)]]&gt;=$C$7)*(monthly_mortgage_schedule[[#This Row],[Year (Range)]]&lt;=$C$9),AB308,NA())</f>
        <v>439254.38204197417</v>
      </c>
      <c r="V308" s="214">
        <f>IF((monthly_mortgage_schedule[[#This Row],[Year (Range)]]&gt;=$C$7)*(monthly_mortgage_schedule[[#This Row],[Year (Range)]]&lt;=$C$9),AI308,NA())</f>
        <v>357480.09133020771</v>
      </c>
      <c r="W308" s="187">
        <f t="shared" si="31"/>
        <v>103363.28246863556</v>
      </c>
      <c r="X308" s="4">
        <f t="shared" si="34"/>
        <v>482.36198485363263</v>
      </c>
      <c r="Y308" s="4">
        <f t="shared" si="32"/>
        <v>2617.6645106097753</v>
      </c>
      <c r="Z308" s="4">
        <f>_xlfn.IFNA(INDEX(additional_mortgage_payments[],MATCH(monthly_mortgage_schedule[[#This Row],[Month]],additional_mortgage_payments[Month],0),3),0)</f>
        <v>0</v>
      </c>
      <c r="AA308" s="4">
        <f>AA307+monthly_mortgage_schedule[[#This Row],[Extra Payments Towards Equity]]</f>
        <v>35750</v>
      </c>
      <c r="AB308" s="4">
        <f>AB307+monthly_mortgage_schedule[[#This Row],[Principal With Extra Principal Payments]]+monthly_mortgage_schedule[[#This Row],[Extra Payments Towards Equity]]</f>
        <v>439254.38204197417</v>
      </c>
      <c r="AC308" s="4">
        <f>monthly_mortgage_schedule[[#This Row],[Cumulative Principal With Extra Principal Payments]]+down_payment_dollars</f>
        <v>499254.38204197417</v>
      </c>
      <c r="AD308" s="200">
        <f t="shared" si="29"/>
        <v>0</v>
      </c>
      <c r="AE30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100745.61795802579</v>
      </c>
      <c r="AF308" s="187">
        <f t="shared" si="35"/>
        <v>184757.73241399069</v>
      </c>
      <c r="AG308" s="4">
        <f>IF(monthly_mortgage_schedule[[#This Row],[Loan Balance (BOY) Without Extra Principal Payments]]&gt;0,monthly_mortgage_schedule[[#This Row],[Loan Balance (BOY) Without Extra Principal Payments]]*monthly_interest_rate,0)</f>
        <v>862.20275126528998</v>
      </c>
      <c r="AH308" s="4">
        <f>IF(monthly_mortgage_schedule[[#This Row],[Loan Balance (BOY) Without Extra Principal Payments]]&gt;1,monthly_principal_and_interest-monthly_mortgage_schedule[[#This Row],[Interest Without Extra Principal Payments]],0)</f>
        <v>2237.8237441981182</v>
      </c>
      <c r="AI308" s="4">
        <f>AI307+monthly_mortgage_schedule[[#This Row],[Principal Without Extra Principal Payments]]</f>
        <v>357480.09133020771</v>
      </c>
      <c r="AJ308" s="4">
        <f>monthly_mortgage_schedule[[#This Row],[Cumulative Principal Without Extra Principal Payments]]+down_payment_dollars</f>
        <v>417480.09133020771</v>
      </c>
      <c r="AK308" s="200">
        <f t="shared" si="30"/>
        <v>0</v>
      </c>
      <c r="AL30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182519.90866979258</v>
      </c>
      <c r="AN308" s="196">
        <f>monthly_mortgage_schedule[[#This Row],[Extra Payments Towards Equity]]+AN307+IF(monthly_mortgage_schedule[[#This Row],[Interest With Extra Principal Payments]]&gt;0,monthly_mortgage_schedule[[#This Row],[Interest Without Extra Principal Payments]]-monthly_mortgage_schedule[[#This Row],[Interest With Extra Principal Payments]],0)</f>
        <v>81774.290711766749</v>
      </c>
      <c r="AO308" s="4">
        <f>AO307+IF(monthly_mortgage_schedule[[#This Row],[Interest With Extra Principal Payments]]&gt;0,monthly_mortgage_schedule[[#This Row],[Interest Without Extra Principal Payments]]-monthly_mortgage_schedule[[#This Row],[Interest With Extra Principal Payments]],0)</f>
        <v>46024.290711766705</v>
      </c>
      <c r="AP308" s="4">
        <f>AP307+monthly_mortgage_schedule[[#This Row],[PMI Without Extra Principal Payments]]-monthly_mortgage_schedule[[#This Row],[PMI with Additional Payments]]</f>
        <v>990</v>
      </c>
      <c r="AQ308" s="4">
        <f t="shared" si="33"/>
        <v>119591.95633447397</v>
      </c>
      <c r="AR308" s="4">
        <f>Table60[[#This Row],[Cumulative Investments]]-monthly_mortgage_schedule[[#This Row],[Cumulative Extra Payments Towards Equity]]</f>
        <v>83841.956334473973</v>
      </c>
    </row>
    <row r="309" spans="9:44" x14ac:dyDescent="0.25">
      <c r="I309">
        <v>292</v>
      </c>
      <c r="J309">
        <f>IF(MOD(ROWS($J$18:J308),12)=0,J308+1,J308)</f>
        <v>2046</v>
      </c>
      <c r="K309" s="198">
        <f>IF(M309="#N/A",NA(),monthly_mortgage_schedule[[#This Row],[Month]])</f>
        <v>292</v>
      </c>
      <c r="L309" s="198">
        <f>IF(monthly_mortgage_schedule[[#This Row],[Calendar Year]]&gt;=$C$7,monthly_mortgage_schedule[[#This Row],[Calendar Year]],NA())</f>
        <v>2046</v>
      </c>
      <c r="M309" s="199">
        <f>IF((monthly_mortgage_schedule[[#This Row],[Calendar Year]]&gt;=$C$7)*(monthly_mortgage_schedule[[#This Row],[Calendar Year]]&lt;=$C$9),monthly_mortgage_schedule[[#This Row],[Begin Year (Range)]],NA())</f>
        <v>2046</v>
      </c>
      <c r="N309" s="214">
        <f>IF((monthly_mortgage_schedule[[#This Row],[Year (Range)]]&gt;=$C$7)*(monthly_mortgage_schedule[[#This Row],[Year (Range)]]&lt;=$C$9),X309,NA())</f>
        <v>470.14621713745373</v>
      </c>
      <c r="O309" s="214">
        <f>IF((monthly_mortgage_schedule[[#This Row],[Year (Range)]]&gt;=$C$7)*(monthly_mortgage_schedule[[#This Row],[Year (Range)]]&lt;=$C$9),Y309,NA())</f>
        <v>2629.8802783259544</v>
      </c>
      <c r="P309" s="214">
        <f>IF((monthly_mortgage_schedule[[#This Row],[Year (Range)]]&gt;=$C$7)*(monthly_mortgage_schedule[[#This Row],[Year (Range)]]&lt;=$C$9),AG309,NA())</f>
        <v>851.75957379236547</v>
      </c>
      <c r="Q309" s="214">
        <f>IF((monthly_mortgage_schedule[[#This Row],[Year (Range)]]&gt;=$C$7)*(monthly_mortgage_schedule[[#This Row],[Year (Range)]]&lt;=$C$9),AH309,NA())</f>
        <v>2248.2669216710428</v>
      </c>
      <c r="R309" s="214">
        <f>IF((monthly_mortgage_schedule[[#This Row],[Year (Range)]]&gt;=$C$7)*(monthly_mortgage_schedule[[#This Row],[Year (Range)]]&lt;=$C$9),AO309,NA())</f>
        <v>46405.904068421616</v>
      </c>
      <c r="S309" s="214">
        <f>IF((monthly_mortgage_schedule[[#This Row],[Year (Range)]]&gt;=$C$7)*(monthly_mortgage_schedule[[#This Row],[Year (Range)]]&lt;=$C$9),AP309,NA())</f>
        <v>990</v>
      </c>
      <c r="T309" s="214">
        <f>IF((monthly_mortgage_schedule[[#This Row],[Year (Range)]]&gt;=$C$7)*(monthly_mortgage_schedule[[#This Row],[Year (Range)]]&lt;=$C$9),AR309,NA())</f>
        <v>84639.23604337046</v>
      </c>
      <c r="U309" s="214">
        <f>IF((monthly_mortgage_schedule[[#This Row],[Year (Range)]]&gt;=$C$7)*(monthly_mortgage_schedule[[#This Row],[Year (Range)]]&lt;=$C$9),AB309,NA())</f>
        <v>441884.2623203001</v>
      </c>
      <c r="V309" s="214">
        <f>IF((monthly_mortgage_schedule[[#This Row],[Year (Range)]]&gt;=$C$7)*(monthly_mortgage_schedule[[#This Row],[Year (Range)]]&lt;=$C$9),AI309,NA())</f>
        <v>359728.35825187876</v>
      </c>
      <c r="W309" s="187">
        <f t="shared" si="31"/>
        <v>100745.61795802579</v>
      </c>
      <c r="X309" s="4">
        <f t="shared" si="34"/>
        <v>470.14621713745373</v>
      </c>
      <c r="Y309" s="4">
        <f t="shared" si="32"/>
        <v>2629.8802783259544</v>
      </c>
      <c r="Z309" s="4">
        <f>_xlfn.IFNA(INDEX(additional_mortgage_payments[],MATCH(monthly_mortgage_schedule[[#This Row],[Month]],additional_mortgage_payments[Month],0),3),0)</f>
        <v>0</v>
      </c>
      <c r="AA309" s="4">
        <f>AA308+monthly_mortgage_schedule[[#This Row],[Extra Payments Towards Equity]]</f>
        <v>35750</v>
      </c>
      <c r="AB309" s="4">
        <f>AB308+monthly_mortgage_schedule[[#This Row],[Principal With Extra Principal Payments]]+monthly_mortgage_schedule[[#This Row],[Extra Payments Towards Equity]]</f>
        <v>441884.2623203001</v>
      </c>
      <c r="AC309" s="4">
        <f>monthly_mortgage_schedule[[#This Row],[Cumulative Principal With Extra Principal Payments]]+down_payment_dollars</f>
        <v>501884.2623203001</v>
      </c>
      <c r="AD309" s="200">
        <f t="shared" si="29"/>
        <v>0</v>
      </c>
      <c r="AE30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98115.737679699829</v>
      </c>
      <c r="AF309" s="187">
        <f t="shared" si="35"/>
        <v>182519.90866979258</v>
      </c>
      <c r="AG309" s="4">
        <f>IF(monthly_mortgage_schedule[[#This Row],[Loan Balance (BOY) Without Extra Principal Payments]]&gt;0,monthly_mortgage_schedule[[#This Row],[Loan Balance (BOY) Without Extra Principal Payments]]*monthly_interest_rate,0)</f>
        <v>851.75957379236547</v>
      </c>
      <c r="AH309" s="4">
        <f>IF(monthly_mortgage_schedule[[#This Row],[Loan Balance (BOY) Without Extra Principal Payments]]&gt;1,monthly_principal_and_interest-monthly_mortgage_schedule[[#This Row],[Interest Without Extra Principal Payments]],0)</f>
        <v>2248.2669216710428</v>
      </c>
      <c r="AI309" s="4">
        <f>AI308+monthly_mortgage_schedule[[#This Row],[Principal Without Extra Principal Payments]]</f>
        <v>359728.35825187876</v>
      </c>
      <c r="AJ309" s="4">
        <f>monthly_mortgage_schedule[[#This Row],[Cumulative Principal Without Extra Principal Payments]]+down_payment_dollars</f>
        <v>419728.35825187876</v>
      </c>
      <c r="AK309" s="200">
        <f t="shared" si="30"/>
        <v>0</v>
      </c>
      <c r="AL30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180271.64174812153</v>
      </c>
      <c r="AN309" s="196">
        <f>monthly_mortgage_schedule[[#This Row],[Extra Payments Towards Equity]]+AN308+IF(monthly_mortgage_schedule[[#This Row],[Interest With Extra Principal Payments]]&gt;0,monthly_mortgage_schedule[[#This Row],[Interest Without Extra Principal Payments]]-monthly_mortgage_schedule[[#This Row],[Interest With Extra Principal Payments]],0)</f>
        <v>82155.90406842166</v>
      </c>
      <c r="AO309" s="4">
        <f>AO308+IF(monthly_mortgage_schedule[[#This Row],[Interest With Extra Principal Payments]]&gt;0,monthly_mortgage_schedule[[#This Row],[Interest Without Extra Principal Payments]]-monthly_mortgage_schedule[[#This Row],[Interest With Extra Principal Payments]],0)</f>
        <v>46405.904068421616</v>
      </c>
      <c r="AP309" s="4">
        <f>AP308+monthly_mortgage_schedule[[#This Row],[PMI Without Extra Principal Payments]]-monthly_mortgage_schedule[[#This Row],[PMI with Additional Payments]]</f>
        <v>990</v>
      </c>
      <c r="AQ309" s="4">
        <f t="shared" si="33"/>
        <v>120389.23604337046</v>
      </c>
      <c r="AR309" s="4">
        <f>Table60[[#This Row],[Cumulative Investments]]-monthly_mortgage_schedule[[#This Row],[Cumulative Extra Payments Towards Equity]]</f>
        <v>84639.23604337046</v>
      </c>
    </row>
    <row r="310" spans="9:44" x14ac:dyDescent="0.25">
      <c r="I310">
        <v>293</v>
      </c>
      <c r="J310">
        <f>IF(MOD(ROWS($J$18:J309),12)=0,J309+1,J309)</f>
        <v>2046</v>
      </c>
      <c r="K310" s="198">
        <f>IF(M310="#N/A",NA(),monthly_mortgage_schedule[[#This Row],[Month]])</f>
        <v>293</v>
      </c>
      <c r="L310" s="198">
        <f>IF(monthly_mortgage_schedule[[#This Row],[Calendar Year]]&gt;=$C$7,monthly_mortgage_schedule[[#This Row],[Calendar Year]],NA())</f>
        <v>2046</v>
      </c>
      <c r="M310" s="199">
        <f>IF((monthly_mortgage_schedule[[#This Row],[Calendar Year]]&gt;=$C$7)*(monthly_mortgage_schedule[[#This Row],[Calendar Year]]&lt;=$C$9),monthly_mortgage_schedule[[#This Row],[Begin Year (Range)]],NA())</f>
        <v>2046</v>
      </c>
      <c r="N310" s="214">
        <f>IF((monthly_mortgage_schedule[[#This Row],[Year (Range)]]&gt;=$C$7)*(monthly_mortgage_schedule[[#This Row],[Year (Range)]]&lt;=$C$9),X310,NA())</f>
        <v>457.87344250526593</v>
      </c>
      <c r="O310" s="214">
        <f>IF((monthly_mortgage_schedule[[#This Row],[Year (Range)]]&gt;=$C$7)*(monthly_mortgage_schedule[[#This Row],[Year (Range)]]&lt;=$C$9),Y310,NA())</f>
        <v>2642.1530529581423</v>
      </c>
      <c r="P310" s="214">
        <f>IF((monthly_mortgage_schedule[[#This Row],[Year (Range)]]&gt;=$C$7)*(monthly_mortgage_schedule[[#This Row],[Year (Range)]]&lt;=$C$9),AG310,NA())</f>
        <v>841.26766149123387</v>
      </c>
      <c r="Q310" s="214">
        <f>IF((monthly_mortgage_schedule[[#This Row],[Year (Range)]]&gt;=$C$7)*(monthly_mortgage_schedule[[#This Row],[Year (Range)]]&lt;=$C$9),AH310,NA())</f>
        <v>2258.7588339721742</v>
      </c>
      <c r="R310" s="214">
        <f>IF((monthly_mortgage_schedule[[#This Row],[Year (Range)]]&gt;=$C$7)*(monthly_mortgage_schedule[[#This Row],[Year (Range)]]&lt;=$C$9),AO310,NA())</f>
        <v>46789.298287407582</v>
      </c>
      <c r="S310" s="214">
        <f>IF((monthly_mortgage_schedule[[#This Row],[Year (Range)]]&gt;=$C$7)*(monthly_mortgage_schedule[[#This Row],[Year (Range)]]&lt;=$C$9),AP310,NA())</f>
        <v>990</v>
      </c>
      <c r="T310" s="214">
        <f>IF((monthly_mortgage_schedule[[#This Row],[Year (Range)]]&gt;=$C$7)*(monthly_mortgage_schedule[[#This Row],[Year (Range)]]&lt;=$C$9),AR310,NA())</f>
        <v>85441.830950326257</v>
      </c>
      <c r="U310" s="214">
        <f>IF((monthly_mortgage_schedule[[#This Row],[Year (Range)]]&gt;=$C$7)*(monthly_mortgage_schedule[[#This Row],[Year (Range)]]&lt;=$C$9),AB310,NA())</f>
        <v>444526.41537325823</v>
      </c>
      <c r="V310" s="214">
        <f>IF((monthly_mortgage_schedule[[#This Row],[Year (Range)]]&gt;=$C$7)*(monthly_mortgage_schedule[[#This Row],[Year (Range)]]&lt;=$C$9),AI310,NA())</f>
        <v>361987.11708585091</v>
      </c>
      <c r="W310" s="187">
        <f t="shared" si="31"/>
        <v>98115.737679699829</v>
      </c>
      <c r="X310" s="4">
        <f t="shared" si="34"/>
        <v>457.87344250526593</v>
      </c>
      <c r="Y310" s="4">
        <f t="shared" si="32"/>
        <v>2642.1530529581423</v>
      </c>
      <c r="Z310" s="4">
        <f>_xlfn.IFNA(INDEX(additional_mortgage_payments[],MATCH(monthly_mortgage_schedule[[#This Row],[Month]],additional_mortgage_payments[Month],0),3),0)</f>
        <v>0</v>
      </c>
      <c r="AA310" s="4">
        <f>AA309+monthly_mortgage_schedule[[#This Row],[Extra Payments Towards Equity]]</f>
        <v>35750</v>
      </c>
      <c r="AB310" s="4">
        <f>AB309+monthly_mortgage_schedule[[#This Row],[Principal With Extra Principal Payments]]+monthly_mortgage_schedule[[#This Row],[Extra Payments Towards Equity]]</f>
        <v>444526.41537325823</v>
      </c>
      <c r="AC310" s="4">
        <f>monthly_mortgage_schedule[[#This Row],[Cumulative Principal With Extra Principal Payments]]+down_payment_dollars</f>
        <v>504526.41537325823</v>
      </c>
      <c r="AD310" s="200">
        <f t="shared" si="29"/>
        <v>0</v>
      </c>
      <c r="AE31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95473.584626741693</v>
      </c>
      <c r="AF310" s="187">
        <f t="shared" si="35"/>
        <v>180271.64174812153</v>
      </c>
      <c r="AG310" s="4">
        <f>IF(monthly_mortgage_schedule[[#This Row],[Loan Balance (BOY) Without Extra Principal Payments]]&gt;0,monthly_mortgage_schedule[[#This Row],[Loan Balance (BOY) Without Extra Principal Payments]]*monthly_interest_rate,0)</f>
        <v>841.26766149123387</v>
      </c>
      <c r="AH310" s="4">
        <f>IF(monthly_mortgage_schedule[[#This Row],[Loan Balance (BOY) Without Extra Principal Payments]]&gt;1,monthly_principal_and_interest-monthly_mortgage_schedule[[#This Row],[Interest Without Extra Principal Payments]],0)</f>
        <v>2258.7588339721742</v>
      </c>
      <c r="AI310" s="4">
        <f>AI309+monthly_mortgage_schedule[[#This Row],[Principal Without Extra Principal Payments]]</f>
        <v>361987.11708585091</v>
      </c>
      <c r="AJ310" s="4">
        <f>monthly_mortgage_schedule[[#This Row],[Cumulative Principal Without Extra Principal Payments]]+down_payment_dollars</f>
        <v>421987.11708585091</v>
      </c>
      <c r="AK310" s="200">
        <f t="shared" si="30"/>
        <v>0</v>
      </c>
      <c r="AL31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178012.88291414935</v>
      </c>
      <c r="AN310" s="196">
        <f>monthly_mortgage_schedule[[#This Row],[Extra Payments Towards Equity]]+AN309+IF(monthly_mortgage_schedule[[#This Row],[Interest With Extra Principal Payments]]&gt;0,monthly_mortgage_schedule[[#This Row],[Interest Without Extra Principal Payments]]-monthly_mortgage_schedule[[#This Row],[Interest With Extra Principal Payments]],0)</f>
        <v>82539.298287407626</v>
      </c>
      <c r="AO310" s="4">
        <f>AO309+IF(monthly_mortgage_schedule[[#This Row],[Interest With Extra Principal Payments]]&gt;0,monthly_mortgage_schedule[[#This Row],[Interest Without Extra Principal Payments]]-monthly_mortgage_schedule[[#This Row],[Interest With Extra Principal Payments]],0)</f>
        <v>46789.298287407582</v>
      </c>
      <c r="AP310" s="4">
        <f>AP309+monthly_mortgage_schedule[[#This Row],[PMI Without Extra Principal Payments]]-monthly_mortgage_schedule[[#This Row],[PMI with Additional Payments]]</f>
        <v>990</v>
      </c>
      <c r="AQ310" s="4">
        <f t="shared" si="33"/>
        <v>121191.83095032626</v>
      </c>
      <c r="AR310" s="4">
        <f>Table60[[#This Row],[Cumulative Investments]]-monthly_mortgage_schedule[[#This Row],[Cumulative Extra Payments Towards Equity]]</f>
        <v>85441.830950326257</v>
      </c>
    </row>
    <row r="311" spans="9:44" x14ac:dyDescent="0.25">
      <c r="I311">
        <v>294</v>
      </c>
      <c r="J311">
        <f>IF(MOD(ROWS($J$18:J310),12)=0,J310+1,J310)</f>
        <v>2046</v>
      </c>
      <c r="K311" s="198">
        <f>IF(M311="#N/A",NA(),monthly_mortgage_schedule[[#This Row],[Month]])</f>
        <v>294</v>
      </c>
      <c r="L311" s="198">
        <f>IF(monthly_mortgage_schedule[[#This Row],[Calendar Year]]&gt;=$C$7,monthly_mortgage_schedule[[#This Row],[Calendar Year]],NA())</f>
        <v>2046</v>
      </c>
      <c r="M311" s="199">
        <f>IF((monthly_mortgage_schedule[[#This Row],[Calendar Year]]&gt;=$C$7)*(monthly_mortgage_schedule[[#This Row],[Calendar Year]]&lt;=$C$9),monthly_mortgage_schedule[[#This Row],[Begin Year (Range)]],NA())</f>
        <v>2046</v>
      </c>
      <c r="N311" s="214">
        <f>IF((monthly_mortgage_schedule[[#This Row],[Year (Range)]]&gt;=$C$7)*(monthly_mortgage_schedule[[#This Row],[Year (Range)]]&lt;=$C$9),X311,NA())</f>
        <v>445.5433949247946</v>
      </c>
      <c r="O311" s="214">
        <f>IF((monthly_mortgage_schedule[[#This Row],[Year (Range)]]&gt;=$C$7)*(monthly_mortgage_schedule[[#This Row],[Year (Range)]]&lt;=$C$9),Y311,NA())</f>
        <v>2654.4831005386136</v>
      </c>
      <c r="P311" s="214">
        <f>IF((monthly_mortgage_schedule[[#This Row],[Year (Range)]]&gt;=$C$7)*(monthly_mortgage_schedule[[#This Row],[Year (Range)]]&lt;=$C$9),AG311,NA())</f>
        <v>830.726786932697</v>
      </c>
      <c r="Q311" s="214">
        <f>IF((monthly_mortgage_schedule[[#This Row],[Year (Range)]]&gt;=$C$7)*(monthly_mortgage_schedule[[#This Row],[Year (Range)]]&lt;=$C$9),AH311,NA())</f>
        <v>2269.2997085307111</v>
      </c>
      <c r="R311" s="214">
        <f>IF((monthly_mortgage_schedule[[#This Row],[Year (Range)]]&gt;=$C$7)*(monthly_mortgage_schedule[[#This Row],[Year (Range)]]&lt;=$C$9),AO311,NA())</f>
        <v>47174.481679415483</v>
      </c>
      <c r="S311" s="214">
        <f>IF((monthly_mortgage_schedule[[#This Row],[Year (Range)]]&gt;=$C$7)*(monthly_mortgage_schedule[[#This Row],[Year (Range)]]&lt;=$C$9),AP311,NA())</f>
        <v>990</v>
      </c>
      <c r="T311" s="214">
        <f>IF((monthly_mortgage_schedule[[#This Row],[Year (Range)]]&gt;=$C$7)*(monthly_mortgage_schedule[[#This Row],[Year (Range)]]&lt;=$C$9),AR311,NA())</f>
        <v>86249.776489995085</v>
      </c>
      <c r="U311" s="214">
        <f>IF((monthly_mortgage_schedule[[#This Row],[Year (Range)]]&gt;=$C$7)*(monthly_mortgage_schedule[[#This Row],[Year (Range)]]&lt;=$C$9),AB311,NA())</f>
        <v>447180.89847379684</v>
      </c>
      <c r="V311" s="214">
        <f>IF((monthly_mortgage_schedule[[#This Row],[Year (Range)]]&gt;=$C$7)*(monthly_mortgage_schedule[[#This Row],[Year (Range)]]&lt;=$C$9),AI311,NA())</f>
        <v>364256.41679438163</v>
      </c>
      <c r="W311" s="187">
        <f t="shared" si="31"/>
        <v>95473.584626741693</v>
      </c>
      <c r="X311" s="4">
        <f t="shared" si="34"/>
        <v>445.5433949247946</v>
      </c>
      <c r="Y311" s="4">
        <f t="shared" si="32"/>
        <v>2654.4831005386136</v>
      </c>
      <c r="Z311" s="4">
        <f>_xlfn.IFNA(INDEX(additional_mortgage_payments[],MATCH(monthly_mortgage_schedule[[#This Row],[Month]],additional_mortgage_payments[Month],0),3),0)</f>
        <v>0</v>
      </c>
      <c r="AA311" s="4">
        <f>AA310+monthly_mortgage_schedule[[#This Row],[Extra Payments Towards Equity]]</f>
        <v>35750</v>
      </c>
      <c r="AB311" s="4">
        <f>AB310+monthly_mortgage_schedule[[#This Row],[Principal With Extra Principal Payments]]+monthly_mortgage_schedule[[#This Row],[Extra Payments Towards Equity]]</f>
        <v>447180.89847379684</v>
      </c>
      <c r="AC311" s="4">
        <f>monthly_mortgage_schedule[[#This Row],[Cumulative Principal With Extra Principal Payments]]+down_payment_dollars</f>
        <v>507180.89847379684</v>
      </c>
      <c r="AD311" s="200">
        <f t="shared" si="29"/>
        <v>0</v>
      </c>
      <c r="AE31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92819.101526203085</v>
      </c>
      <c r="AF311" s="187">
        <f t="shared" si="35"/>
        <v>178012.88291414935</v>
      </c>
      <c r="AG311" s="4">
        <f>IF(monthly_mortgage_schedule[[#This Row],[Loan Balance (BOY) Without Extra Principal Payments]]&gt;0,monthly_mortgage_schedule[[#This Row],[Loan Balance (BOY) Without Extra Principal Payments]]*monthly_interest_rate,0)</f>
        <v>830.726786932697</v>
      </c>
      <c r="AH311" s="4">
        <f>IF(monthly_mortgage_schedule[[#This Row],[Loan Balance (BOY) Without Extra Principal Payments]]&gt;1,monthly_principal_and_interest-monthly_mortgage_schedule[[#This Row],[Interest Without Extra Principal Payments]],0)</f>
        <v>2269.2997085307111</v>
      </c>
      <c r="AI311" s="4">
        <f>AI310+monthly_mortgage_schedule[[#This Row],[Principal Without Extra Principal Payments]]</f>
        <v>364256.41679438163</v>
      </c>
      <c r="AJ311" s="4">
        <f>monthly_mortgage_schedule[[#This Row],[Cumulative Principal Without Extra Principal Payments]]+down_payment_dollars</f>
        <v>424256.41679438163</v>
      </c>
      <c r="AK311" s="200">
        <f t="shared" si="30"/>
        <v>0</v>
      </c>
      <c r="AL31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175743.58320561863</v>
      </c>
      <c r="AN311" s="196">
        <f>monthly_mortgage_schedule[[#This Row],[Extra Payments Towards Equity]]+AN310+IF(monthly_mortgage_schedule[[#This Row],[Interest With Extra Principal Payments]]&gt;0,monthly_mortgage_schedule[[#This Row],[Interest Without Extra Principal Payments]]-monthly_mortgage_schedule[[#This Row],[Interest With Extra Principal Payments]],0)</f>
        <v>82924.481679415534</v>
      </c>
      <c r="AO311" s="4">
        <f>AO310+IF(monthly_mortgage_schedule[[#This Row],[Interest With Extra Principal Payments]]&gt;0,monthly_mortgage_schedule[[#This Row],[Interest Without Extra Principal Payments]]-monthly_mortgage_schedule[[#This Row],[Interest With Extra Principal Payments]],0)</f>
        <v>47174.481679415483</v>
      </c>
      <c r="AP311" s="4">
        <f>AP310+monthly_mortgage_schedule[[#This Row],[PMI Without Extra Principal Payments]]-monthly_mortgage_schedule[[#This Row],[PMI with Additional Payments]]</f>
        <v>990</v>
      </c>
      <c r="AQ311" s="4">
        <f t="shared" si="33"/>
        <v>121999.77648999509</v>
      </c>
      <c r="AR311" s="4">
        <f>Table60[[#This Row],[Cumulative Investments]]-monthly_mortgage_schedule[[#This Row],[Cumulative Extra Payments Towards Equity]]</f>
        <v>86249.776489995085</v>
      </c>
    </row>
    <row r="312" spans="9:44" x14ac:dyDescent="0.25">
      <c r="I312">
        <v>295</v>
      </c>
      <c r="J312">
        <f>IF(MOD(ROWS($J$18:J311),12)=0,J311+1,J311)</f>
        <v>2046</v>
      </c>
      <c r="K312" s="198">
        <f>IF(M312="#N/A",NA(),monthly_mortgage_schedule[[#This Row],[Month]])</f>
        <v>295</v>
      </c>
      <c r="L312" s="198">
        <f>IF(monthly_mortgage_schedule[[#This Row],[Calendar Year]]&gt;=$C$7,monthly_mortgage_schedule[[#This Row],[Calendar Year]],NA())</f>
        <v>2046</v>
      </c>
      <c r="M312" s="199">
        <f>IF((monthly_mortgage_schedule[[#This Row],[Calendar Year]]&gt;=$C$7)*(monthly_mortgage_schedule[[#This Row],[Calendar Year]]&lt;=$C$9),monthly_mortgage_schedule[[#This Row],[Begin Year (Range)]],NA())</f>
        <v>2046</v>
      </c>
      <c r="N312" s="214">
        <f>IF((monthly_mortgage_schedule[[#This Row],[Year (Range)]]&gt;=$C$7)*(monthly_mortgage_schedule[[#This Row],[Year (Range)]]&lt;=$C$9),X312,NA())</f>
        <v>433.15580712228109</v>
      </c>
      <c r="O312" s="214">
        <f>IF((monthly_mortgage_schedule[[#This Row],[Year (Range)]]&gt;=$C$7)*(monthly_mortgage_schedule[[#This Row],[Year (Range)]]&lt;=$C$9),Y312,NA())</f>
        <v>2666.8706883411269</v>
      </c>
      <c r="P312" s="214">
        <f>IF((monthly_mortgage_schedule[[#This Row],[Year (Range)]]&gt;=$C$7)*(monthly_mortgage_schedule[[#This Row],[Year (Range)]]&lt;=$C$9),AG312,NA())</f>
        <v>820.13672162622038</v>
      </c>
      <c r="Q312" s="214">
        <f>IF((monthly_mortgage_schedule[[#This Row],[Year (Range)]]&gt;=$C$7)*(monthly_mortgage_schedule[[#This Row],[Year (Range)]]&lt;=$C$9),AH312,NA())</f>
        <v>2279.8897738371879</v>
      </c>
      <c r="R312" s="214">
        <f>IF((monthly_mortgage_schedule[[#This Row],[Year (Range)]]&gt;=$C$7)*(monthly_mortgage_schedule[[#This Row],[Year (Range)]]&lt;=$C$9),AO312,NA())</f>
        <v>47561.462593919423</v>
      </c>
      <c r="S312" s="214">
        <f>IF((monthly_mortgage_schedule[[#This Row],[Year (Range)]]&gt;=$C$7)*(monthly_mortgage_schedule[[#This Row],[Year (Range)]]&lt;=$C$9),AP312,NA())</f>
        <v>990</v>
      </c>
      <c r="T312" s="214">
        <f>IF((monthly_mortgage_schedule[[#This Row],[Year (Range)]]&gt;=$C$7)*(monthly_mortgage_schedule[[#This Row],[Year (Range)]]&lt;=$C$9),AR312,NA())</f>
        <v>87076.441666595041</v>
      </c>
      <c r="U312" s="214">
        <f>IF((monthly_mortgage_schedule[[#This Row],[Year (Range)]]&gt;=$C$7)*(monthly_mortgage_schedule[[#This Row],[Year (Range)]]&lt;=$C$9),AB312,NA())</f>
        <v>451847.76916213799</v>
      </c>
      <c r="V312" s="214">
        <f>IF((monthly_mortgage_schedule[[#This Row],[Year (Range)]]&gt;=$C$7)*(monthly_mortgage_schedule[[#This Row],[Year (Range)]]&lt;=$C$9),AI312,NA())</f>
        <v>366536.3065682188</v>
      </c>
      <c r="W312" s="187">
        <f t="shared" si="31"/>
        <v>92819.101526203085</v>
      </c>
      <c r="X312" s="4">
        <f t="shared" si="34"/>
        <v>433.15580712228109</v>
      </c>
      <c r="Y312" s="4">
        <f t="shared" si="32"/>
        <v>2666.8706883411269</v>
      </c>
      <c r="Z312" s="4">
        <f>_xlfn.IFNA(INDEX(additional_mortgage_payments[],MATCH(monthly_mortgage_schedule[[#This Row],[Month]],additional_mortgage_payments[Month],0),3),0)</f>
        <v>2000</v>
      </c>
      <c r="AA312" s="4">
        <f>AA311+monthly_mortgage_schedule[[#This Row],[Extra Payments Towards Equity]]</f>
        <v>37750</v>
      </c>
      <c r="AB312" s="4">
        <f>AB311+monthly_mortgage_schedule[[#This Row],[Principal With Extra Principal Payments]]+monthly_mortgage_schedule[[#This Row],[Extra Payments Towards Equity]]</f>
        <v>451847.76916213799</v>
      </c>
      <c r="AC312" s="4">
        <f>monthly_mortgage_schedule[[#This Row],[Cumulative Principal With Extra Principal Payments]]+down_payment_dollars</f>
        <v>511847.76916213799</v>
      </c>
      <c r="AD312" s="200">
        <f t="shared" si="29"/>
        <v>0</v>
      </c>
      <c r="AE31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88152.230837861964</v>
      </c>
      <c r="AF312" s="187">
        <f t="shared" si="35"/>
        <v>175743.58320561863</v>
      </c>
      <c r="AG312" s="4">
        <f>IF(monthly_mortgage_schedule[[#This Row],[Loan Balance (BOY) Without Extra Principal Payments]]&gt;0,monthly_mortgage_schedule[[#This Row],[Loan Balance (BOY) Without Extra Principal Payments]]*monthly_interest_rate,0)</f>
        <v>820.13672162622038</v>
      </c>
      <c r="AH312" s="4">
        <f>IF(monthly_mortgage_schedule[[#This Row],[Loan Balance (BOY) Without Extra Principal Payments]]&gt;1,monthly_principal_and_interest-monthly_mortgage_schedule[[#This Row],[Interest Without Extra Principal Payments]],0)</f>
        <v>2279.8897738371879</v>
      </c>
      <c r="AI312" s="4">
        <f>AI311+monthly_mortgage_schedule[[#This Row],[Principal Without Extra Principal Payments]]</f>
        <v>366536.3065682188</v>
      </c>
      <c r="AJ312" s="4">
        <f>monthly_mortgage_schedule[[#This Row],[Cumulative Principal Without Extra Principal Payments]]+down_payment_dollars</f>
        <v>426536.3065682188</v>
      </c>
      <c r="AK312" s="200">
        <f t="shared" si="30"/>
        <v>0</v>
      </c>
      <c r="AL31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173463.69343178146</v>
      </c>
      <c r="AN312" s="196">
        <f>monthly_mortgage_schedule[[#This Row],[Extra Payments Towards Equity]]+AN311+IF(monthly_mortgage_schedule[[#This Row],[Interest With Extra Principal Payments]]&gt;0,monthly_mortgage_schedule[[#This Row],[Interest Without Extra Principal Payments]]-monthly_mortgage_schedule[[#This Row],[Interest With Extra Principal Payments]],0)</f>
        <v>85311.462593919467</v>
      </c>
      <c r="AO312" s="4">
        <f>AO311+IF(monthly_mortgage_schedule[[#This Row],[Interest With Extra Principal Payments]]&gt;0,monthly_mortgage_schedule[[#This Row],[Interest Without Extra Principal Payments]]-monthly_mortgage_schedule[[#This Row],[Interest With Extra Principal Payments]],0)</f>
        <v>47561.462593919423</v>
      </c>
      <c r="AP312" s="4">
        <f>AP311+monthly_mortgage_schedule[[#This Row],[PMI Without Extra Principal Payments]]-monthly_mortgage_schedule[[#This Row],[PMI with Additional Payments]]</f>
        <v>990</v>
      </c>
      <c r="AQ312" s="4">
        <f t="shared" si="33"/>
        <v>124826.44166659504</v>
      </c>
      <c r="AR312" s="4">
        <f>Table60[[#This Row],[Cumulative Investments]]-monthly_mortgage_schedule[[#This Row],[Cumulative Extra Payments Towards Equity]]</f>
        <v>87076.441666595041</v>
      </c>
    </row>
    <row r="313" spans="9:44" x14ac:dyDescent="0.25">
      <c r="I313">
        <v>296</v>
      </c>
      <c r="J313">
        <f>IF(MOD(ROWS($J$18:J312),12)=0,J312+1,J312)</f>
        <v>2046</v>
      </c>
      <c r="K313" s="198">
        <f>IF(M313="#N/A",NA(),monthly_mortgage_schedule[[#This Row],[Month]])</f>
        <v>296</v>
      </c>
      <c r="L313" s="198">
        <f>IF(monthly_mortgage_schedule[[#This Row],[Calendar Year]]&gt;=$C$7,monthly_mortgage_schedule[[#This Row],[Calendar Year]],NA())</f>
        <v>2046</v>
      </c>
      <c r="M313" s="199">
        <f>IF((monthly_mortgage_schedule[[#This Row],[Calendar Year]]&gt;=$C$7)*(monthly_mortgage_schedule[[#This Row],[Calendar Year]]&lt;=$C$9),monthly_mortgage_schedule[[#This Row],[Begin Year (Range)]],NA())</f>
        <v>2046</v>
      </c>
      <c r="N313" s="214">
        <f>IF((monthly_mortgage_schedule[[#This Row],[Year (Range)]]&gt;=$C$7)*(monthly_mortgage_schedule[[#This Row],[Year (Range)]]&lt;=$C$9),X313,NA())</f>
        <v>411.37707724335587</v>
      </c>
      <c r="O313" s="214">
        <f>IF((monthly_mortgage_schedule[[#This Row],[Year (Range)]]&gt;=$C$7)*(monthly_mortgage_schedule[[#This Row],[Year (Range)]]&lt;=$C$9),Y313,NA())</f>
        <v>2688.6494182200522</v>
      </c>
      <c r="P313" s="214">
        <f>IF((monthly_mortgage_schedule[[#This Row],[Year (Range)]]&gt;=$C$7)*(monthly_mortgage_schedule[[#This Row],[Year (Range)]]&lt;=$C$9),AG313,NA())</f>
        <v>809.49723601498022</v>
      </c>
      <c r="Q313" s="214">
        <f>IF((monthly_mortgage_schedule[[#This Row],[Year (Range)]]&gt;=$C$7)*(monthly_mortgage_schedule[[#This Row],[Year (Range)]]&lt;=$C$9),AH313,NA())</f>
        <v>2290.5292594484281</v>
      </c>
      <c r="R313" s="214">
        <f>IF((monthly_mortgage_schedule[[#This Row],[Year (Range)]]&gt;=$C$7)*(monthly_mortgage_schedule[[#This Row],[Year (Range)]]&lt;=$C$9),AO313,NA())</f>
        <v>47959.582752691051</v>
      </c>
      <c r="S313" s="214">
        <f>IF((monthly_mortgage_schedule[[#This Row],[Year (Range)]]&gt;=$C$7)*(monthly_mortgage_schedule[[#This Row],[Year (Range)]]&lt;=$C$9),AP313,NA())</f>
        <v>990</v>
      </c>
      <c r="T313" s="214">
        <f>IF((monthly_mortgage_schedule[[#This Row],[Year (Range)]]&gt;=$C$7)*(monthly_mortgage_schedule[[#This Row],[Year (Range)]]&lt;=$C$9),AR313,NA())</f>
        <v>87908.617944372338</v>
      </c>
      <c r="U313" s="214">
        <f>IF((monthly_mortgage_schedule[[#This Row],[Year (Range)]]&gt;=$C$7)*(monthly_mortgage_schedule[[#This Row],[Year (Range)]]&lt;=$C$9),AB313,NA())</f>
        <v>454536.41858035803</v>
      </c>
      <c r="V313" s="214">
        <f>IF((monthly_mortgage_schedule[[#This Row],[Year (Range)]]&gt;=$C$7)*(monthly_mortgage_schedule[[#This Row],[Year (Range)]]&lt;=$C$9),AI313,NA())</f>
        <v>368826.83582766721</v>
      </c>
      <c r="W313" s="187">
        <f t="shared" si="31"/>
        <v>88152.230837861964</v>
      </c>
      <c r="X313" s="4">
        <f t="shared" si="34"/>
        <v>411.37707724335587</v>
      </c>
      <c r="Y313" s="4">
        <f t="shared" si="32"/>
        <v>2688.6494182200522</v>
      </c>
      <c r="Z313" s="4">
        <f>_xlfn.IFNA(INDEX(additional_mortgage_payments[],MATCH(monthly_mortgage_schedule[[#This Row],[Month]],additional_mortgage_payments[Month],0),3),0)</f>
        <v>0</v>
      </c>
      <c r="AA313" s="4">
        <f>AA312+monthly_mortgage_schedule[[#This Row],[Extra Payments Towards Equity]]</f>
        <v>37750</v>
      </c>
      <c r="AB313" s="4">
        <f>AB312+monthly_mortgage_schedule[[#This Row],[Principal With Extra Principal Payments]]+monthly_mortgage_schedule[[#This Row],[Extra Payments Towards Equity]]</f>
        <v>454536.41858035803</v>
      </c>
      <c r="AC313" s="4">
        <f>monthly_mortgage_schedule[[#This Row],[Cumulative Principal With Extra Principal Payments]]+down_payment_dollars</f>
        <v>514536.41858035803</v>
      </c>
      <c r="AD313" s="200">
        <f t="shared" si="29"/>
        <v>0</v>
      </c>
      <c r="AE31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85463.581419641909</v>
      </c>
      <c r="AF313" s="187">
        <f t="shared" si="35"/>
        <v>173463.69343178146</v>
      </c>
      <c r="AG313" s="4">
        <f>IF(monthly_mortgage_schedule[[#This Row],[Loan Balance (BOY) Without Extra Principal Payments]]&gt;0,monthly_mortgage_schedule[[#This Row],[Loan Balance (BOY) Without Extra Principal Payments]]*monthly_interest_rate,0)</f>
        <v>809.49723601498022</v>
      </c>
      <c r="AH313" s="4">
        <f>IF(monthly_mortgage_schedule[[#This Row],[Loan Balance (BOY) Without Extra Principal Payments]]&gt;1,monthly_principal_and_interest-monthly_mortgage_schedule[[#This Row],[Interest Without Extra Principal Payments]],0)</f>
        <v>2290.5292594484281</v>
      </c>
      <c r="AI313" s="4">
        <f>AI312+monthly_mortgage_schedule[[#This Row],[Principal Without Extra Principal Payments]]</f>
        <v>368826.83582766721</v>
      </c>
      <c r="AJ313" s="4">
        <f>monthly_mortgage_schedule[[#This Row],[Cumulative Principal Without Extra Principal Payments]]+down_payment_dollars</f>
        <v>428826.83582766721</v>
      </c>
      <c r="AK313" s="200">
        <f t="shared" si="30"/>
        <v>0</v>
      </c>
      <c r="AL31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171173.16417233302</v>
      </c>
      <c r="AN313" s="196">
        <f>monthly_mortgage_schedule[[#This Row],[Extra Payments Towards Equity]]+AN312+IF(monthly_mortgage_schedule[[#This Row],[Interest With Extra Principal Payments]]&gt;0,monthly_mortgage_schedule[[#This Row],[Interest Without Extra Principal Payments]]-monthly_mortgage_schedule[[#This Row],[Interest With Extra Principal Payments]],0)</f>
        <v>85709.582752691087</v>
      </c>
      <c r="AO313" s="4">
        <f>AO312+IF(monthly_mortgage_schedule[[#This Row],[Interest With Extra Principal Payments]]&gt;0,monthly_mortgage_schedule[[#This Row],[Interest Without Extra Principal Payments]]-monthly_mortgage_schedule[[#This Row],[Interest With Extra Principal Payments]],0)</f>
        <v>47959.582752691051</v>
      </c>
      <c r="AP313" s="4">
        <f>AP312+monthly_mortgage_schedule[[#This Row],[PMI Without Extra Principal Payments]]-monthly_mortgage_schedule[[#This Row],[PMI with Additional Payments]]</f>
        <v>990</v>
      </c>
      <c r="AQ313" s="4">
        <f t="shared" si="33"/>
        <v>125658.61794437234</v>
      </c>
      <c r="AR313" s="4">
        <f>Table60[[#This Row],[Cumulative Investments]]-monthly_mortgage_schedule[[#This Row],[Cumulative Extra Payments Towards Equity]]</f>
        <v>87908.617944372338</v>
      </c>
    </row>
    <row r="314" spans="9:44" x14ac:dyDescent="0.25">
      <c r="I314">
        <v>297</v>
      </c>
      <c r="J314">
        <f>IF(MOD(ROWS($J$18:J313),12)=0,J313+1,J313)</f>
        <v>2046</v>
      </c>
      <c r="K314" s="198">
        <f>IF(M314="#N/A",NA(),monthly_mortgage_schedule[[#This Row],[Month]])</f>
        <v>297</v>
      </c>
      <c r="L314" s="198">
        <f>IF(monthly_mortgage_schedule[[#This Row],[Calendar Year]]&gt;=$C$7,monthly_mortgage_schedule[[#This Row],[Calendar Year]],NA())</f>
        <v>2046</v>
      </c>
      <c r="M314" s="199">
        <f>IF((monthly_mortgage_schedule[[#This Row],[Calendar Year]]&gt;=$C$7)*(monthly_mortgage_schedule[[#This Row],[Calendar Year]]&lt;=$C$9),monthly_mortgage_schedule[[#This Row],[Begin Year (Range)]],NA())</f>
        <v>2046</v>
      </c>
      <c r="N314" s="214">
        <f>IF((monthly_mortgage_schedule[[#This Row],[Year (Range)]]&gt;=$C$7)*(monthly_mortgage_schedule[[#This Row],[Year (Range)]]&lt;=$C$9),X314,NA())</f>
        <v>398.83004662499559</v>
      </c>
      <c r="O314" s="214">
        <f>IF((monthly_mortgage_schedule[[#This Row],[Year (Range)]]&gt;=$C$7)*(monthly_mortgage_schedule[[#This Row],[Year (Range)]]&lt;=$C$9),Y314,NA())</f>
        <v>2701.1964488384124</v>
      </c>
      <c r="P314" s="214">
        <f>IF((monthly_mortgage_schedule[[#This Row],[Year (Range)]]&gt;=$C$7)*(monthly_mortgage_schedule[[#This Row],[Year (Range)]]&lt;=$C$9),AG314,NA())</f>
        <v>798.80809947088756</v>
      </c>
      <c r="Q314" s="214">
        <f>IF((monthly_mortgage_schedule[[#This Row],[Year (Range)]]&gt;=$C$7)*(monthly_mortgage_schedule[[#This Row],[Year (Range)]]&lt;=$C$9),AH314,NA())</f>
        <v>2301.2183959925205</v>
      </c>
      <c r="R314" s="214">
        <f>IF((monthly_mortgage_schedule[[#This Row],[Year (Range)]]&gt;=$C$7)*(monthly_mortgage_schedule[[#This Row],[Year (Range)]]&lt;=$C$9),AO314,NA())</f>
        <v>48359.560805536945</v>
      </c>
      <c r="S314" s="214">
        <f>IF((monthly_mortgage_schedule[[#This Row],[Year (Range)]]&gt;=$C$7)*(monthly_mortgage_schedule[[#This Row],[Year (Range)]]&lt;=$C$9),AP314,NA())</f>
        <v>990</v>
      </c>
      <c r="T314" s="214">
        <f>IF((monthly_mortgage_schedule[[#This Row],[Year (Range)]]&gt;=$C$7)*(monthly_mortgage_schedule[[#This Row],[Year (Range)]]&lt;=$C$9),AR314,NA())</f>
        <v>88746.342064001481</v>
      </c>
      <c r="U314" s="214">
        <f>IF((monthly_mortgage_schedule[[#This Row],[Year (Range)]]&gt;=$C$7)*(monthly_mortgage_schedule[[#This Row],[Year (Range)]]&lt;=$C$9),AB314,NA())</f>
        <v>457237.61502919643</v>
      </c>
      <c r="V314" s="214">
        <f>IF((monthly_mortgage_schedule[[#This Row],[Year (Range)]]&gt;=$C$7)*(monthly_mortgage_schedule[[#This Row],[Year (Range)]]&lt;=$C$9),AI314,NA())</f>
        <v>371128.05422365974</v>
      </c>
      <c r="W314" s="187">
        <f t="shared" si="31"/>
        <v>85463.581419641909</v>
      </c>
      <c r="X314" s="4">
        <f t="shared" si="34"/>
        <v>398.83004662499559</v>
      </c>
      <c r="Y314" s="4">
        <f t="shared" si="32"/>
        <v>2701.1964488384124</v>
      </c>
      <c r="Z314" s="4">
        <f>_xlfn.IFNA(INDEX(additional_mortgage_payments[],MATCH(monthly_mortgage_schedule[[#This Row],[Month]],additional_mortgage_payments[Month],0),3),0)</f>
        <v>0</v>
      </c>
      <c r="AA314" s="4">
        <f>AA313+monthly_mortgage_schedule[[#This Row],[Extra Payments Towards Equity]]</f>
        <v>37750</v>
      </c>
      <c r="AB314" s="4">
        <f>AB313+monthly_mortgage_schedule[[#This Row],[Principal With Extra Principal Payments]]+monthly_mortgage_schedule[[#This Row],[Extra Payments Towards Equity]]</f>
        <v>457237.61502919643</v>
      </c>
      <c r="AC314" s="4">
        <f>monthly_mortgage_schedule[[#This Row],[Cumulative Principal With Extra Principal Payments]]+down_payment_dollars</f>
        <v>517237.61502919643</v>
      </c>
      <c r="AD314" s="200">
        <f t="shared" si="29"/>
        <v>0</v>
      </c>
      <c r="AE31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82762.384970803498</v>
      </c>
      <c r="AF314" s="187">
        <f t="shared" si="35"/>
        <v>171173.16417233302</v>
      </c>
      <c r="AG314" s="4">
        <f>IF(monthly_mortgage_schedule[[#This Row],[Loan Balance (BOY) Without Extra Principal Payments]]&gt;0,monthly_mortgage_schedule[[#This Row],[Loan Balance (BOY) Without Extra Principal Payments]]*monthly_interest_rate,0)</f>
        <v>798.80809947088756</v>
      </c>
      <c r="AH314" s="4">
        <f>IF(monthly_mortgage_schedule[[#This Row],[Loan Balance (BOY) Without Extra Principal Payments]]&gt;1,monthly_principal_and_interest-monthly_mortgage_schedule[[#This Row],[Interest Without Extra Principal Payments]],0)</f>
        <v>2301.2183959925205</v>
      </c>
      <c r="AI314" s="4">
        <f>AI313+monthly_mortgage_schedule[[#This Row],[Principal Without Extra Principal Payments]]</f>
        <v>371128.05422365974</v>
      </c>
      <c r="AJ314" s="4">
        <f>monthly_mortgage_schedule[[#This Row],[Cumulative Principal Without Extra Principal Payments]]+down_payment_dollars</f>
        <v>431128.05422365974</v>
      </c>
      <c r="AK314" s="200">
        <f t="shared" si="30"/>
        <v>0</v>
      </c>
      <c r="AL31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168871.94577634049</v>
      </c>
      <c r="AN314" s="196">
        <f>monthly_mortgage_schedule[[#This Row],[Extra Payments Towards Equity]]+AN313+IF(monthly_mortgage_schedule[[#This Row],[Interest With Extra Principal Payments]]&gt;0,monthly_mortgage_schedule[[#This Row],[Interest Without Extra Principal Payments]]-monthly_mortgage_schedule[[#This Row],[Interest With Extra Principal Payments]],0)</f>
        <v>86109.560805536981</v>
      </c>
      <c r="AO314" s="4">
        <f>AO313+IF(monthly_mortgage_schedule[[#This Row],[Interest With Extra Principal Payments]]&gt;0,monthly_mortgage_schedule[[#This Row],[Interest Without Extra Principal Payments]]-monthly_mortgage_schedule[[#This Row],[Interest With Extra Principal Payments]],0)</f>
        <v>48359.560805536945</v>
      </c>
      <c r="AP314" s="4">
        <f>AP313+monthly_mortgage_schedule[[#This Row],[PMI Without Extra Principal Payments]]-monthly_mortgage_schedule[[#This Row],[PMI with Additional Payments]]</f>
        <v>990</v>
      </c>
      <c r="AQ314" s="4">
        <f t="shared" si="33"/>
        <v>126496.34206400148</v>
      </c>
      <c r="AR314" s="4">
        <f>Table60[[#This Row],[Cumulative Investments]]-monthly_mortgage_schedule[[#This Row],[Cumulative Extra Payments Towards Equity]]</f>
        <v>88746.342064001481</v>
      </c>
    </row>
    <row r="315" spans="9:44" x14ac:dyDescent="0.25">
      <c r="I315">
        <v>298</v>
      </c>
      <c r="J315">
        <f>IF(MOD(ROWS($J$18:J314),12)=0,J314+1,J314)</f>
        <v>2046</v>
      </c>
      <c r="K315" s="198">
        <f>IF(M315="#N/A",NA(),monthly_mortgage_schedule[[#This Row],[Month]])</f>
        <v>298</v>
      </c>
      <c r="L315" s="198">
        <f>IF(monthly_mortgage_schedule[[#This Row],[Calendar Year]]&gt;=$C$7,monthly_mortgage_schedule[[#This Row],[Calendar Year]],NA())</f>
        <v>2046</v>
      </c>
      <c r="M315" s="199">
        <f>IF((monthly_mortgage_schedule[[#This Row],[Calendar Year]]&gt;=$C$7)*(monthly_mortgage_schedule[[#This Row],[Calendar Year]]&lt;=$C$9),monthly_mortgage_schedule[[#This Row],[Begin Year (Range)]],NA())</f>
        <v>2046</v>
      </c>
      <c r="N315" s="214">
        <f>IF((monthly_mortgage_schedule[[#This Row],[Year (Range)]]&gt;=$C$7)*(monthly_mortgage_schedule[[#This Row],[Year (Range)]]&lt;=$C$9),X315,NA())</f>
        <v>386.22446319708303</v>
      </c>
      <c r="O315" s="214">
        <f>IF((monthly_mortgage_schedule[[#This Row],[Year (Range)]]&gt;=$C$7)*(monthly_mortgage_schedule[[#This Row],[Year (Range)]]&lt;=$C$9),Y315,NA())</f>
        <v>2713.8020322663251</v>
      </c>
      <c r="P315" s="214">
        <f>IF((monthly_mortgage_schedule[[#This Row],[Year (Range)]]&gt;=$C$7)*(monthly_mortgage_schedule[[#This Row],[Year (Range)]]&lt;=$C$9),AG315,NA())</f>
        <v>788.06908028958901</v>
      </c>
      <c r="Q315" s="214">
        <f>IF((monthly_mortgage_schedule[[#This Row],[Year (Range)]]&gt;=$C$7)*(monthly_mortgage_schedule[[#This Row],[Year (Range)]]&lt;=$C$9),AH315,NA())</f>
        <v>2311.9574151738188</v>
      </c>
      <c r="R315" s="214">
        <f>IF((monthly_mortgage_schedule[[#This Row],[Year (Range)]]&gt;=$C$7)*(monthly_mortgage_schedule[[#This Row],[Year (Range)]]&lt;=$C$9),AO315,NA())</f>
        <v>48761.405422629454</v>
      </c>
      <c r="S315" s="214">
        <f>IF((monthly_mortgage_schedule[[#This Row],[Year (Range)]]&gt;=$C$7)*(monthly_mortgage_schedule[[#This Row],[Year (Range)]]&lt;=$C$9),AP315,NA())</f>
        <v>990</v>
      </c>
      <c r="T315" s="214">
        <f>IF((monthly_mortgage_schedule[[#This Row],[Year (Range)]]&gt;=$C$7)*(monthly_mortgage_schedule[[#This Row],[Year (Range)]]&lt;=$C$9),AR315,NA())</f>
        <v>89589.651011094815</v>
      </c>
      <c r="U315" s="214">
        <f>IF((monthly_mortgage_schedule[[#This Row],[Year (Range)]]&gt;=$C$7)*(monthly_mortgage_schedule[[#This Row],[Year (Range)]]&lt;=$C$9),AB315,NA())</f>
        <v>459951.41706146277</v>
      </c>
      <c r="V315" s="214">
        <f>IF((monthly_mortgage_schedule[[#This Row],[Year (Range)]]&gt;=$C$7)*(monthly_mortgage_schedule[[#This Row],[Year (Range)]]&lt;=$C$9),AI315,NA())</f>
        <v>373440.01163883356</v>
      </c>
      <c r="W315" s="187">
        <f t="shared" si="31"/>
        <v>82762.384970803498</v>
      </c>
      <c r="X315" s="4">
        <f t="shared" si="34"/>
        <v>386.22446319708303</v>
      </c>
      <c r="Y315" s="4">
        <f t="shared" si="32"/>
        <v>2713.8020322663251</v>
      </c>
      <c r="Z315" s="4">
        <f>_xlfn.IFNA(INDEX(additional_mortgage_payments[],MATCH(monthly_mortgage_schedule[[#This Row],[Month]],additional_mortgage_payments[Month],0),3),0)</f>
        <v>0</v>
      </c>
      <c r="AA315" s="4">
        <f>AA314+monthly_mortgage_schedule[[#This Row],[Extra Payments Towards Equity]]</f>
        <v>37750</v>
      </c>
      <c r="AB315" s="4">
        <f>AB314+monthly_mortgage_schedule[[#This Row],[Principal With Extra Principal Payments]]+monthly_mortgage_schedule[[#This Row],[Extra Payments Towards Equity]]</f>
        <v>459951.41706146277</v>
      </c>
      <c r="AC315" s="4">
        <f>monthly_mortgage_schedule[[#This Row],[Cumulative Principal With Extra Principal Payments]]+down_payment_dollars</f>
        <v>519951.41706146277</v>
      </c>
      <c r="AD315" s="200">
        <f t="shared" si="29"/>
        <v>0</v>
      </c>
      <c r="AE31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80048.582938537176</v>
      </c>
      <c r="AF315" s="187">
        <f t="shared" si="35"/>
        <v>168871.94577634049</v>
      </c>
      <c r="AG315" s="4">
        <f>IF(monthly_mortgage_schedule[[#This Row],[Loan Balance (BOY) Without Extra Principal Payments]]&gt;0,monthly_mortgage_schedule[[#This Row],[Loan Balance (BOY) Without Extra Principal Payments]]*monthly_interest_rate,0)</f>
        <v>788.06908028958901</v>
      </c>
      <c r="AH315" s="4">
        <f>IF(monthly_mortgage_schedule[[#This Row],[Loan Balance (BOY) Without Extra Principal Payments]]&gt;1,monthly_principal_and_interest-monthly_mortgage_schedule[[#This Row],[Interest Without Extra Principal Payments]],0)</f>
        <v>2311.9574151738188</v>
      </c>
      <c r="AI315" s="4">
        <f>AI314+monthly_mortgage_schedule[[#This Row],[Principal Without Extra Principal Payments]]</f>
        <v>373440.01163883356</v>
      </c>
      <c r="AJ315" s="4">
        <f>monthly_mortgage_schedule[[#This Row],[Cumulative Principal Without Extra Principal Payments]]+down_payment_dollars</f>
        <v>433440.01163883356</v>
      </c>
      <c r="AK315" s="200">
        <f t="shared" si="30"/>
        <v>0</v>
      </c>
      <c r="AL31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166559.98836116667</v>
      </c>
      <c r="AN315" s="196">
        <f>monthly_mortgage_schedule[[#This Row],[Extra Payments Towards Equity]]+AN314+IF(monthly_mortgage_schedule[[#This Row],[Interest With Extra Principal Payments]]&gt;0,monthly_mortgage_schedule[[#This Row],[Interest Without Extra Principal Payments]]-monthly_mortgage_schedule[[#This Row],[Interest With Extra Principal Payments]],0)</f>
        <v>86511.405422629483</v>
      </c>
      <c r="AO315" s="4">
        <f>AO314+IF(monthly_mortgage_schedule[[#This Row],[Interest With Extra Principal Payments]]&gt;0,monthly_mortgage_schedule[[#This Row],[Interest Without Extra Principal Payments]]-monthly_mortgage_schedule[[#This Row],[Interest With Extra Principal Payments]],0)</f>
        <v>48761.405422629454</v>
      </c>
      <c r="AP315" s="4">
        <f>AP314+monthly_mortgage_schedule[[#This Row],[PMI Without Extra Principal Payments]]-monthly_mortgage_schedule[[#This Row],[PMI with Additional Payments]]</f>
        <v>990</v>
      </c>
      <c r="AQ315" s="4">
        <f t="shared" si="33"/>
        <v>127339.65101109481</v>
      </c>
      <c r="AR315" s="4">
        <f>Table60[[#This Row],[Cumulative Investments]]-monthly_mortgage_schedule[[#This Row],[Cumulative Extra Payments Towards Equity]]</f>
        <v>89589.651011094815</v>
      </c>
    </row>
    <row r="316" spans="9:44" x14ac:dyDescent="0.25">
      <c r="I316">
        <v>299</v>
      </c>
      <c r="J316">
        <f>IF(MOD(ROWS($J$18:J315),12)=0,J315+1,J315)</f>
        <v>2046</v>
      </c>
      <c r="K316" s="198">
        <f>IF(M316="#N/A",NA(),monthly_mortgage_schedule[[#This Row],[Month]])</f>
        <v>299</v>
      </c>
      <c r="L316" s="198">
        <f>IF(monthly_mortgage_schedule[[#This Row],[Calendar Year]]&gt;=$C$7,monthly_mortgage_schedule[[#This Row],[Calendar Year]],NA())</f>
        <v>2046</v>
      </c>
      <c r="M316" s="199">
        <f>IF((monthly_mortgage_schedule[[#This Row],[Calendar Year]]&gt;=$C$7)*(monthly_mortgage_schedule[[#This Row],[Calendar Year]]&lt;=$C$9),monthly_mortgage_schedule[[#This Row],[Begin Year (Range)]],NA())</f>
        <v>2046</v>
      </c>
      <c r="N316" s="214">
        <f>IF((monthly_mortgage_schedule[[#This Row],[Year (Range)]]&gt;=$C$7)*(monthly_mortgage_schedule[[#This Row],[Year (Range)]]&lt;=$C$9),X316,NA())</f>
        <v>373.56005371317355</v>
      </c>
      <c r="O316" s="214">
        <f>IF((monthly_mortgage_schedule[[#This Row],[Year (Range)]]&gt;=$C$7)*(monthly_mortgage_schedule[[#This Row],[Year (Range)]]&lt;=$C$9),Y316,NA())</f>
        <v>2726.4664417502345</v>
      </c>
      <c r="P316" s="214">
        <f>IF((monthly_mortgage_schedule[[#This Row],[Year (Range)]]&gt;=$C$7)*(monthly_mortgage_schedule[[#This Row],[Year (Range)]]&lt;=$C$9),AG316,NA())</f>
        <v>777.27994568544455</v>
      </c>
      <c r="Q316" s="214">
        <f>IF((monthly_mortgage_schedule[[#This Row],[Year (Range)]]&gt;=$C$7)*(monthly_mortgage_schedule[[#This Row],[Year (Range)]]&lt;=$C$9),AH316,NA())</f>
        <v>2322.7465497779635</v>
      </c>
      <c r="R316" s="214">
        <f>IF((monthly_mortgage_schedule[[#This Row],[Year (Range)]]&gt;=$C$7)*(monthly_mortgage_schedule[[#This Row],[Year (Range)]]&lt;=$C$9),AO316,NA())</f>
        <v>49165.125314601726</v>
      </c>
      <c r="S316" s="214">
        <f>IF((monthly_mortgage_schedule[[#This Row],[Year (Range)]]&gt;=$C$7)*(monthly_mortgage_schedule[[#This Row],[Year (Range)]]&lt;=$C$9),AP316,NA())</f>
        <v>990</v>
      </c>
      <c r="T316" s="214">
        <f>IF((monthly_mortgage_schedule[[#This Row],[Year (Range)]]&gt;=$C$7)*(monthly_mortgage_schedule[[#This Row],[Year (Range)]]&lt;=$C$9),AR316,NA())</f>
        <v>90438.582017835433</v>
      </c>
      <c r="U316" s="214">
        <f>IF((monthly_mortgage_schedule[[#This Row],[Year (Range)]]&gt;=$C$7)*(monthly_mortgage_schedule[[#This Row],[Year (Range)]]&lt;=$C$9),AB316,NA())</f>
        <v>462677.883503213</v>
      </c>
      <c r="V316" s="214">
        <f>IF((monthly_mortgage_schedule[[#This Row],[Year (Range)]]&gt;=$C$7)*(monthly_mortgage_schedule[[#This Row],[Year (Range)]]&lt;=$C$9),AI316,NA())</f>
        <v>375762.75818861154</v>
      </c>
      <c r="W316" s="187">
        <f t="shared" si="31"/>
        <v>80048.582938537176</v>
      </c>
      <c r="X316" s="4">
        <f t="shared" si="34"/>
        <v>373.56005371317355</v>
      </c>
      <c r="Y316" s="4">
        <f t="shared" si="32"/>
        <v>2726.4664417502345</v>
      </c>
      <c r="Z316" s="4">
        <f>_xlfn.IFNA(INDEX(additional_mortgage_payments[],MATCH(monthly_mortgage_schedule[[#This Row],[Month]],additional_mortgage_payments[Month],0),3),0)</f>
        <v>0</v>
      </c>
      <c r="AA316" s="4">
        <f>AA315+monthly_mortgage_schedule[[#This Row],[Extra Payments Towards Equity]]</f>
        <v>37750</v>
      </c>
      <c r="AB316" s="4">
        <f>AB315+monthly_mortgage_schedule[[#This Row],[Principal With Extra Principal Payments]]+monthly_mortgage_schedule[[#This Row],[Extra Payments Towards Equity]]</f>
        <v>462677.883503213</v>
      </c>
      <c r="AC316" s="4">
        <f>monthly_mortgage_schedule[[#This Row],[Cumulative Principal With Extra Principal Payments]]+down_payment_dollars</f>
        <v>522677.883503213</v>
      </c>
      <c r="AD316" s="200">
        <f t="shared" si="29"/>
        <v>0</v>
      </c>
      <c r="AE31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77322.116496786941</v>
      </c>
      <c r="AF316" s="187">
        <f t="shared" si="35"/>
        <v>166559.98836116667</v>
      </c>
      <c r="AG316" s="4">
        <f>IF(monthly_mortgage_schedule[[#This Row],[Loan Balance (BOY) Without Extra Principal Payments]]&gt;0,monthly_mortgage_schedule[[#This Row],[Loan Balance (BOY) Without Extra Principal Payments]]*monthly_interest_rate,0)</f>
        <v>777.27994568544455</v>
      </c>
      <c r="AH316" s="4">
        <f>IF(monthly_mortgage_schedule[[#This Row],[Loan Balance (BOY) Without Extra Principal Payments]]&gt;1,monthly_principal_and_interest-monthly_mortgage_schedule[[#This Row],[Interest Without Extra Principal Payments]],0)</f>
        <v>2322.7465497779635</v>
      </c>
      <c r="AI316" s="4">
        <f>AI315+monthly_mortgage_schedule[[#This Row],[Principal Without Extra Principal Payments]]</f>
        <v>375762.75818861154</v>
      </c>
      <c r="AJ316" s="4">
        <f>monthly_mortgage_schedule[[#This Row],[Cumulative Principal Without Extra Principal Payments]]+down_payment_dollars</f>
        <v>435762.75818861154</v>
      </c>
      <c r="AK316" s="200">
        <f t="shared" si="30"/>
        <v>0</v>
      </c>
      <c r="AL31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164237.2418113887</v>
      </c>
      <c r="AN316" s="196">
        <f>monthly_mortgage_schedule[[#This Row],[Extra Payments Towards Equity]]+AN315+IF(monthly_mortgage_schedule[[#This Row],[Interest With Extra Principal Payments]]&gt;0,monthly_mortgage_schedule[[#This Row],[Interest Without Extra Principal Payments]]-monthly_mortgage_schedule[[#This Row],[Interest With Extra Principal Payments]],0)</f>
        <v>86915.125314601755</v>
      </c>
      <c r="AO316" s="4">
        <f>AO315+IF(monthly_mortgage_schedule[[#This Row],[Interest With Extra Principal Payments]]&gt;0,monthly_mortgage_schedule[[#This Row],[Interest Without Extra Principal Payments]]-monthly_mortgage_schedule[[#This Row],[Interest With Extra Principal Payments]],0)</f>
        <v>49165.125314601726</v>
      </c>
      <c r="AP316" s="4">
        <f>AP315+monthly_mortgage_schedule[[#This Row],[PMI Without Extra Principal Payments]]-monthly_mortgage_schedule[[#This Row],[PMI with Additional Payments]]</f>
        <v>990</v>
      </c>
      <c r="AQ316" s="4">
        <f t="shared" si="33"/>
        <v>128188.58201783543</v>
      </c>
      <c r="AR316" s="4">
        <f>Table60[[#This Row],[Cumulative Investments]]-monthly_mortgage_schedule[[#This Row],[Cumulative Extra Payments Towards Equity]]</f>
        <v>90438.582017835433</v>
      </c>
    </row>
    <row r="317" spans="9:44" x14ac:dyDescent="0.25">
      <c r="I317">
        <v>300</v>
      </c>
      <c r="J317">
        <f>IF(MOD(ROWS($J$18:J316),12)=0,J316+1,J316)</f>
        <v>2046</v>
      </c>
      <c r="K317" s="198">
        <f>IF(M317="#N/A",NA(),monthly_mortgage_schedule[[#This Row],[Month]])</f>
        <v>300</v>
      </c>
      <c r="L317" s="198">
        <f>IF(monthly_mortgage_schedule[[#This Row],[Calendar Year]]&gt;=$C$7,monthly_mortgage_schedule[[#This Row],[Calendar Year]],NA())</f>
        <v>2046</v>
      </c>
      <c r="M317" s="199">
        <f>IF((monthly_mortgage_schedule[[#This Row],[Calendar Year]]&gt;=$C$7)*(monthly_mortgage_schedule[[#This Row],[Calendar Year]]&lt;=$C$9),monthly_mortgage_schedule[[#This Row],[Begin Year (Range)]],NA())</f>
        <v>2046</v>
      </c>
      <c r="N317" s="214">
        <f>IF((monthly_mortgage_schedule[[#This Row],[Year (Range)]]&gt;=$C$7)*(monthly_mortgage_schedule[[#This Row],[Year (Range)]]&lt;=$C$9),X317,NA())</f>
        <v>360.8365436516724</v>
      </c>
      <c r="O317" s="214">
        <f>IF((monthly_mortgage_schedule[[#This Row],[Year (Range)]]&gt;=$C$7)*(monthly_mortgage_schedule[[#This Row],[Year (Range)]]&lt;=$C$9),Y317,NA())</f>
        <v>2739.1899518117357</v>
      </c>
      <c r="P317" s="214">
        <f>IF((monthly_mortgage_schedule[[#This Row],[Year (Range)]]&gt;=$C$7)*(monthly_mortgage_schedule[[#This Row],[Year (Range)]]&lt;=$C$9),AG317,NA())</f>
        <v>766.44046178648068</v>
      </c>
      <c r="Q317" s="214">
        <f>IF((monthly_mortgage_schedule[[#This Row],[Year (Range)]]&gt;=$C$7)*(monthly_mortgage_schedule[[#This Row],[Year (Range)]]&lt;=$C$9),AH317,NA())</f>
        <v>2333.5860336769274</v>
      </c>
      <c r="R317" s="214">
        <f>IF((monthly_mortgage_schedule[[#This Row],[Year (Range)]]&gt;=$C$7)*(monthly_mortgage_schedule[[#This Row],[Year (Range)]]&lt;=$C$9),AO317,NA())</f>
        <v>49570.729232736536</v>
      </c>
      <c r="S317" s="214">
        <f>IF((monthly_mortgage_schedule[[#This Row],[Year (Range)]]&gt;=$C$7)*(monthly_mortgage_schedule[[#This Row],[Year (Range)]]&lt;=$C$9),AP317,NA())</f>
        <v>990</v>
      </c>
      <c r="T317" s="214">
        <f>IF((monthly_mortgage_schedule[[#This Row],[Year (Range)]]&gt;=$C$7)*(monthly_mortgage_schedule[[#This Row],[Year (Range)]]&lt;=$C$9),AR317,NA())</f>
        <v>91303.172564620996</v>
      </c>
      <c r="U317" s="214">
        <f>IF((monthly_mortgage_schedule[[#This Row],[Year (Range)]]&gt;=$C$7)*(monthly_mortgage_schedule[[#This Row],[Year (Range)]]&lt;=$C$9),AB317,NA())</f>
        <v>466917.07345502474</v>
      </c>
      <c r="V317" s="214">
        <f>IF((monthly_mortgage_schedule[[#This Row],[Year (Range)]]&gt;=$C$7)*(monthly_mortgage_schedule[[#This Row],[Year (Range)]]&lt;=$C$9),AI317,NA())</f>
        <v>378096.34422228846</v>
      </c>
      <c r="W317" s="187">
        <f t="shared" si="31"/>
        <v>77322.116496786941</v>
      </c>
      <c r="X317" s="4">
        <f t="shared" si="34"/>
        <v>360.8365436516724</v>
      </c>
      <c r="Y317" s="4">
        <f t="shared" si="32"/>
        <v>2739.1899518117357</v>
      </c>
      <c r="Z317" s="4">
        <f>_xlfn.IFNA(INDEX(additional_mortgage_payments[],MATCH(monthly_mortgage_schedule[[#This Row],[Month]],additional_mortgage_payments[Month],0),3),0)</f>
        <v>1500</v>
      </c>
      <c r="AA317" s="4">
        <f>AA316+monthly_mortgage_schedule[[#This Row],[Extra Payments Towards Equity]]</f>
        <v>39250</v>
      </c>
      <c r="AB317" s="4">
        <f>AB316+monthly_mortgage_schedule[[#This Row],[Principal With Extra Principal Payments]]+monthly_mortgage_schedule[[#This Row],[Extra Payments Towards Equity]]</f>
        <v>466917.07345502474</v>
      </c>
      <c r="AC317" s="4">
        <f>monthly_mortgage_schedule[[#This Row],[Cumulative Principal With Extra Principal Payments]]+down_payment_dollars</f>
        <v>526917.07345502474</v>
      </c>
      <c r="AD317" s="200">
        <f t="shared" si="29"/>
        <v>0</v>
      </c>
      <c r="AE31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73082.926544975198</v>
      </c>
      <c r="AF317" s="187">
        <f t="shared" si="35"/>
        <v>164237.2418113887</v>
      </c>
      <c r="AG317" s="4">
        <f>IF(monthly_mortgage_schedule[[#This Row],[Loan Balance (BOY) Without Extra Principal Payments]]&gt;0,monthly_mortgage_schedule[[#This Row],[Loan Balance (BOY) Without Extra Principal Payments]]*monthly_interest_rate,0)</f>
        <v>766.44046178648068</v>
      </c>
      <c r="AH317" s="4">
        <f>IF(monthly_mortgage_schedule[[#This Row],[Loan Balance (BOY) Without Extra Principal Payments]]&gt;1,monthly_principal_and_interest-monthly_mortgage_schedule[[#This Row],[Interest Without Extra Principal Payments]],0)</f>
        <v>2333.5860336769274</v>
      </c>
      <c r="AI317" s="4">
        <f>AI316+monthly_mortgage_schedule[[#This Row],[Principal Without Extra Principal Payments]]</f>
        <v>378096.34422228846</v>
      </c>
      <c r="AJ317" s="4">
        <f>monthly_mortgage_schedule[[#This Row],[Cumulative Principal Without Extra Principal Payments]]+down_payment_dollars</f>
        <v>438096.34422228846</v>
      </c>
      <c r="AK317" s="200">
        <f t="shared" si="30"/>
        <v>0</v>
      </c>
      <c r="AL31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161903.65577771177</v>
      </c>
      <c r="AN317" s="196">
        <f>monthly_mortgage_schedule[[#This Row],[Extra Payments Towards Equity]]+AN316+IF(monthly_mortgage_schedule[[#This Row],[Interest With Extra Principal Payments]]&gt;0,monthly_mortgage_schedule[[#This Row],[Interest Without Extra Principal Payments]]-monthly_mortgage_schedule[[#This Row],[Interest With Extra Principal Payments]],0)</f>
        <v>88820.729232736558</v>
      </c>
      <c r="AO317" s="4">
        <f>AO316+IF(monthly_mortgage_schedule[[#This Row],[Interest With Extra Principal Payments]]&gt;0,monthly_mortgage_schedule[[#This Row],[Interest Without Extra Principal Payments]]-monthly_mortgage_schedule[[#This Row],[Interest With Extra Principal Payments]],0)</f>
        <v>49570.729232736536</v>
      </c>
      <c r="AP317" s="4">
        <f>AP316+monthly_mortgage_schedule[[#This Row],[PMI Without Extra Principal Payments]]-monthly_mortgage_schedule[[#This Row],[PMI with Additional Payments]]</f>
        <v>990</v>
      </c>
      <c r="AQ317" s="4">
        <f t="shared" si="33"/>
        <v>130553.172564621</v>
      </c>
      <c r="AR317" s="4">
        <f>Table60[[#This Row],[Cumulative Investments]]-monthly_mortgage_schedule[[#This Row],[Cumulative Extra Payments Towards Equity]]</f>
        <v>91303.172564620996</v>
      </c>
    </row>
    <row r="318" spans="9:44" x14ac:dyDescent="0.25">
      <c r="I318">
        <v>301</v>
      </c>
      <c r="J318">
        <f>IF(MOD(ROWS($J$18:J317),12)=0,J317+1,J317)</f>
        <v>2047</v>
      </c>
      <c r="K318" s="198">
        <f>IF(M318="#N/A",NA(),monthly_mortgage_schedule[[#This Row],[Month]])</f>
        <v>301</v>
      </c>
      <c r="L318" s="198">
        <f>IF(monthly_mortgage_schedule[[#This Row],[Calendar Year]]&gt;=$C$7,monthly_mortgage_schedule[[#This Row],[Calendar Year]],NA())</f>
        <v>2047</v>
      </c>
      <c r="M318" s="199">
        <f>IF((monthly_mortgage_schedule[[#This Row],[Calendar Year]]&gt;=$C$7)*(monthly_mortgage_schedule[[#This Row],[Calendar Year]]&lt;=$C$9),monthly_mortgage_schedule[[#This Row],[Begin Year (Range)]],NA())</f>
        <v>2047</v>
      </c>
      <c r="N318" s="214">
        <f>IF((monthly_mortgage_schedule[[#This Row],[Year (Range)]]&gt;=$C$7)*(monthly_mortgage_schedule[[#This Row],[Year (Range)]]&lt;=$C$9),X318,NA())</f>
        <v>341.05365720988431</v>
      </c>
      <c r="O318" s="214">
        <f>IF((monthly_mortgage_schedule[[#This Row],[Year (Range)]]&gt;=$C$7)*(monthly_mortgage_schedule[[#This Row],[Year (Range)]]&lt;=$C$9),Y318,NA())</f>
        <v>2758.9728382535236</v>
      </c>
      <c r="P318" s="214">
        <f>IF((monthly_mortgage_schedule[[#This Row],[Year (Range)]]&gt;=$C$7)*(monthly_mortgage_schedule[[#This Row],[Year (Range)]]&lt;=$C$9),AG318,NA())</f>
        <v>755.55039362932166</v>
      </c>
      <c r="Q318" s="214">
        <f>IF((monthly_mortgage_schedule[[#This Row],[Year (Range)]]&gt;=$C$7)*(monthly_mortgage_schedule[[#This Row],[Year (Range)]]&lt;=$C$9),AH318,NA())</f>
        <v>2344.4761018340864</v>
      </c>
      <c r="R318" s="214">
        <f>IF((monthly_mortgage_schedule[[#This Row],[Year (Range)]]&gt;=$C$7)*(monthly_mortgage_schedule[[#This Row],[Year (Range)]]&lt;=$C$9),AO318,NA())</f>
        <v>49985.225969155974</v>
      </c>
      <c r="S318" s="214">
        <f>IF((monthly_mortgage_schedule[[#This Row],[Year (Range)]]&gt;=$C$7)*(monthly_mortgage_schedule[[#This Row],[Year (Range)]]&lt;=$C$9),AP318,NA())</f>
        <v>990</v>
      </c>
      <c r="T318" s="214">
        <f>IF((monthly_mortgage_schedule[[#This Row],[Year (Range)]]&gt;=$C$7)*(monthly_mortgage_schedule[[#This Row],[Year (Range)]]&lt;=$C$9),AR318,NA())</f>
        <v>92173.52704838512</v>
      </c>
      <c r="U318" s="214">
        <f>IF((monthly_mortgage_schedule[[#This Row],[Year (Range)]]&gt;=$C$7)*(monthly_mortgage_schedule[[#This Row],[Year (Range)]]&lt;=$C$9),AB318,NA())</f>
        <v>469676.04629327828</v>
      </c>
      <c r="V318" s="214">
        <f>IF((monthly_mortgage_schedule[[#This Row],[Year (Range)]]&gt;=$C$7)*(monthly_mortgage_schedule[[#This Row],[Year (Range)]]&lt;=$C$9),AI318,NA())</f>
        <v>380440.82032412256</v>
      </c>
      <c r="W318" s="187">
        <f t="shared" si="31"/>
        <v>73082.926544975198</v>
      </c>
      <c r="X318" s="4">
        <f t="shared" si="34"/>
        <v>341.05365720988431</v>
      </c>
      <c r="Y318" s="4">
        <f t="shared" si="32"/>
        <v>2758.9728382535236</v>
      </c>
      <c r="Z318" s="4">
        <f>_xlfn.IFNA(INDEX(additional_mortgage_payments[],MATCH(monthly_mortgage_schedule[[#This Row],[Month]],additional_mortgage_payments[Month],0),3),0)</f>
        <v>0</v>
      </c>
      <c r="AA318" s="4">
        <f>AA317+monthly_mortgage_schedule[[#This Row],[Extra Payments Towards Equity]]</f>
        <v>39250</v>
      </c>
      <c r="AB318" s="4">
        <f>AB317+monthly_mortgage_schedule[[#This Row],[Principal With Extra Principal Payments]]+monthly_mortgage_schedule[[#This Row],[Extra Payments Towards Equity]]</f>
        <v>469676.04629327828</v>
      </c>
      <c r="AC318" s="4">
        <f>monthly_mortgage_schedule[[#This Row],[Cumulative Principal With Extra Principal Payments]]+down_payment_dollars</f>
        <v>529676.04629327822</v>
      </c>
      <c r="AD318" s="200">
        <f t="shared" si="29"/>
        <v>0</v>
      </c>
      <c r="AE31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70323.953706721673</v>
      </c>
      <c r="AF318" s="187">
        <f t="shared" si="35"/>
        <v>161903.65577771177</v>
      </c>
      <c r="AG318" s="4">
        <f>IF(monthly_mortgage_schedule[[#This Row],[Loan Balance (BOY) Without Extra Principal Payments]]&gt;0,monthly_mortgage_schedule[[#This Row],[Loan Balance (BOY) Without Extra Principal Payments]]*monthly_interest_rate,0)</f>
        <v>755.55039362932166</v>
      </c>
      <c r="AH318" s="4">
        <f>IF(monthly_mortgage_schedule[[#This Row],[Loan Balance (BOY) Without Extra Principal Payments]]&gt;1,monthly_principal_and_interest-monthly_mortgage_schedule[[#This Row],[Interest Without Extra Principal Payments]],0)</f>
        <v>2344.4761018340864</v>
      </c>
      <c r="AI318" s="4">
        <f>AI317+monthly_mortgage_schedule[[#This Row],[Principal Without Extra Principal Payments]]</f>
        <v>380440.82032412256</v>
      </c>
      <c r="AJ318" s="4">
        <f>monthly_mortgage_schedule[[#This Row],[Cumulative Principal Without Extra Principal Payments]]+down_payment_dollars</f>
        <v>440440.82032412256</v>
      </c>
      <c r="AK318" s="200">
        <f t="shared" si="30"/>
        <v>0</v>
      </c>
      <c r="AL31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159559.17967587768</v>
      </c>
      <c r="AN318" s="196">
        <f>monthly_mortgage_schedule[[#This Row],[Extra Payments Towards Equity]]+AN317+IF(monthly_mortgage_schedule[[#This Row],[Interest With Extra Principal Payments]]&gt;0,monthly_mortgage_schedule[[#This Row],[Interest Without Extra Principal Payments]]-monthly_mortgage_schedule[[#This Row],[Interest With Extra Principal Payments]],0)</f>
        <v>89235.225969155988</v>
      </c>
      <c r="AO318" s="4">
        <f>AO317+IF(monthly_mortgage_schedule[[#This Row],[Interest With Extra Principal Payments]]&gt;0,monthly_mortgage_schedule[[#This Row],[Interest Without Extra Principal Payments]]-monthly_mortgage_schedule[[#This Row],[Interest With Extra Principal Payments]],0)</f>
        <v>49985.225969155974</v>
      </c>
      <c r="AP318" s="4">
        <f>AP317+monthly_mortgage_schedule[[#This Row],[PMI Without Extra Principal Payments]]-monthly_mortgage_schedule[[#This Row],[PMI with Additional Payments]]</f>
        <v>990</v>
      </c>
      <c r="AQ318" s="4">
        <f t="shared" si="33"/>
        <v>131423.52704838512</v>
      </c>
      <c r="AR318" s="4">
        <f>Table60[[#This Row],[Cumulative Investments]]-monthly_mortgage_schedule[[#This Row],[Cumulative Extra Payments Towards Equity]]</f>
        <v>92173.52704838512</v>
      </c>
    </row>
    <row r="319" spans="9:44" x14ac:dyDescent="0.25">
      <c r="I319">
        <v>302</v>
      </c>
      <c r="J319">
        <f>IF(MOD(ROWS($J$18:J318),12)=0,J318+1,J318)</f>
        <v>2047</v>
      </c>
      <c r="K319" s="198">
        <f>IF(M319="#N/A",NA(),monthly_mortgage_schedule[[#This Row],[Month]])</f>
        <v>302</v>
      </c>
      <c r="L319" s="198">
        <f>IF(monthly_mortgage_schedule[[#This Row],[Calendar Year]]&gt;=$C$7,monthly_mortgage_schedule[[#This Row],[Calendar Year]],NA())</f>
        <v>2047</v>
      </c>
      <c r="M319" s="199">
        <f>IF((monthly_mortgage_schedule[[#This Row],[Calendar Year]]&gt;=$C$7)*(monthly_mortgage_schedule[[#This Row],[Calendar Year]]&lt;=$C$9),monthly_mortgage_schedule[[#This Row],[Begin Year (Range)]],NA())</f>
        <v>2047</v>
      </c>
      <c r="N319" s="214">
        <f>IF((monthly_mortgage_schedule[[#This Row],[Year (Range)]]&gt;=$C$7)*(monthly_mortgage_schedule[[#This Row],[Year (Range)]]&lt;=$C$9),X319,NA())</f>
        <v>328.17845063136781</v>
      </c>
      <c r="O319" s="214">
        <f>IF((monthly_mortgage_schedule[[#This Row],[Year (Range)]]&gt;=$C$7)*(monthly_mortgage_schedule[[#This Row],[Year (Range)]]&lt;=$C$9),Y319,NA())</f>
        <v>2771.8480448320402</v>
      </c>
      <c r="P319" s="214">
        <f>IF((monthly_mortgage_schedule[[#This Row],[Year (Range)]]&gt;=$C$7)*(monthly_mortgage_schedule[[#This Row],[Year (Range)]]&lt;=$C$9),AG319,NA())</f>
        <v>744.60950515409593</v>
      </c>
      <c r="Q319" s="214">
        <f>IF((monthly_mortgage_schedule[[#This Row],[Year (Range)]]&gt;=$C$7)*(monthly_mortgage_schedule[[#This Row],[Year (Range)]]&lt;=$C$9),AH319,NA())</f>
        <v>2355.416990309312</v>
      </c>
      <c r="R319" s="214">
        <f>IF((monthly_mortgage_schedule[[#This Row],[Year (Range)]]&gt;=$C$7)*(monthly_mortgage_schedule[[#This Row],[Year (Range)]]&lt;=$C$9),AO319,NA())</f>
        <v>50401.657023678701</v>
      </c>
      <c r="S319" s="214">
        <f>IF((monthly_mortgage_schedule[[#This Row],[Year (Range)]]&gt;=$C$7)*(monthly_mortgage_schedule[[#This Row],[Year (Range)]]&lt;=$C$9),AP319,NA())</f>
        <v>990</v>
      </c>
      <c r="T319" s="214">
        <f>IF((monthly_mortgage_schedule[[#This Row],[Year (Range)]]&gt;=$C$7)*(monthly_mortgage_schedule[[#This Row],[Year (Range)]]&lt;=$C$9),AR319,NA())</f>
        <v>93049.683895374357</v>
      </c>
      <c r="U319" s="214">
        <f>IF((monthly_mortgage_schedule[[#This Row],[Year (Range)]]&gt;=$C$7)*(monthly_mortgage_schedule[[#This Row],[Year (Range)]]&lt;=$C$9),AB319,NA())</f>
        <v>472447.89433811035</v>
      </c>
      <c r="V319" s="214">
        <f>IF((monthly_mortgage_schedule[[#This Row],[Year (Range)]]&gt;=$C$7)*(monthly_mortgage_schedule[[#This Row],[Year (Range)]]&lt;=$C$9),AI319,NA())</f>
        <v>382796.23731443187</v>
      </c>
      <c r="W319" s="187">
        <f t="shared" si="31"/>
        <v>70323.953706721673</v>
      </c>
      <c r="X319" s="4">
        <f t="shared" si="34"/>
        <v>328.17845063136781</v>
      </c>
      <c r="Y319" s="4">
        <f t="shared" si="32"/>
        <v>2771.8480448320402</v>
      </c>
      <c r="Z319" s="4">
        <f>_xlfn.IFNA(INDEX(additional_mortgage_payments[],MATCH(monthly_mortgage_schedule[[#This Row],[Month]],additional_mortgage_payments[Month],0),3),0)</f>
        <v>0</v>
      </c>
      <c r="AA319" s="4">
        <f>AA318+monthly_mortgage_schedule[[#This Row],[Extra Payments Towards Equity]]</f>
        <v>39250</v>
      </c>
      <c r="AB319" s="4">
        <f>AB318+monthly_mortgage_schedule[[#This Row],[Principal With Extra Principal Payments]]+monthly_mortgage_schedule[[#This Row],[Extra Payments Towards Equity]]</f>
        <v>472447.89433811035</v>
      </c>
      <c r="AC319" s="4">
        <f>monthly_mortgage_schedule[[#This Row],[Cumulative Principal With Extra Principal Payments]]+down_payment_dollars</f>
        <v>532447.89433811035</v>
      </c>
      <c r="AD319" s="200">
        <f t="shared" si="29"/>
        <v>0</v>
      </c>
      <c r="AE31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67552.10566188964</v>
      </c>
      <c r="AF319" s="187">
        <f t="shared" si="35"/>
        <v>159559.17967587768</v>
      </c>
      <c r="AG319" s="4">
        <f>IF(monthly_mortgage_schedule[[#This Row],[Loan Balance (BOY) Without Extra Principal Payments]]&gt;0,monthly_mortgage_schedule[[#This Row],[Loan Balance (BOY) Without Extra Principal Payments]]*monthly_interest_rate,0)</f>
        <v>744.60950515409593</v>
      </c>
      <c r="AH319" s="4">
        <f>IF(monthly_mortgage_schedule[[#This Row],[Loan Balance (BOY) Without Extra Principal Payments]]&gt;1,monthly_principal_and_interest-monthly_mortgage_schedule[[#This Row],[Interest Without Extra Principal Payments]],0)</f>
        <v>2355.416990309312</v>
      </c>
      <c r="AI319" s="4">
        <f>AI318+monthly_mortgage_schedule[[#This Row],[Principal Without Extra Principal Payments]]</f>
        <v>382796.23731443187</v>
      </c>
      <c r="AJ319" s="4">
        <f>monthly_mortgage_schedule[[#This Row],[Cumulative Principal Without Extra Principal Payments]]+down_payment_dollars</f>
        <v>442796.23731443187</v>
      </c>
      <c r="AK319" s="200">
        <f t="shared" si="30"/>
        <v>0</v>
      </c>
      <c r="AL31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157203.76268556836</v>
      </c>
      <c r="AN319" s="196">
        <f>monthly_mortgage_schedule[[#This Row],[Extra Payments Towards Equity]]+AN318+IF(monthly_mortgage_schedule[[#This Row],[Interest With Extra Principal Payments]]&gt;0,monthly_mortgage_schedule[[#This Row],[Interest Without Extra Principal Payments]]-monthly_mortgage_schedule[[#This Row],[Interest With Extra Principal Payments]],0)</f>
        <v>89651.657023678723</v>
      </c>
      <c r="AO319" s="4">
        <f>AO318+IF(monthly_mortgage_schedule[[#This Row],[Interest With Extra Principal Payments]]&gt;0,monthly_mortgage_schedule[[#This Row],[Interest Without Extra Principal Payments]]-monthly_mortgage_schedule[[#This Row],[Interest With Extra Principal Payments]],0)</f>
        <v>50401.657023678701</v>
      </c>
      <c r="AP319" s="4">
        <f>AP318+monthly_mortgage_schedule[[#This Row],[PMI Without Extra Principal Payments]]-monthly_mortgage_schedule[[#This Row],[PMI with Additional Payments]]</f>
        <v>990</v>
      </c>
      <c r="AQ319" s="4">
        <f t="shared" si="33"/>
        <v>132299.68389537436</v>
      </c>
      <c r="AR319" s="4">
        <f>Table60[[#This Row],[Cumulative Investments]]-monthly_mortgage_schedule[[#This Row],[Cumulative Extra Payments Towards Equity]]</f>
        <v>93049.683895374357</v>
      </c>
    </row>
    <row r="320" spans="9:44" x14ac:dyDescent="0.25">
      <c r="I320">
        <v>303</v>
      </c>
      <c r="J320">
        <f>IF(MOD(ROWS($J$18:J319),12)=0,J319+1,J319)</f>
        <v>2047</v>
      </c>
      <c r="K320" s="198">
        <f>IF(M320="#N/A",NA(),monthly_mortgage_schedule[[#This Row],[Month]])</f>
        <v>303</v>
      </c>
      <c r="L320" s="198">
        <f>IF(monthly_mortgage_schedule[[#This Row],[Calendar Year]]&gt;=$C$7,monthly_mortgage_schedule[[#This Row],[Calendar Year]],NA())</f>
        <v>2047</v>
      </c>
      <c r="M320" s="199">
        <f>IF((monthly_mortgage_schedule[[#This Row],[Calendar Year]]&gt;=$C$7)*(monthly_mortgage_schedule[[#This Row],[Calendar Year]]&lt;=$C$9),monthly_mortgage_schedule[[#This Row],[Begin Year (Range)]],NA())</f>
        <v>2047</v>
      </c>
      <c r="N320" s="214">
        <f>IF((monthly_mortgage_schedule[[#This Row],[Year (Range)]]&gt;=$C$7)*(monthly_mortgage_schedule[[#This Row],[Year (Range)]]&lt;=$C$9),X320,NA())</f>
        <v>315.24315975548501</v>
      </c>
      <c r="O320" s="214">
        <f>IF((monthly_mortgage_schedule[[#This Row],[Year (Range)]]&gt;=$C$7)*(monthly_mortgage_schedule[[#This Row],[Year (Range)]]&lt;=$C$9),Y320,NA())</f>
        <v>2784.783335707923</v>
      </c>
      <c r="P320" s="214">
        <f>IF((monthly_mortgage_schedule[[#This Row],[Year (Range)]]&gt;=$C$7)*(monthly_mortgage_schedule[[#This Row],[Year (Range)]]&lt;=$C$9),AG320,NA())</f>
        <v>733.61755919931909</v>
      </c>
      <c r="Q320" s="214">
        <f>IF((monthly_mortgage_schedule[[#This Row],[Year (Range)]]&gt;=$C$7)*(monthly_mortgage_schedule[[#This Row],[Year (Range)]]&lt;=$C$9),AH320,NA())</f>
        <v>2366.4089362640889</v>
      </c>
      <c r="R320" s="214">
        <f>IF((monthly_mortgage_schedule[[#This Row],[Year (Range)]]&gt;=$C$7)*(monthly_mortgage_schedule[[#This Row],[Year (Range)]]&lt;=$C$9),AO320,NA())</f>
        <v>50820.031423122535</v>
      </c>
      <c r="S320" s="214">
        <f>IF((monthly_mortgage_schedule[[#This Row],[Year (Range)]]&gt;=$C$7)*(monthly_mortgage_schedule[[#This Row],[Year (Range)]]&lt;=$C$9),AP320,NA())</f>
        <v>990</v>
      </c>
      <c r="T320" s="214">
        <f>IF((monthly_mortgage_schedule[[#This Row],[Year (Range)]]&gt;=$C$7)*(monthly_mortgage_schedule[[#This Row],[Year (Range)]]&lt;=$C$9),AR320,NA())</f>
        <v>93931.681788010173</v>
      </c>
      <c r="U320" s="214">
        <f>IF((monthly_mortgage_schedule[[#This Row],[Year (Range)]]&gt;=$C$7)*(monthly_mortgage_schedule[[#This Row],[Year (Range)]]&lt;=$C$9),AB320,NA())</f>
        <v>475232.67767381825</v>
      </c>
      <c r="V320" s="214">
        <f>IF((monthly_mortgage_schedule[[#This Row],[Year (Range)]]&gt;=$C$7)*(monthly_mortgage_schedule[[#This Row],[Year (Range)]]&lt;=$C$9),AI320,NA())</f>
        <v>385162.64625069598</v>
      </c>
      <c r="W320" s="187">
        <f t="shared" si="31"/>
        <v>67552.10566188964</v>
      </c>
      <c r="X320" s="4">
        <f t="shared" si="34"/>
        <v>315.24315975548501</v>
      </c>
      <c r="Y320" s="4">
        <f t="shared" si="32"/>
        <v>2784.783335707923</v>
      </c>
      <c r="Z320" s="4">
        <f>_xlfn.IFNA(INDEX(additional_mortgage_payments[],MATCH(monthly_mortgage_schedule[[#This Row],[Month]],additional_mortgage_payments[Month],0),3),0)</f>
        <v>0</v>
      </c>
      <c r="AA320" s="4">
        <f>AA319+monthly_mortgage_schedule[[#This Row],[Extra Payments Towards Equity]]</f>
        <v>39250</v>
      </c>
      <c r="AB320" s="4">
        <f>AB319+monthly_mortgage_schedule[[#This Row],[Principal With Extra Principal Payments]]+monthly_mortgage_schedule[[#This Row],[Extra Payments Towards Equity]]</f>
        <v>475232.67767381825</v>
      </c>
      <c r="AC320" s="4">
        <f>monthly_mortgage_schedule[[#This Row],[Cumulative Principal With Extra Principal Payments]]+down_payment_dollars</f>
        <v>535232.67767381831</v>
      </c>
      <c r="AD320" s="200">
        <f t="shared" si="29"/>
        <v>0</v>
      </c>
      <c r="AE32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64767.322326181718</v>
      </c>
      <c r="AF320" s="187">
        <f t="shared" si="35"/>
        <v>157203.76268556836</v>
      </c>
      <c r="AG320" s="4">
        <f>IF(monthly_mortgage_schedule[[#This Row],[Loan Balance (BOY) Without Extra Principal Payments]]&gt;0,monthly_mortgage_schedule[[#This Row],[Loan Balance (BOY) Without Extra Principal Payments]]*monthly_interest_rate,0)</f>
        <v>733.61755919931909</v>
      </c>
      <c r="AH320" s="4">
        <f>IF(monthly_mortgage_schedule[[#This Row],[Loan Balance (BOY) Without Extra Principal Payments]]&gt;1,monthly_principal_and_interest-monthly_mortgage_schedule[[#This Row],[Interest Without Extra Principal Payments]],0)</f>
        <v>2366.4089362640889</v>
      </c>
      <c r="AI320" s="4">
        <f>AI319+monthly_mortgage_schedule[[#This Row],[Principal Without Extra Principal Payments]]</f>
        <v>385162.64625069598</v>
      </c>
      <c r="AJ320" s="4">
        <f>monthly_mortgage_schedule[[#This Row],[Cumulative Principal Without Extra Principal Payments]]+down_payment_dollars</f>
        <v>445162.64625069598</v>
      </c>
      <c r="AK320" s="200">
        <f t="shared" si="30"/>
        <v>0</v>
      </c>
      <c r="AL32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154837.35374930428</v>
      </c>
      <c r="AN320" s="196">
        <f>monthly_mortgage_schedule[[#This Row],[Extra Payments Towards Equity]]+AN319+IF(monthly_mortgage_schedule[[#This Row],[Interest With Extra Principal Payments]]&gt;0,monthly_mortgage_schedule[[#This Row],[Interest Without Extra Principal Payments]]-monthly_mortgage_schedule[[#This Row],[Interest With Extra Principal Payments]],0)</f>
        <v>90070.031423122564</v>
      </c>
      <c r="AO320" s="4">
        <f>AO319+IF(monthly_mortgage_schedule[[#This Row],[Interest With Extra Principal Payments]]&gt;0,monthly_mortgage_schedule[[#This Row],[Interest Without Extra Principal Payments]]-monthly_mortgage_schedule[[#This Row],[Interest With Extra Principal Payments]],0)</f>
        <v>50820.031423122535</v>
      </c>
      <c r="AP320" s="4">
        <f>AP319+monthly_mortgage_schedule[[#This Row],[PMI Without Extra Principal Payments]]-monthly_mortgage_schedule[[#This Row],[PMI with Additional Payments]]</f>
        <v>990</v>
      </c>
      <c r="AQ320" s="4">
        <f t="shared" si="33"/>
        <v>133181.68178801017</v>
      </c>
      <c r="AR320" s="4">
        <f>Table60[[#This Row],[Cumulative Investments]]-monthly_mortgage_schedule[[#This Row],[Cumulative Extra Payments Towards Equity]]</f>
        <v>93931.681788010173</v>
      </c>
    </row>
    <row r="321" spans="9:44" x14ac:dyDescent="0.25">
      <c r="I321">
        <v>304</v>
      </c>
      <c r="J321">
        <f>IF(MOD(ROWS($J$18:J320),12)=0,J320+1,J320)</f>
        <v>2047</v>
      </c>
      <c r="K321" s="198">
        <f>IF(M321="#N/A",NA(),monthly_mortgage_schedule[[#This Row],[Month]])</f>
        <v>304</v>
      </c>
      <c r="L321" s="198">
        <f>IF(monthly_mortgage_schedule[[#This Row],[Calendar Year]]&gt;=$C$7,monthly_mortgage_schedule[[#This Row],[Calendar Year]],NA())</f>
        <v>2047</v>
      </c>
      <c r="M321" s="199">
        <f>IF((monthly_mortgage_schedule[[#This Row],[Calendar Year]]&gt;=$C$7)*(monthly_mortgage_schedule[[#This Row],[Calendar Year]]&lt;=$C$9),monthly_mortgage_schedule[[#This Row],[Begin Year (Range)]],NA())</f>
        <v>2047</v>
      </c>
      <c r="N321" s="214">
        <f>IF((monthly_mortgage_schedule[[#This Row],[Year (Range)]]&gt;=$C$7)*(monthly_mortgage_schedule[[#This Row],[Year (Range)]]&lt;=$C$9),X321,NA())</f>
        <v>302.24750418884804</v>
      </c>
      <c r="O321" s="214">
        <f>IF((monthly_mortgage_schedule[[#This Row],[Year (Range)]]&gt;=$C$7)*(monthly_mortgage_schedule[[#This Row],[Year (Range)]]&lt;=$C$9),Y321,NA())</f>
        <v>2797.7789912745602</v>
      </c>
      <c r="P321" s="214">
        <f>IF((monthly_mortgage_schedule[[#This Row],[Year (Range)]]&gt;=$C$7)*(monthly_mortgage_schedule[[#This Row],[Year (Range)]]&lt;=$C$9),AG321,NA())</f>
        <v>722.57431749675334</v>
      </c>
      <c r="Q321" s="214">
        <f>IF((monthly_mortgage_schedule[[#This Row],[Year (Range)]]&gt;=$C$7)*(monthly_mortgage_schedule[[#This Row],[Year (Range)]]&lt;=$C$9),AH321,NA())</f>
        <v>2377.4521779666547</v>
      </c>
      <c r="R321" s="214">
        <f>IF((monthly_mortgage_schedule[[#This Row],[Year (Range)]]&gt;=$C$7)*(monthly_mortgage_schedule[[#This Row],[Year (Range)]]&lt;=$C$9),AO321,NA())</f>
        <v>51240.358236430438</v>
      </c>
      <c r="S321" s="214">
        <f>IF((monthly_mortgage_schedule[[#This Row],[Year (Range)]]&gt;=$C$7)*(monthly_mortgage_schedule[[#This Row],[Year (Range)]]&lt;=$C$9),AP321,NA())</f>
        <v>990</v>
      </c>
      <c r="T321" s="214">
        <f>IF((monthly_mortgage_schedule[[#This Row],[Year (Range)]]&gt;=$C$7)*(monthly_mortgage_schedule[[#This Row],[Year (Range)]]&lt;=$C$9),AR321,NA())</f>
        <v>94819.559666596906</v>
      </c>
      <c r="U321" s="214">
        <f>IF((monthly_mortgage_schedule[[#This Row],[Year (Range)]]&gt;=$C$7)*(monthly_mortgage_schedule[[#This Row],[Year (Range)]]&lt;=$C$9),AB321,NA())</f>
        <v>478030.45666509279</v>
      </c>
      <c r="V321" s="214">
        <f>IF((monthly_mortgage_schedule[[#This Row],[Year (Range)]]&gt;=$C$7)*(monthly_mortgage_schedule[[#This Row],[Year (Range)]]&lt;=$C$9),AI321,NA())</f>
        <v>387540.09842866263</v>
      </c>
      <c r="W321" s="187">
        <f t="shared" si="31"/>
        <v>64767.322326181718</v>
      </c>
      <c r="X321" s="4">
        <f t="shared" si="34"/>
        <v>302.24750418884804</v>
      </c>
      <c r="Y321" s="4">
        <f t="shared" si="32"/>
        <v>2797.7789912745602</v>
      </c>
      <c r="Z321" s="4">
        <f>_xlfn.IFNA(INDEX(additional_mortgage_payments[],MATCH(monthly_mortgage_schedule[[#This Row],[Month]],additional_mortgage_payments[Month],0),3),0)</f>
        <v>0</v>
      </c>
      <c r="AA321" s="4">
        <f>AA320+monthly_mortgage_schedule[[#This Row],[Extra Payments Towards Equity]]</f>
        <v>39250</v>
      </c>
      <c r="AB321" s="4">
        <f>AB320+monthly_mortgage_schedule[[#This Row],[Principal With Extra Principal Payments]]+monthly_mortgage_schedule[[#This Row],[Extra Payments Towards Equity]]</f>
        <v>478030.45666509279</v>
      </c>
      <c r="AC321" s="4">
        <f>monthly_mortgage_schedule[[#This Row],[Cumulative Principal With Extra Principal Payments]]+down_payment_dollars</f>
        <v>538030.45666509285</v>
      </c>
      <c r="AD321" s="200">
        <f t="shared" si="29"/>
        <v>0</v>
      </c>
      <c r="AE32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61969.543334907161</v>
      </c>
      <c r="AF321" s="187">
        <f t="shared" si="35"/>
        <v>154837.35374930428</v>
      </c>
      <c r="AG321" s="4">
        <f>IF(monthly_mortgage_schedule[[#This Row],[Loan Balance (BOY) Without Extra Principal Payments]]&gt;0,monthly_mortgage_schedule[[#This Row],[Loan Balance (BOY) Without Extra Principal Payments]]*monthly_interest_rate,0)</f>
        <v>722.57431749675334</v>
      </c>
      <c r="AH321" s="4">
        <f>IF(monthly_mortgage_schedule[[#This Row],[Loan Balance (BOY) Without Extra Principal Payments]]&gt;1,monthly_principal_and_interest-monthly_mortgage_schedule[[#This Row],[Interest Without Extra Principal Payments]],0)</f>
        <v>2377.4521779666547</v>
      </c>
      <c r="AI321" s="4">
        <f>AI320+monthly_mortgage_schedule[[#This Row],[Principal Without Extra Principal Payments]]</f>
        <v>387540.09842866263</v>
      </c>
      <c r="AJ321" s="4">
        <f>monthly_mortgage_schedule[[#This Row],[Cumulative Principal Without Extra Principal Payments]]+down_payment_dollars</f>
        <v>447540.09842866263</v>
      </c>
      <c r="AK321" s="200">
        <f t="shared" si="30"/>
        <v>0</v>
      </c>
      <c r="AL32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152459.90157133763</v>
      </c>
      <c r="AN321" s="196">
        <f>monthly_mortgage_schedule[[#This Row],[Extra Payments Towards Equity]]+AN320+IF(monthly_mortgage_schedule[[#This Row],[Interest With Extra Principal Payments]]&gt;0,monthly_mortgage_schedule[[#This Row],[Interest Without Extra Principal Payments]]-monthly_mortgage_schedule[[#This Row],[Interest With Extra Principal Payments]],0)</f>
        <v>90490.358236430475</v>
      </c>
      <c r="AO321" s="4">
        <f>AO320+IF(monthly_mortgage_schedule[[#This Row],[Interest With Extra Principal Payments]]&gt;0,monthly_mortgage_schedule[[#This Row],[Interest Without Extra Principal Payments]]-monthly_mortgage_schedule[[#This Row],[Interest With Extra Principal Payments]],0)</f>
        <v>51240.358236430438</v>
      </c>
      <c r="AP321" s="4">
        <f>AP320+monthly_mortgage_schedule[[#This Row],[PMI Without Extra Principal Payments]]-monthly_mortgage_schedule[[#This Row],[PMI with Additional Payments]]</f>
        <v>990</v>
      </c>
      <c r="AQ321" s="4">
        <f t="shared" si="33"/>
        <v>134069.55966659691</v>
      </c>
      <c r="AR321" s="4">
        <f>Table60[[#This Row],[Cumulative Investments]]-monthly_mortgage_schedule[[#This Row],[Cumulative Extra Payments Towards Equity]]</f>
        <v>94819.559666596906</v>
      </c>
    </row>
    <row r="322" spans="9:44" x14ac:dyDescent="0.25">
      <c r="I322">
        <v>305</v>
      </c>
      <c r="J322">
        <f>IF(MOD(ROWS($J$18:J321),12)=0,J321+1,J321)</f>
        <v>2047</v>
      </c>
      <c r="K322" s="198">
        <f>IF(M322="#N/A",NA(),monthly_mortgage_schedule[[#This Row],[Month]])</f>
        <v>305</v>
      </c>
      <c r="L322" s="198">
        <f>IF(monthly_mortgage_schedule[[#This Row],[Calendar Year]]&gt;=$C$7,monthly_mortgage_schedule[[#This Row],[Calendar Year]],NA())</f>
        <v>2047</v>
      </c>
      <c r="M322" s="199">
        <f>IF((monthly_mortgage_schedule[[#This Row],[Calendar Year]]&gt;=$C$7)*(monthly_mortgage_schedule[[#This Row],[Calendar Year]]&lt;=$C$9),monthly_mortgage_schedule[[#This Row],[Begin Year (Range)]],NA())</f>
        <v>2047</v>
      </c>
      <c r="N322" s="214">
        <f>IF((monthly_mortgage_schedule[[#This Row],[Year (Range)]]&gt;=$C$7)*(monthly_mortgage_schedule[[#This Row],[Year (Range)]]&lt;=$C$9),X322,NA())</f>
        <v>289.19120222956678</v>
      </c>
      <c r="O322" s="214">
        <f>IF((monthly_mortgage_schedule[[#This Row],[Year (Range)]]&gt;=$C$7)*(monthly_mortgage_schedule[[#This Row],[Year (Range)]]&lt;=$C$9),Y322,NA())</f>
        <v>2810.8352932338412</v>
      </c>
      <c r="P322" s="214">
        <f>IF((monthly_mortgage_schedule[[#This Row],[Year (Range)]]&gt;=$C$7)*(monthly_mortgage_schedule[[#This Row],[Year (Range)]]&lt;=$C$9),AG322,NA())</f>
        <v>711.47954066624231</v>
      </c>
      <c r="Q322" s="214">
        <f>IF((monthly_mortgage_schedule[[#This Row],[Year (Range)]]&gt;=$C$7)*(monthly_mortgage_schedule[[#This Row],[Year (Range)]]&lt;=$C$9),AH322,NA())</f>
        <v>2388.5469547971657</v>
      </c>
      <c r="R322" s="214">
        <f>IF((monthly_mortgage_schedule[[#This Row],[Year (Range)]]&gt;=$C$7)*(monthly_mortgage_schedule[[#This Row],[Year (Range)]]&lt;=$C$9),AO322,NA())</f>
        <v>51662.646574867111</v>
      </c>
      <c r="S322" s="214">
        <f>IF((monthly_mortgage_schedule[[#This Row],[Year (Range)]]&gt;=$C$7)*(monthly_mortgage_schedule[[#This Row],[Year (Range)]]&lt;=$C$9),AP322,NA())</f>
        <v>990</v>
      </c>
      <c r="T322" s="214">
        <f>IF((monthly_mortgage_schedule[[#This Row],[Year (Range)]]&gt;=$C$7)*(monthly_mortgage_schedule[[#This Row],[Year (Range)]]&lt;=$C$9),AR322,NA())</f>
        <v>95713.356731040869</v>
      </c>
      <c r="U322" s="214">
        <f>IF((monthly_mortgage_schedule[[#This Row],[Year (Range)]]&gt;=$C$7)*(monthly_mortgage_schedule[[#This Row],[Year (Range)]]&lt;=$C$9),AB322,NA())</f>
        <v>480841.29195832665</v>
      </c>
      <c r="V322" s="214">
        <f>IF((monthly_mortgage_schedule[[#This Row],[Year (Range)]]&gt;=$C$7)*(monthly_mortgage_schedule[[#This Row],[Year (Range)]]&lt;=$C$9),AI322,NA())</f>
        <v>389928.64538345981</v>
      </c>
      <c r="W322" s="187">
        <f t="shared" si="31"/>
        <v>61969.543334907161</v>
      </c>
      <c r="X322" s="4">
        <f t="shared" si="34"/>
        <v>289.19120222956678</v>
      </c>
      <c r="Y322" s="4">
        <f t="shared" si="32"/>
        <v>2810.8352932338412</v>
      </c>
      <c r="Z322" s="4">
        <f>_xlfn.IFNA(INDEX(additional_mortgage_payments[],MATCH(monthly_mortgage_schedule[[#This Row],[Month]],additional_mortgage_payments[Month],0),3),0)</f>
        <v>0</v>
      </c>
      <c r="AA322" s="4">
        <f>AA321+monthly_mortgage_schedule[[#This Row],[Extra Payments Towards Equity]]</f>
        <v>39250</v>
      </c>
      <c r="AB322" s="4">
        <f>AB321+monthly_mortgage_schedule[[#This Row],[Principal With Extra Principal Payments]]+monthly_mortgage_schedule[[#This Row],[Extra Payments Towards Equity]]</f>
        <v>480841.29195832665</v>
      </c>
      <c r="AC322" s="4">
        <f>monthly_mortgage_schedule[[#This Row],[Cumulative Principal With Extra Principal Payments]]+down_payment_dollars</f>
        <v>540841.29195832671</v>
      </c>
      <c r="AD322" s="200">
        <f t="shared" si="29"/>
        <v>0</v>
      </c>
      <c r="AE32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59158.708041673322</v>
      </c>
      <c r="AF322" s="187">
        <f t="shared" si="35"/>
        <v>152459.90157133763</v>
      </c>
      <c r="AG322" s="4">
        <f>IF(monthly_mortgage_schedule[[#This Row],[Loan Balance (BOY) Without Extra Principal Payments]]&gt;0,monthly_mortgage_schedule[[#This Row],[Loan Balance (BOY) Without Extra Principal Payments]]*monthly_interest_rate,0)</f>
        <v>711.47954066624231</v>
      </c>
      <c r="AH322" s="4">
        <f>IF(monthly_mortgage_schedule[[#This Row],[Loan Balance (BOY) Without Extra Principal Payments]]&gt;1,monthly_principal_and_interest-monthly_mortgage_schedule[[#This Row],[Interest Without Extra Principal Payments]],0)</f>
        <v>2388.5469547971657</v>
      </c>
      <c r="AI322" s="4">
        <f>AI321+monthly_mortgage_schedule[[#This Row],[Principal Without Extra Principal Payments]]</f>
        <v>389928.64538345981</v>
      </c>
      <c r="AJ322" s="4">
        <f>monthly_mortgage_schedule[[#This Row],[Cumulative Principal Without Extra Principal Payments]]+down_payment_dollars</f>
        <v>449928.64538345981</v>
      </c>
      <c r="AK322" s="200">
        <f t="shared" si="30"/>
        <v>0</v>
      </c>
      <c r="AL32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150071.35461654046</v>
      </c>
      <c r="AN322" s="196">
        <f>monthly_mortgage_schedule[[#This Row],[Extra Payments Towards Equity]]+AN321+IF(monthly_mortgage_schedule[[#This Row],[Interest With Extra Principal Payments]]&gt;0,monthly_mortgage_schedule[[#This Row],[Interest Without Extra Principal Payments]]-monthly_mortgage_schedule[[#This Row],[Interest With Extra Principal Payments]],0)</f>
        <v>90912.646574867147</v>
      </c>
      <c r="AO322" s="4">
        <f>AO321+IF(monthly_mortgage_schedule[[#This Row],[Interest With Extra Principal Payments]]&gt;0,monthly_mortgage_schedule[[#This Row],[Interest Without Extra Principal Payments]]-monthly_mortgage_schedule[[#This Row],[Interest With Extra Principal Payments]],0)</f>
        <v>51662.646574867111</v>
      </c>
      <c r="AP322" s="4">
        <f>AP321+monthly_mortgage_schedule[[#This Row],[PMI Without Extra Principal Payments]]-monthly_mortgage_schedule[[#This Row],[PMI with Additional Payments]]</f>
        <v>990</v>
      </c>
      <c r="AQ322" s="4">
        <f t="shared" si="33"/>
        <v>134963.35673104087</v>
      </c>
      <c r="AR322" s="4">
        <f>Table60[[#This Row],[Cumulative Investments]]-monthly_mortgage_schedule[[#This Row],[Cumulative Extra Payments Towards Equity]]</f>
        <v>95713.356731040869</v>
      </c>
    </row>
    <row r="323" spans="9:44" x14ac:dyDescent="0.25">
      <c r="I323">
        <v>306</v>
      </c>
      <c r="J323">
        <f>IF(MOD(ROWS($J$18:J322),12)=0,J322+1,J322)</f>
        <v>2047</v>
      </c>
      <c r="K323" s="198">
        <f>IF(M323="#N/A",NA(),monthly_mortgage_schedule[[#This Row],[Month]])</f>
        <v>306</v>
      </c>
      <c r="L323" s="198">
        <f>IF(monthly_mortgage_schedule[[#This Row],[Calendar Year]]&gt;=$C$7,monthly_mortgage_schedule[[#This Row],[Calendar Year]],NA())</f>
        <v>2047</v>
      </c>
      <c r="M323" s="199">
        <f>IF((monthly_mortgage_schedule[[#This Row],[Calendar Year]]&gt;=$C$7)*(monthly_mortgage_schedule[[#This Row],[Calendar Year]]&lt;=$C$9),monthly_mortgage_schedule[[#This Row],[Begin Year (Range)]],NA())</f>
        <v>2047</v>
      </c>
      <c r="N323" s="214">
        <f>IF((monthly_mortgage_schedule[[#This Row],[Year (Range)]]&gt;=$C$7)*(monthly_mortgage_schedule[[#This Row],[Year (Range)]]&lt;=$C$9),X323,NA())</f>
        <v>276.07397086114219</v>
      </c>
      <c r="O323" s="214">
        <f>IF((monthly_mortgage_schedule[[#This Row],[Year (Range)]]&gt;=$C$7)*(monthly_mortgage_schedule[[#This Row],[Year (Range)]]&lt;=$C$9),Y323,NA())</f>
        <v>2823.9525246022658</v>
      </c>
      <c r="P323" s="214">
        <f>IF((monthly_mortgage_schedule[[#This Row],[Year (Range)]]&gt;=$C$7)*(monthly_mortgage_schedule[[#This Row],[Year (Range)]]&lt;=$C$9),AG323,NA())</f>
        <v>700.33298821052222</v>
      </c>
      <c r="Q323" s="214">
        <f>IF((monthly_mortgage_schedule[[#This Row],[Year (Range)]]&gt;=$C$7)*(monthly_mortgage_schedule[[#This Row],[Year (Range)]]&lt;=$C$9),AH323,NA())</f>
        <v>2399.6935072528859</v>
      </c>
      <c r="R323" s="214">
        <f>IF((monthly_mortgage_schedule[[#This Row],[Year (Range)]]&gt;=$C$7)*(monthly_mortgage_schedule[[#This Row],[Year (Range)]]&lt;=$C$9),AO323,NA())</f>
        <v>52086.905592216492</v>
      </c>
      <c r="S323" s="214">
        <f>IF((monthly_mortgage_schedule[[#This Row],[Year (Range)]]&gt;=$C$7)*(monthly_mortgage_schedule[[#This Row],[Year (Range)]]&lt;=$C$9),AP323,NA())</f>
        <v>990</v>
      </c>
      <c r="T323" s="214">
        <f>IF((monthly_mortgage_schedule[[#This Row],[Year (Range)]]&gt;=$C$7)*(monthly_mortgage_schedule[[#This Row],[Year (Range)]]&lt;=$C$9),AR323,NA())</f>
        <v>96613.112442581129</v>
      </c>
      <c r="U323" s="214">
        <f>IF((monthly_mortgage_schedule[[#This Row],[Year (Range)]]&gt;=$C$7)*(monthly_mortgage_schedule[[#This Row],[Year (Range)]]&lt;=$C$9),AB323,NA())</f>
        <v>483665.24448292889</v>
      </c>
      <c r="V323" s="214">
        <f>IF((monthly_mortgage_schedule[[#This Row],[Year (Range)]]&gt;=$C$7)*(monthly_mortgage_schedule[[#This Row],[Year (Range)]]&lt;=$C$9),AI323,NA())</f>
        <v>392328.33889071271</v>
      </c>
      <c r="W323" s="187">
        <f t="shared" si="31"/>
        <v>59158.708041673322</v>
      </c>
      <c r="X323" s="4">
        <f t="shared" si="34"/>
        <v>276.07397086114219</v>
      </c>
      <c r="Y323" s="4">
        <f t="shared" si="32"/>
        <v>2823.9525246022658</v>
      </c>
      <c r="Z323" s="4">
        <f>_xlfn.IFNA(INDEX(additional_mortgage_payments[],MATCH(monthly_mortgage_schedule[[#This Row],[Month]],additional_mortgage_payments[Month],0),3),0)</f>
        <v>0</v>
      </c>
      <c r="AA323" s="4">
        <f>AA322+monthly_mortgage_schedule[[#This Row],[Extra Payments Towards Equity]]</f>
        <v>39250</v>
      </c>
      <c r="AB323" s="4">
        <f>AB322+monthly_mortgage_schedule[[#This Row],[Principal With Extra Principal Payments]]+monthly_mortgage_schedule[[#This Row],[Extra Payments Towards Equity]]</f>
        <v>483665.24448292889</v>
      </c>
      <c r="AC323" s="4">
        <f>monthly_mortgage_schedule[[#This Row],[Cumulative Principal With Extra Principal Payments]]+down_payment_dollars</f>
        <v>543665.24448292889</v>
      </c>
      <c r="AD323" s="200">
        <f t="shared" si="29"/>
        <v>0</v>
      </c>
      <c r="AE32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56334.755517071055</v>
      </c>
      <c r="AF323" s="187">
        <f t="shared" si="35"/>
        <v>150071.35461654046</v>
      </c>
      <c r="AG323" s="4">
        <f>IF(monthly_mortgage_schedule[[#This Row],[Loan Balance (BOY) Without Extra Principal Payments]]&gt;0,monthly_mortgage_schedule[[#This Row],[Loan Balance (BOY) Without Extra Principal Payments]]*monthly_interest_rate,0)</f>
        <v>700.33298821052222</v>
      </c>
      <c r="AH323" s="4">
        <f>IF(monthly_mortgage_schedule[[#This Row],[Loan Balance (BOY) Without Extra Principal Payments]]&gt;1,monthly_principal_and_interest-monthly_mortgage_schedule[[#This Row],[Interest Without Extra Principal Payments]],0)</f>
        <v>2399.6935072528859</v>
      </c>
      <c r="AI323" s="4">
        <f>AI322+monthly_mortgage_schedule[[#This Row],[Principal Without Extra Principal Payments]]</f>
        <v>392328.33889071271</v>
      </c>
      <c r="AJ323" s="4">
        <f>monthly_mortgage_schedule[[#This Row],[Cumulative Principal Without Extra Principal Payments]]+down_payment_dollars</f>
        <v>452328.33889071271</v>
      </c>
      <c r="AK323" s="200">
        <f t="shared" si="30"/>
        <v>0</v>
      </c>
      <c r="AL32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147671.66110928758</v>
      </c>
      <c r="AN323" s="196">
        <f>monthly_mortgage_schedule[[#This Row],[Extra Payments Towards Equity]]+AN322+IF(monthly_mortgage_schedule[[#This Row],[Interest With Extra Principal Payments]]&gt;0,monthly_mortgage_schedule[[#This Row],[Interest Without Extra Principal Payments]]-monthly_mortgage_schedule[[#This Row],[Interest With Extra Principal Payments]],0)</f>
        <v>91336.905592216528</v>
      </c>
      <c r="AO323" s="4">
        <f>AO322+IF(monthly_mortgage_schedule[[#This Row],[Interest With Extra Principal Payments]]&gt;0,monthly_mortgage_schedule[[#This Row],[Interest Without Extra Principal Payments]]-monthly_mortgage_schedule[[#This Row],[Interest With Extra Principal Payments]],0)</f>
        <v>52086.905592216492</v>
      </c>
      <c r="AP323" s="4">
        <f>AP322+monthly_mortgage_schedule[[#This Row],[PMI Without Extra Principal Payments]]-monthly_mortgage_schedule[[#This Row],[PMI with Additional Payments]]</f>
        <v>990</v>
      </c>
      <c r="AQ323" s="4">
        <f t="shared" si="33"/>
        <v>135863.11244258113</v>
      </c>
      <c r="AR323" s="4">
        <f>Table60[[#This Row],[Cumulative Investments]]-monthly_mortgage_schedule[[#This Row],[Cumulative Extra Payments Towards Equity]]</f>
        <v>96613.112442581129</v>
      </c>
    </row>
    <row r="324" spans="9:44" x14ac:dyDescent="0.25">
      <c r="I324">
        <v>307</v>
      </c>
      <c r="J324">
        <f>IF(MOD(ROWS($J$18:J323),12)=0,J323+1,J323)</f>
        <v>2047</v>
      </c>
      <c r="K324" s="198">
        <f>IF(M324="#N/A",NA(),monthly_mortgage_schedule[[#This Row],[Month]])</f>
        <v>307</v>
      </c>
      <c r="L324" s="198">
        <f>IF(monthly_mortgage_schedule[[#This Row],[Calendar Year]]&gt;=$C$7,monthly_mortgage_schedule[[#This Row],[Calendar Year]],NA())</f>
        <v>2047</v>
      </c>
      <c r="M324" s="199">
        <f>IF((monthly_mortgage_schedule[[#This Row],[Calendar Year]]&gt;=$C$7)*(monthly_mortgage_schedule[[#This Row],[Calendar Year]]&lt;=$C$9),monthly_mortgage_schedule[[#This Row],[Begin Year (Range)]],NA())</f>
        <v>2047</v>
      </c>
      <c r="N324" s="214">
        <f>IF((monthly_mortgage_schedule[[#This Row],[Year (Range)]]&gt;=$C$7)*(monthly_mortgage_schedule[[#This Row],[Year (Range)]]&lt;=$C$9),X324,NA())</f>
        <v>262.8955257463316</v>
      </c>
      <c r="O324" s="214">
        <f>IF((monthly_mortgage_schedule[[#This Row],[Year (Range)]]&gt;=$C$7)*(monthly_mortgage_schedule[[#This Row],[Year (Range)]]&lt;=$C$9),Y324,NA())</f>
        <v>2837.1309697170764</v>
      </c>
      <c r="P324" s="214">
        <f>IF((monthly_mortgage_schedule[[#This Row],[Year (Range)]]&gt;=$C$7)*(monthly_mortgage_schedule[[#This Row],[Year (Range)]]&lt;=$C$9),AG324,NA())</f>
        <v>689.1344185100088</v>
      </c>
      <c r="Q324" s="214">
        <f>IF((monthly_mortgage_schedule[[#This Row],[Year (Range)]]&gt;=$C$7)*(monthly_mortgage_schedule[[#This Row],[Year (Range)]]&lt;=$C$9),AH324,NA())</f>
        <v>2410.8920769533993</v>
      </c>
      <c r="R324" s="214">
        <f>IF((monthly_mortgage_schedule[[#This Row],[Year (Range)]]&gt;=$C$7)*(monthly_mortgage_schedule[[#This Row],[Year (Range)]]&lt;=$C$9),AO324,NA())</f>
        <v>52513.14448498017</v>
      </c>
      <c r="S324" s="214">
        <f>IF((monthly_mortgage_schedule[[#This Row],[Year (Range)]]&gt;=$C$7)*(monthly_mortgage_schedule[[#This Row],[Year (Range)]]&lt;=$C$9),AP324,NA())</f>
        <v>990</v>
      </c>
      <c r="T324" s="214">
        <f>IF((monthly_mortgage_schedule[[#This Row],[Year (Range)]]&gt;=$C$7)*(monthly_mortgage_schedule[[#This Row],[Year (Range)]]&lt;=$C$9),AR324,NA())</f>
        <v>97518.866525531659</v>
      </c>
      <c r="U324" s="214">
        <f>IF((monthly_mortgage_schedule[[#This Row],[Year (Range)]]&gt;=$C$7)*(monthly_mortgage_schedule[[#This Row],[Year (Range)]]&lt;=$C$9),AB324,NA())</f>
        <v>486502.37545264594</v>
      </c>
      <c r="V324" s="214">
        <f>IF((monthly_mortgage_schedule[[#This Row],[Year (Range)]]&gt;=$C$7)*(monthly_mortgage_schedule[[#This Row],[Year (Range)]]&lt;=$C$9),AI324,NA())</f>
        <v>394739.23096766608</v>
      </c>
      <c r="W324" s="187">
        <f t="shared" si="31"/>
        <v>56334.755517071055</v>
      </c>
      <c r="X324" s="4">
        <f t="shared" si="34"/>
        <v>262.8955257463316</v>
      </c>
      <c r="Y324" s="4">
        <f t="shared" si="32"/>
        <v>2837.1309697170764</v>
      </c>
      <c r="Z324" s="4">
        <f>_xlfn.IFNA(INDEX(additional_mortgage_payments[],MATCH(monthly_mortgage_schedule[[#This Row],[Month]],additional_mortgage_payments[Month],0),3),0)</f>
        <v>0</v>
      </c>
      <c r="AA324" s="4">
        <f>AA323+monthly_mortgage_schedule[[#This Row],[Extra Payments Towards Equity]]</f>
        <v>39250</v>
      </c>
      <c r="AB324" s="4">
        <f>AB323+monthly_mortgage_schedule[[#This Row],[Principal With Extra Principal Payments]]+monthly_mortgage_schedule[[#This Row],[Extra Payments Towards Equity]]</f>
        <v>486502.37545264594</v>
      </c>
      <c r="AC324" s="4">
        <f>monthly_mortgage_schedule[[#This Row],[Cumulative Principal With Extra Principal Payments]]+down_payment_dollars</f>
        <v>546502.37545264594</v>
      </c>
      <c r="AD324" s="200">
        <f t="shared" si="29"/>
        <v>0</v>
      </c>
      <c r="AE32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53497.624547353975</v>
      </c>
      <c r="AF324" s="187">
        <f t="shared" si="35"/>
        <v>147671.66110928758</v>
      </c>
      <c r="AG324" s="4">
        <f>IF(monthly_mortgage_schedule[[#This Row],[Loan Balance (BOY) Without Extra Principal Payments]]&gt;0,monthly_mortgage_schedule[[#This Row],[Loan Balance (BOY) Without Extra Principal Payments]]*monthly_interest_rate,0)</f>
        <v>689.1344185100088</v>
      </c>
      <c r="AH324" s="4">
        <f>IF(monthly_mortgage_schedule[[#This Row],[Loan Balance (BOY) Without Extra Principal Payments]]&gt;1,monthly_principal_and_interest-monthly_mortgage_schedule[[#This Row],[Interest Without Extra Principal Payments]],0)</f>
        <v>2410.8920769533993</v>
      </c>
      <c r="AI324" s="4">
        <f>AI323+monthly_mortgage_schedule[[#This Row],[Principal Without Extra Principal Payments]]</f>
        <v>394739.23096766608</v>
      </c>
      <c r="AJ324" s="4">
        <f>monthly_mortgage_schedule[[#This Row],[Cumulative Principal Without Extra Principal Payments]]+down_payment_dollars</f>
        <v>454739.23096766608</v>
      </c>
      <c r="AK324" s="200">
        <f t="shared" si="30"/>
        <v>0</v>
      </c>
      <c r="AL32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145260.76903233418</v>
      </c>
      <c r="AN324" s="196">
        <f>monthly_mortgage_schedule[[#This Row],[Extra Payments Towards Equity]]+AN323+IF(monthly_mortgage_schedule[[#This Row],[Interest With Extra Principal Payments]]&gt;0,monthly_mortgage_schedule[[#This Row],[Interest Without Extra Principal Payments]]-monthly_mortgage_schedule[[#This Row],[Interest With Extra Principal Payments]],0)</f>
        <v>91763.144484980206</v>
      </c>
      <c r="AO324" s="4">
        <f>AO323+IF(monthly_mortgage_schedule[[#This Row],[Interest With Extra Principal Payments]]&gt;0,monthly_mortgage_schedule[[#This Row],[Interest Without Extra Principal Payments]]-monthly_mortgage_schedule[[#This Row],[Interest With Extra Principal Payments]],0)</f>
        <v>52513.14448498017</v>
      </c>
      <c r="AP324" s="4">
        <f>AP323+monthly_mortgage_schedule[[#This Row],[PMI Without Extra Principal Payments]]-monthly_mortgage_schedule[[#This Row],[PMI with Additional Payments]]</f>
        <v>990</v>
      </c>
      <c r="AQ324" s="4">
        <f t="shared" si="33"/>
        <v>136768.86652553166</v>
      </c>
      <c r="AR324" s="4">
        <f>Table60[[#This Row],[Cumulative Investments]]-monthly_mortgage_schedule[[#This Row],[Cumulative Extra Payments Towards Equity]]</f>
        <v>97518.866525531659</v>
      </c>
    </row>
    <row r="325" spans="9:44" x14ac:dyDescent="0.25">
      <c r="I325">
        <v>308</v>
      </c>
      <c r="J325">
        <f>IF(MOD(ROWS($J$18:J324),12)=0,J324+1,J324)</f>
        <v>2047</v>
      </c>
      <c r="K325" s="198">
        <f>IF(M325="#N/A",NA(),monthly_mortgage_schedule[[#This Row],[Month]])</f>
        <v>308</v>
      </c>
      <c r="L325" s="198">
        <f>IF(monthly_mortgage_schedule[[#This Row],[Calendar Year]]&gt;=$C$7,monthly_mortgage_schedule[[#This Row],[Calendar Year]],NA())</f>
        <v>2047</v>
      </c>
      <c r="M325" s="199">
        <f>IF((monthly_mortgage_schedule[[#This Row],[Calendar Year]]&gt;=$C$7)*(monthly_mortgage_schedule[[#This Row],[Calendar Year]]&lt;=$C$9),monthly_mortgage_schedule[[#This Row],[Begin Year (Range)]],NA())</f>
        <v>2047</v>
      </c>
      <c r="N325" s="214">
        <f>IF((monthly_mortgage_schedule[[#This Row],[Year (Range)]]&gt;=$C$7)*(monthly_mortgage_schedule[[#This Row],[Year (Range)]]&lt;=$C$9),X325,NA())</f>
        <v>249.65558122098523</v>
      </c>
      <c r="O325" s="214">
        <f>IF((monthly_mortgage_schedule[[#This Row],[Year (Range)]]&gt;=$C$7)*(monthly_mortgage_schedule[[#This Row],[Year (Range)]]&lt;=$C$9),Y325,NA())</f>
        <v>2850.3709142424227</v>
      </c>
      <c r="P325" s="214">
        <f>IF((monthly_mortgage_schedule[[#This Row],[Year (Range)]]&gt;=$C$7)*(monthly_mortgage_schedule[[#This Row],[Year (Range)]]&lt;=$C$9),AG325,NA())</f>
        <v>677.8835888175596</v>
      </c>
      <c r="Q325" s="214">
        <f>IF((monthly_mortgage_schedule[[#This Row],[Year (Range)]]&gt;=$C$7)*(monthly_mortgage_schedule[[#This Row],[Year (Range)]]&lt;=$C$9),AH325,NA())</f>
        <v>2422.1429066458486</v>
      </c>
      <c r="R325" s="214">
        <f>IF((monthly_mortgage_schedule[[#This Row],[Year (Range)]]&gt;=$C$7)*(monthly_mortgage_schedule[[#This Row],[Year (Range)]]&lt;=$C$9),AO325,NA())</f>
        <v>52941.372492576746</v>
      </c>
      <c r="S325" s="214">
        <f>IF((monthly_mortgage_schedule[[#This Row],[Year (Range)]]&gt;=$C$7)*(monthly_mortgage_schedule[[#This Row],[Year (Range)]]&lt;=$C$9),AP325,NA())</f>
        <v>990</v>
      </c>
      <c r="T325" s="214">
        <f>IF((monthly_mortgage_schedule[[#This Row],[Year (Range)]]&gt;=$C$7)*(monthly_mortgage_schedule[[#This Row],[Year (Range)]]&lt;=$C$9),AR325,NA())</f>
        <v>98430.658969035198</v>
      </c>
      <c r="U325" s="214">
        <f>IF((monthly_mortgage_schedule[[#This Row],[Year (Range)]]&gt;=$C$7)*(monthly_mortgage_schedule[[#This Row],[Year (Range)]]&lt;=$C$9),AB325,NA())</f>
        <v>489352.74636688834</v>
      </c>
      <c r="V325" s="214">
        <f>IF((monthly_mortgage_schedule[[#This Row],[Year (Range)]]&gt;=$C$7)*(monthly_mortgage_schedule[[#This Row],[Year (Range)]]&lt;=$C$9),AI325,NA())</f>
        <v>397161.37387431192</v>
      </c>
      <c r="W325" s="187">
        <f t="shared" si="31"/>
        <v>53497.624547353975</v>
      </c>
      <c r="X325" s="4">
        <f t="shared" si="34"/>
        <v>249.65558122098523</v>
      </c>
      <c r="Y325" s="4">
        <f t="shared" si="32"/>
        <v>2850.3709142424227</v>
      </c>
      <c r="Z325" s="4">
        <f>_xlfn.IFNA(INDEX(additional_mortgage_payments[],MATCH(monthly_mortgage_schedule[[#This Row],[Month]],additional_mortgage_payments[Month],0),3),0)</f>
        <v>0</v>
      </c>
      <c r="AA325" s="4">
        <f>AA324+monthly_mortgage_schedule[[#This Row],[Extra Payments Towards Equity]]</f>
        <v>39250</v>
      </c>
      <c r="AB325" s="4">
        <f>AB324+monthly_mortgage_schedule[[#This Row],[Principal With Extra Principal Payments]]+monthly_mortgage_schedule[[#This Row],[Extra Payments Towards Equity]]</f>
        <v>489352.74636688834</v>
      </c>
      <c r="AC325" s="4">
        <f>monthly_mortgage_schedule[[#This Row],[Cumulative Principal With Extra Principal Payments]]+down_payment_dollars</f>
        <v>549352.74636688828</v>
      </c>
      <c r="AD325" s="200">
        <f t="shared" si="29"/>
        <v>0</v>
      </c>
      <c r="AE32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50647.253633111555</v>
      </c>
      <c r="AF325" s="187">
        <f t="shared" si="35"/>
        <v>145260.76903233418</v>
      </c>
      <c r="AG325" s="4">
        <f>IF(monthly_mortgage_schedule[[#This Row],[Loan Balance (BOY) Without Extra Principal Payments]]&gt;0,monthly_mortgage_schedule[[#This Row],[Loan Balance (BOY) Without Extra Principal Payments]]*monthly_interest_rate,0)</f>
        <v>677.8835888175596</v>
      </c>
      <c r="AH325" s="4">
        <f>IF(monthly_mortgage_schedule[[#This Row],[Loan Balance (BOY) Without Extra Principal Payments]]&gt;1,monthly_principal_and_interest-monthly_mortgage_schedule[[#This Row],[Interest Without Extra Principal Payments]],0)</f>
        <v>2422.1429066458486</v>
      </c>
      <c r="AI325" s="4">
        <f>AI324+monthly_mortgage_schedule[[#This Row],[Principal Without Extra Principal Payments]]</f>
        <v>397161.37387431192</v>
      </c>
      <c r="AJ325" s="4">
        <f>monthly_mortgage_schedule[[#This Row],[Cumulative Principal Without Extra Principal Payments]]+down_payment_dollars</f>
        <v>457161.37387431192</v>
      </c>
      <c r="AK325" s="200">
        <f t="shared" si="30"/>
        <v>0</v>
      </c>
      <c r="AL32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142838.62612568834</v>
      </c>
      <c r="AN325" s="196">
        <f>monthly_mortgage_schedule[[#This Row],[Extra Payments Towards Equity]]+AN324+IF(monthly_mortgage_schedule[[#This Row],[Interest With Extra Principal Payments]]&gt;0,monthly_mortgage_schedule[[#This Row],[Interest Without Extra Principal Payments]]-monthly_mortgage_schedule[[#This Row],[Interest With Extra Principal Payments]],0)</f>
        <v>92191.372492576775</v>
      </c>
      <c r="AO325" s="4">
        <f>AO324+IF(monthly_mortgage_schedule[[#This Row],[Interest With Extra Principal Payments]]&gt;0,monthly_mortgage_schedule[[#This Row],[Interest Without Extra Principal Payments]]-monthly_mortgage_schedule[[#This Row],[Interest With Extra Principal Payments]],0)</f>
        <v>52941.372492576746</v>
      </c>
      <c r="AP325" s="4">
        <f>AP324+monthly_mortgage_schedule[[#This Row],[PMI Without Extra Principal Payments]]-monthly_mortgage_schedule[[#This Row],[PMI with Additional Payments]]</f>
        <v>990</v>
      </c>
      <c r="AQ325" s="4">
        <f t="shared" si="33"/>
        <v>137680.6589690352</v>
      </c>
      <c r="AR325" s="4">
        <f>Table60[[#This Row],[Cumulative Investments]]-monthly_mortgage_schedule[[#This Row],[Cumulative Extra Payments Towards Equity]]</f>
        <v>98430.658969035198</v>
      </c>
    </row>
    <row r="326" spans="9:44" x14ac:dyDescent="0.25">
      <c r="I326">
        <v>309</v>
      </c>
      <c r="J326">
        <f>IF(MOD(ROWS($J$18:J325),12)=0,J325+1,J325)</f>
        <v>2047</v>
      </c>
      <c r="K326" s="198">
        <f>IF(M326="#N/A",NA(),monthly_mortgage_schedule[[#This Row],[Month]])</f>
        <v>309</v>
      </c>
      <c r="L326" s="198">
        <f>IF(monthly_mortgage_schedule[[#This Row],[Calendar Year]]&gt;=$C$7,monthly_mortgage_schedule[[#This Row],[Calendar Year]],NA())</f>
        <v>2047</v>
      </c>
      <c r="M326" s="199">
        <f>IF((monthly_mortgage_schedule[[#This Row],[Calendar Year]]&gt;=$C$7)*(monthly_mortgage_schedule[[#This Row],[Calendar Year]]&lt;=$C$9),monthly_mortgage_schedule[[#This Row],[Begin Year (Range)]],NA())</f>
        <v>2047</v>
      </c>
      <c r="N326" s="214">
        <f>IF((monthly_mortgage_schedule[[#This Row],[Year (Range)]]&gt;=$C$7)*(monthly_mortgage_schedule[[#This Row],[Year (Range)]]&lt;=$C$9),X326,NA())</f>
        <v>236.35385028785393</v>
      </c>
      <c r="O326" s="214">
        <f>IF((monthly_mortgage_schedule[[#This Row],[Year (Range)]]&gt;=$C$7)*(monthly_mortgage_schedule[[#This Row],[Year (Range)]]&lt;=$C$9),Y326,NA())</f>
        <v>2863.672645175554</v>
      </c>
      <c r="P326" s="214">
        <f>IF((monthly_mortgage_schedule[[#This Row],[Year (Range)]]&gt;=$C$7)*(monthly_mortgage_schedule[[#This Row],[Year (Range)]]&lt;=$C$9),AG326,NA())</f>
        <v>666.58025525321239</v>
      </c>
      <c r="Q326" s="214">
        <f>IF((monthly_mortgage_schedule[[#This Row],[Year (Range)]]&gt;=$C$7)*(monthly_mortgage_schedule[[#This Row],[Year (Range)]]&lt;=$C$9),AH326,NA())</f>
        <v>2433.4462402101958</v>
      </c>
      <c r="R326" s="214">
        <f>IF((monthly_mortgage_schedule[[#This Row],[Year (Range)]]&gt;=$C$7)*(monthly_mortgage_schedule[[#This Row],[Year (Range)]]&lt;=$C$9),AO326,NA())</f>
        <v>53371.598897542106</v>
      </c>
      <c r="S326" s="214">
        <f>IF((monthly_mortgage_schedule[[#This Row],[Year (Range)]]&gt;=$C$7)*(monthly_mortgage_schedule[[#This Row],[Year (Range)]]&lt;=$C$9),AP326,NA())</f>
        <v>990</v>
      </c>
      <c r="T326" s="214">
        <f>IF((monthly_mortgage_schedule[[#This Row],[Year (Range)]]&gt;=$C$7)*(monthly_mortgage_schedule[[#This Row],[Year (Range)]]&lt;=$C$9),AR326,NA())</f>
        <v>99348.530028828769</v>
      </c>
      <c r="U326" s="214">
        <f>IF((monthly_mortgage_schedule[[#This Row],[Year (Range)]]&gt;=$C$7)*(monthly_mortgage_schedule[[#This Row],[Year (Range)]]&lt;=$C$9),AB326,NA())</f>
        <v>492216.41901206388</v>
      </c>
      <c r="V326" s="214">
        <f>IF((monthly_mortgage_schedule[[#This Row],[Year (Range)]]&gt;=$C$7)*(monthly_mortgage_schedule[[#This Row],[Year (Range)]]&lt;=$C$9),AI326,NA())</f>
        <v>399594.82011452212</v>
      </c>
      <c r="W326" s="187">
        <f t="shared" si="31"/>
        <v>50647.253633111555</v>
      </c>
      <c r="X326" s="4">
        <f t="shared" si="34"/>
        <v>236.35385028785393</v>
      </c>
      <c r="Y326" s="4">
        <f t="shared" si="32"/>
        <v>2863.672645175554</v>
      </c>
      <c r="Z326" s="4">
        <f>_xlfn.IFNA(INDEX(additional_mortgage_payments[],MATCH(monthly_mortgage_schedule[[#This Row],[Month]],additional_mortgage_payments[Month],0),3),0)</f>
        <v>0</v>
      </c>
      <c r="AA326" s="4">
        <f>AA325+monthly_mortgage_schedule[[#This Row],[Extra Payments Towards Equity]]</f>
        <v>39250</v>
      </c>
      <c r="AB326" s="4">
        <f>AB325+monthly_mortgage_schedule[[#This Row],[Principal With Extra Principal Payments]]+monthly_mortgage_schedule[[#This Row],[Extra Payments Towards Equity]]</f>
        <v>492216.41901206388</v>
      </c>
      <c r="AC326" s="4">
        <f>monthly_mortgage_schedule[[#This Row],[Cumulative Principal With Extra Principal Payments]]+down_payment_dollars</f>
        <v>552216.41901206388</v>
      </c>
      <c r="AD326" s="200">
        <f t="shared" si="29"/>
        <v>0</v>
      </c>
      <c r="AE32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47783.580987936002</v>
      </c>
      <c r="AF326" s="187">
        <f t="shared" si="35"/>
        <v>142838.62612568834</v>
      </c>
      <c r="AG326" s="4">
        <f>IF(monthly_mortgage_schedule[[#This Row],[Loan Balance (BOY) Without Extra Principal Payments]]&gt;0,monthly_mortgage_schedule[[#This Row],[Loan Balance (BOY) Without Extra Principal Payments]]*monthly_interest_rate,0)</f>
        <v>666.58025525321239</v>
      </c>
      <c r="AH326" s="4">
        <f>IF(monthly_mortgage_schedule[[#This Row],[Loan Balance (BOY) Without Extra Principal Payments]]&gt;1,monthly_principal_and_interest-monthly_mortgage_schedule[[#This Row],[Interest Without Extra Principal Payments]],0)</f>
        <v>2433.4462402101958</v>
      </c>
      <c r="AI326" s="4">
        <f>AI325+monthly_mortgage_schedule[[#This Row],[Principal Without Extra Principal Payments]]</f>
        <v>399594.82011452212</v>
      </c>
      <c r="AJ326" s="4">
        <f>monthly_mortgage_schedule[[#This Row],[Cumulative Principal Without Extra Principal Payments]]+down_payment_dollars</f>
        <v>459594.82011452212</v>
      </c>
      <c r="AK326" s="200">
        <f t="shared" si="30"/>
        <v>0</v>
      </c>
      <c r="AL32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140405.17988547814</v>
      </c>
      <c r="AN326" s="196">
        <f>monthly_mortgage_schedule[[#This Row],[Extra Payments Towards Equity]]+AN325+IF(monthly_mortgage_schedule[[#This Row],[Interest With Extra Principal Payments]]&gt;0,monthly_mortgage_schedule[[#This Row],[Interest Without Extra Principal Payments]]-monthly_mortgage_schedule[[#This Row],[Interest With Extra Principal Payments]],0)</f>
        <v>92621.598897542135</v>
      </c>
      <c r="AO326" s="4">
        <f>AO325+IF(monthly_mortgage_schedule[[#This Row],[Interest With Extra Principal Payments]]&gt;0,monthly_mortgage_schedule[[#This Row],[Interest Without Extra Principal Payments]]-monthly_mortgage_schedule[[#This Row],[Interest With Extra Principal Payments]],0)</f>
        <v>53371.598897542106</v>
      </c>
      <c r="AP326" s="4">
        <f>AP325+monthly_mortgage_schedule[[#This Row],[PMI Without Extra Principal Payments]]-monthly_mortgage_schedule[[#This Row],[PMI with Additional Payments]]</f>
        <v>990</v>
      </c>
      <c r="AQ326" s="4">
        <f t="shared" si="33"/>
        <v>138598.53002882877</v>
      </c>
      <c r="AR326" s="4">
        <f>Table60[[#This Row],[Cumulative Investments]]-monthly_mortgage_schedule[[#This Row],[Cumulative Extra Payments Towards Equity]]</f>
        <v>99348.530028828769</v>
      </c>
    </row>
    <row r="327" spans="9:44" x14ac:dyDescent="0.25">
      <c r="I327">
        <v>310</v>
      </c>
      <c r="J327">
        <f>IF(MOD(ROWS($J$18:J326),12)=0,J326+1,J326)</f>
        <v>2047</v>
      </c>
      <c r="K327" s="198">
        <f>IF(M327="#N/A",NA(),monthly_mortgage_schedule[[#This Row],[Month]])</f>
        <v>310</v>
      </c>
      <c r="L327" s="198">
        <f>IF(monthly_mortgage_schedule[[#This Row],[Calendar Year]]&gt;=$C$7,monthly_mortgage_schedule[[#This Row],[Calendar Year]],NA())</f>
        <v>2047</v>
      </c>
      <c r="M327" s="199">
        <f>IF((monthly_mortgage_schedule[[#This Row],[Calendar Year]]&gt;=$C$7)*(monthly_mortgage_schedule[[#This Row],[Calendar Year]]&lt;=$C$9),monthly_mortgage_schedule[[#This Row],[Begin Year (Range)]],NA())</f>
        <v>2047</v>
      </c>
      <c r="N327" s="214">
        <f>IF((monthly_mortgage_schedule[[#This Row],[Year (Range)]]&gt;=$C$7)*(monthly_mortgage_schedule[[#This Row],[Year (Range)]]&lt;=$C$9),X327,NA())</f>
        <v>222.99004461036802</v>
      </c>
      <c r="O327" s="214">
        <f>IF((monthly_mortgage_schedule[[#This Row],[Year (Range)]]&gt;=$C$7)*(monthly_mortgage_schedule[[#This Row],[Year (Range)]]&lt;=$C$9),Y327,NA())</f>
        <v>2877.0364508530402</v>
      </c>
      <c r="P327" s="214">
        <f>IF((monthly_mortgage_schedule[[#This Row],[Year (Range)]]&gt;=$C$7)*(monthly_mortgage_schedule[[#This Row],[Year (Range)]]&lt;=$C$9),AG327,NA())</f>
        <v>655.22417279889805</v>
      </c>
      <c r="Q327" s="214">
        <f>IF((monthly_mortgage_schedule[[#This Row],[Year (Range)]]&gt;=$C$7)*(monthly_mortgage_schedule[[#This Row],[Year (Range)]]&lt;=$C$9),AH327,NA())</f>
        <v>2444.80232266451</v>
      </c>
      <c r="R327" s="214">
        <f>IF((monthly_mortgage_schedule[[#This Row],[Year (Range)]]&gt;=$C$7)*(monthly_mortgage_schedule[[#This Row],[Year (Range)]]&lt;=$C$9),AO327,NA())</f>
        <v>53803.833025730637</v>
      </c>
      <c r="S327" s="214">
        <f>IF((monthly_mortgage_schedule[[#This Row],[Year (Range)]]&gt;=$C$7)*(monthly_mortgage_schedule[[#This Row],[Year (Range)]]&lt;=$C$9),AP327,NA())</f>
        <v>990</v>
      </c>
      <c r="T327" s="214">
        <f>IF((monthly_mortgage_schedule[[#This Row],[Year (Range)]]&gt;=$C$7)*(monthly_mortgage_schedule[[#This Row],[Year (Range)]]&lt;=$C$9),AR327,NA())</f>
        <v>100272.52022902094</v>
      </c>
      <c r="U327" s="214">
        <f>IF((monthly_mortgage_schedule[[#This Row],[Year (Range)]]&gt;=$C$7)*(monthly_mortgage_schedule[[#This Row],[Year (Range)]]&lt;=$C$9),AB327,NA())</f>
        <v>495093.45546291693</v>
      </c>
      <c r="V327" s="214">
        <f>IF((monthly_mortgage_schedule[[#This Row],[Year (Range)]]&gt;=$C$7)*(monthly_mortgage_schedule[[#This Row],[Year (Range)]]&lt;=$C$9),AI327,NA())</f>
        <v>402039.62243718666</v>
      </c>
      <c r="W327" s="187">
        <f t="shared" si="31"/>
        <v>47783.580987936002</v>
      </c>
      <c r="X327" s="4">
        <f t="shared" si="34"/>
        <v>222.99004461036802</v>
      </c>
      <c r="Y327" s="4">
        <f t="shared" si="32"/>
        <v>2877.0364508530402</v>
      </c>
      <c r="Z327" s="4">
        <f>_xlfn.IFNA(INDEX(additional_mortgage_payments[],MATCH(monthly_mortgage_schedule[[#This Row],[Month]],additional_mortgage_payments[Month],0),3),0)</f>
        <v>0</v>
      </c>
      <c r="AA327" s="4">
        <f>AA326+monthly_mortgage_schedule[[#This Row],[Extra Payments Towards Equity]]</f>
        <v>39250</v>
      </c>
      <c r="AB327" s="4">
        <f>AB326+monthly_mortgage_schedule[[#This Row],[Principal With Extra Principal Payments]]+monthly_mortgage_schedule[[#This Row],[Extra Payments Towards Equity]]</f>
        <v>495093.45546291693</v>
      </c>
      <c r="AC327" s="4">
        <f>monthly_mortgage_schedule[[#This Row],[Cumulative Principal With Extra Principal Payments]]+down_payment_dollars</f>
        <v>555093.45546291699</v>
      </c>
      <c r="AD327" s="200">
        <f t="shared" si="29"/>
        <v>0</v>
      </c>
      <c r="AE32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44906.544537082962</v>
      </c>
      <c r="AF327" s="187">
        <f>AL326</f>
        <v>140405.17988547814</v>
      </c>
      <c r="AG327" s="4">
        <f>IF(monthly_mortgage_schedule[[#This Row],[Loan Balance (BOY) Without Extra Principal Payments]]&gt;0,monthly_mortgage_schedule[[#This Row],[Loan Balance (BOY) Without Extra Principal Payments]]*monthly_interest_rate,0)</f>
        <v>655.22417279889805</v>
      </c>
      <c r="AH327" s="4">
        <f>IF(monthly_mortgage_schedule[[#This Row],[Loan Balance (BOY) Without Extra Principal Payments]]&gt;1,monthly_principal_and_interest-monthly_mortgage_schedule[[#This Row],[Interest Without Extra Principal Payments]],0)</f>
        <v>2444.80232266451</v>
      </c>
      <c r="AI327" s="4">
        <f>AI326+monthly_mortgage_schedule[[#This Row],[Principal Without Extra Principal Payments]]</f>
        <v>402039.62243718666</v>
      </c>
      <c r="AJ327" s="4">
        <f>monthly_mortgage_schedule[[#This Row],[Cumulative Principal Without Extra Principal Payments]]+down_payment_dollars</f>
        <v>462039.62243718666</v>
      </c>
      <c r="AK327" s="200">
        <f t="shared" si="30"/>
        <v>0</v>
      </c>
      <c r="AL32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137960.37756281364</v>
      </c>
      <c r="AN327" s="196">
        <f>monthly_mortgage_schedule[[#This Row],[Extra Payments Towards Equity]]+AN326+IF(monthly_mortgage_schedule[[#This Row],[Interest With Extra Principal Payments]]&gt;0,monthly_mortgage_schedule[[#This Row],[Interest Without Extra Principal Payments]]-monthly_mortgage_schedule[[#This Row],[Interest With Extra Principal Payments]],0)</f>
        <v>93053.833025730666</v>
      </c>
      <c r="AO327" s="4">
        <f>AO326+IF(monthly_mortgage_schedule[[#This Row],[Interest With Extra Principal Payments]]&gt;0,monthly_mortgage_schedule[[#This Row],[Interest Without Extra Principal Payments]]-monthly_mortgage_schedule[[#This Row],[Interest With Extra Principal Payments]],0)</f>
        <v>53803.833025730637</v>
      </c>
      <c r="AP327" s="4">
        <f>AP326+monthly_mortgage_schedule[[#This Row],[PMI Without Extra Principal Payments]]-monthly_mortgage_schedule[[#This Row],[PMI with Additional Payments]]</f>
        <v>990</v>
      </c>
      <c r="AQ327" s="4">
        <f t="shared" si="33"/>
        <v>139522.52022902094</v>
      </c>
      <c r="AR327" s="4">
        <f>Table60[[#This Row],[Cumulative Investments]]-monthly_mortgage_schedule[[#This Row],[Cumulative Extra Payments Towards Equity]]</f>
        <v>100272.52022902094</v>
      </c>
    </row>
    <row r="328" spans="9:44" x14ac:dyDescent="0.25">
      <c r="I328">
        <v>311</v>
      </c>
      <c r="J328">
        <f>IF(MOD(ROWS($J$18:J327),12)=0,J327+1,J327)</f>
        <v>2047</v>
      </c>
      <c r="K328" s="198">
        <f>IF(M328="#N/A",NA(),monthly_mortgage_schedule[[#This Row],[Month]])</f>
        <v>311</v>
      </c>
      <c r="L328" s="198">
        <f>IF(monthly_mortgage_schedule[[#This Row],[Calendar Year]]&gt;=$C$7,monthly_mortgage_schedule[[#This Row],[Calendar Year]],NA())</f>
        <v>2047</v>
      </c>
      <c r="M328" s="199">
        <f>IF((monthly_mortgage_schedule[[#This Row],[Calendar Year]]&gt;=$C$7)*(monthly_mortgage_schedule[[#This Row],[Calendar Year]]&lt;=$C$9),monthly_mortgage_schedule[[#This Row],[Begin Year (Range)]],NA())</f>
        <v>2047</v>
      </c>
      <c r="N328" s="214">
        <f>IF((monthly_mortgage_schedule[[#This Row],[Year (Range)]]&gt;=$C$7)*(monthly_mortgage_schedule[[#This Row],[Year (Range)]]&lt;=$C$9),X328,NA())</f>
        <v>209.56387450638718</v>
      </c>
      <c r="O328" s="214">
        <f>IF((monthly_mortgage_schedule[[#This Row],[Year (Range)]]&gt;=$C$7)*(monthly_mortgage_schedule[[#This Row],[Year (Range)]]&lt;=$C$9),Y328,NA())</f>
        <v>2890.462620957021</v>
      </c>
      <c r="P328" s="214">
        <f>IF((monthly_mortgage_schedule[[#This Row],[Year (Range)]]&gt;=$C$7)*(monthly_mortgage_schedule[[#This Row],[Year (Range)]]&lt;=$C$9),AG328,NA())</f>
        <v>643.8150952931303</v>
      </c>
      <c r="Q328" s="214">
        <f>IF((monthly_mortgage_schedule[[#This Row],[Year (Range)]]&gt;=$C$7)*(monthly_mortgage_schedule[[#This Row],[Year (Range)]]&lt;=$C$9),AH328,NA())</f>
        <v>2456.2114001702776</v>
      </c>
      <c r="R328" s="214">
        <f>IF((monthly_mortgage_schedule[[#This Row],[Year (Range)]]&gt;=$C$7)*(monthly_mortgage_schedule[[#This Row],[Year (Range)]]&lt;=$C$9),AO328,NA())</f>
        <v>54238.084246517377</v>
      </c>
      <c r="S328" s="214">
        <f>IF((monthly_mortgage_schedule[[#This Row],[Year (Range)]]&gt;=$C$7)*(monthly_mortgage_schedule[[#This Row],[Year (Range)]]&lt;=$C$9),AP328,NA())</f>
        <v>990</v>
      </c>
      <c r="T328" s="214">
        <f>IF((monthly_mortgage_schedule[[#This Row],[Year (Range)]]&gt;=$C$7)*(monthly_mortgage_schedule[[#This Row],[Year (Range)]]&lt;=$C$9),AR328,NA())</f>
        <v>101202.67036388107</v>
      </c>
      <c r="U328" s="214">
        <f>IF((monthly_mortgage_schedule[[#This Row],[Year (Range)]]&gt;=$C$7)*(monthly_mortgage_schedule[[#This Row],[Year (Range)]]&lt;=$C$9),AB328,NA())</f>
        <v>497983.91808387393</v>
      </c>
      <c r="V328" s="214">
        <f>IF((monthly_mortgage_schedule[[#This Row],[Year (Range)]]&gt;=$C$7)*(monthly_mortgage_schedule[[#This Row],[Year (Range)]]&lt;=$C$9),AI328,NA())</f>
        <v>404495.83383735694</v>
      </c>
      <c r="W328" s="187">
        <f t="shared" si="31"/>
        <v>44906.544537082962</v>
      </c>
      <c r="X328" s="4">
        <f t="shared" si="34"/>
        <v>209.56387450638718</v>
      </c>
      <c r="Y328" s="4">
        <f t="shared" si="32"/>
        <v>2890.462620957021</v>
      </c>
      <c r="Z328" s="4">
        <f>_xlfn.IFNA(INDEX(additional_mortgage_payments[],MATCH(monthly_mortgage_schedule[[#This Row],[Month]],additional_mortgage_payments[Month],0),3),0)</f>
        <v>0</v>
      </c>
      <c r="AA328" s="4">
        <f>AA327+monthly_mortgage_schedule[[#This Row],[Extra Payments Towards Equity]]</f>
        <v>39250</v>
      </c>
      <c r="AB328" s="4">
        <f>AB327+monthly_mortgage_schedule[[#This Row],[Principal With Extra Principal Payments]]+monthly_mortgage_schedule[[#This Row],[Extra Payments Towards Equity]]</f>
        <v>497983.91808387393</v>
      </c>
      <c r="AC328" s="4">
        <f>monthly_mortgage_schedule[[#This Row],[Cumulative Principal With Extra Principal Payments]]+down_payment_dollars</f>
        <v>557983.91808387393</v>
      </c>
      <c r="AD328" s="200">
        <f t="shared" si="29"/>
        <v>0</v>
      </c>
      <c r="AE32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42016.081916125942</v>
      </c>
      <c r="AF328" s="187">
        <f t="shared" si="35"/>
        <v>137960.37756281364</v>
      </c>
      <c r="AG328" s="4">
        <f>IF(monthly_mortgage_schedule[[#This Row],[Loan Balance (BOY) Without Extra Principal Payments]]&gt;0,monthly_mortgage_schedule[[#This Row],[Loan Balance (BOY) Without Extra Principal Payments]]*monthly_interest_rate,0)</f>
        <v>643.8150952931303</v>
      </c>
      <c r="AH328" s="4">
        <f>IF(monthly_mortgage_schedule[[#This Row],[Loan Balance (BOY) Without Extra Principal Payments]]&gt;1,monthly_principal_and_interest-monthly_mortgage_schedule[[#This Row],[Interest Without Extra Principal Payments]],0)</f>
        <v>2456.2114001702776</v>
      </c>
      <c r="AI328" s="4">
        <f>AI327+monthly_mortgage_schedule[[#This Row],[Principal Without Extra Principal Payments]]</f>
        <v>404495.83383735694</v>
      </c>
      <c r="AJ328" s="4">
        <f>monthly_mortgage_schedule[[#This Row],[Cumulative Principal Without Extra Principal Payments]]+down_payment_dollars</f>
        <v>464495.83383735694</v>
      </c>
      <c r="AK328" s="200">
        <f t="shared" si="30"/>
        <v>0</v>
      </c>
      <c r="AL32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135504.16616264335</v>
      </c>
      <c r="AN328" s="196">
        <f>monthly_mortgage_schedule[[#This Row],[Extra Payments Towards Equity]]+AN327+IF(monthly_mortgage_schedule[[#This Row],[Interest With Extra Principal Payments]]&gt;0,monthly_mortgage_schedule[[#This Row],[Interest Without Extra Principal Payments]]-monthly_mortgage_schedule[[#This Row],[Interest With Extra Principal Payments]],0)</f>
        <v>93488.084246517406</v>
      </c>
      <c r="AO328" s="4">
        <f>AO327+IF(monthly_mortgage_schedule[[#This Row],[Interest With Extra Principal Payments]]&gt;0,monthly_mortgage_schedule[[#This Row],[Interest Without Extra Principal Payments]]-monthly_mortgage_schedule[[#This Row],[Interest With Extra Principal Payments]],0)</f>
        <v>54238.084246517377</v>
      </c>
      <c r="AP328" s="4">
        <f>AP327+monthly_mortgage_schedule[[#This Row],[PMI Without Extra Principal Payments]]-monthly_mortgage_schedule[[#This Row],[PMI with Additional Payments]]</f>
        <v>990</v>
      </c>
      <c r="AQ328" s="4">
        <f t="shared" si="33"/>
        <v>140452.67036388107</v>
      </c>
      <c r="AR328" s="4">
        <f>Table60[[#This Row],[Cumulative Investments]]-monthly_mortgage_schedule[[#This Row],[Cumulative Extra Payments Towards Equity]]</f>
        <v>101202.67036388107</v>
      </c>
    </row>
    <row r="329" spans="9:44" x14ac:dyDescent="0.25">
      <c r="I329">
        <v>312</v>
      </c>
      <c r="J329">
        <f>IF(MOD(ROWS($J$18:J328),12)=0,J328+1,J328)</f>
        <v>2047</v>
      </c>
      <c r="K329" s="198">
        <f>IF(M329="#N/A",NA(),monthly_mortgage_schedule[[#This Row],[Month]])</f>
        <v>312</v>
      </c>
      <c r="L329" s="198">
        <f>IF(monthly_mortgage_schedule[[#This Row],[Calendar Year]]&gt;=$C$7,monthly_mortgage_schedule[[#This Row],[Calendar Year]],NA())</f>
        <v>2047</v>
      </c>
      <c r="M329" s="199">
        <f>IF((monthly_mortgage_schedule[[#This Row],[Calendar Year]]&gt;=$C$7)*(monthly_mortgage_schedule[[#This Row],[Calendar Year]]&lt;=$C$9),monthly_mortgage_schedule[[#This Row],[Begin Year (Range)]],NA())</f>
        <v>2047</v>
      </c>
      <c r="N329" s="214">
        <f>IF((monthly_mortgage_schedule[[#This Row],[Year (Range)]]&gt;=$C$7)*(monthly_mortgage_schedule[[#This Row],[Year (Range)]]&lt;=$C$9),X329,NA())</f>
        <v>196.07504894192107</v>
      </c>
      <c r="O329" s="214">
        <f>IF((monthly_mortgage_schedule[[#This Row],[Year (Range)]]&gt;=$C$7)*(monthly_mortgage_schedule[[#This Row],[Year (Range)]]&lt;=$C$9),Y329,NA())</f>
        <v>2903.951446521487</v>
      </c>
      <c r="P329" s="214">
        <f>IF((monthly_mortgage_schedule[[#This Row],[Year (Range)]]&gt;=$C$7)*(monthly_mortgage_schedule[[#This Row],[Year (Range)]]&lt;=$C$9),AG329,NA())</f>
        <v>632.35277542566905</v>
      </c>
      <c r="Q329" s="214">
        <f>IF((monthly_mortgage_schedule[[#This Row],[Year (Range)]]&gt;=$C$7)*(monthly_mortgage_schedule[[#This Row],[Year (Range)]]&lt;=$C$9),AH329,NA())</f>
        <v>2467.6737200377393</v>
      </c>
      <c r="R329" s="214">
        <f>IF((monthly_mortgage_schedule[[#This Row],[Year (Range)]]&gt;=$C$7)*(monthly_mortgage_schedule[[#This Row],[Year (Range)]]&lt;=$C$9),AO329,NA())</f>
        <v>54674.361973001127</v>
      </c>
      <c r="S329" s="214">
        <f>IF((monthly_mortgage_schedule[[#This Row],[Year (Range)]]&gt;=$C$7)*(monthly_mortgage_schedule[[#This Row],[Year (Range)]]&lt;=$C$9),AP329,NA())</f>
        <v>990</v>
      </c>
      <c r="T329" s="214">
        <f>IF((monthly_mortgage_schedule[[#This Row],[Year (Range)]]&gt;=$C$7)*(monthly_mortgage_schedule[[#This Row],[Year (Range)]]&lt;=$C$9),AR329,NA())</f>
        <v>102139.02149964028</v>
      </c>
      <c r="U329" s="214">
        <f>IF((monthly_mortgage_schedule[[#This Row],[Year (Range)]]&gt;=$C$7)*(monthly_mortgage_schedule[[#This Row],[Year (Range)]]&lt;=$C$9),AB329,NA())</f>
        <v>500887.86953039543</v>
      </c>
      <c r="V329" s="214">
        <f>IF((monthly_mortgage_schedule[[#This Row],[Year (Range)]]&gt;=$C$7)*(monthly_mortgage_schedule[[#This Row],[Year (Range)]]&lt;=$C$9),AI329,NA())</f>
        <v>406963.50755739468</v>
      </c>
      <c r="W329" s="187">
        <f t="shared" si="31"/>
        <v>42016.081916125942</v>
      </c>
      <c r="X329" s="4">
        <f t="shared" si="34"/>
        <v>196.07504894192107</v>
      </c>
      <c r="Y329" s="4">
        <f t="shared" si="32"/>
        <v>2903.951446521487</v>
      </c>
      <c r="Z329" s="4">
        <f>_xlfn.IFNA(INDEX(additional_mortgage_payments[],MATCH(monthly_mortgage_schedule[[#This Row],[Month]],additional_mortgage_payments[Month],0),3),0)</f>
        <v>0</v>
      </c>
      <c r="AA329" s="4">
        <f>AA328+monthly_mortgage_schedule[[#This Row],[Extra Payments Towards Equity]]</f>
        <v>39250</v>
      </c>
      <c r="AB329" s="4">
        <f>AB328+monthly_mortgage_schedule[[#This Row],[Principal With Extra Principal Payments]]+monthly_mortgage_schedule[[#This Row],[Extra Payments Towards Equity]]</f>
        <v>500887.86953039543</v>
      </c>
      <c r="AC329" s="4">
        <f>monthly_mortgage_schedule[[#This Row],[Cumulative Principal With Extra Principal Payments]]+down_payment_dollars</f>
        <v>560887.86953039537</v>
      </c>
      <c r="AD329" s="200">
        <f t="shared" si="29"/>
        <v>0</v>
      </c>
      <c r="AE32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39112.130469604454</v>
      </c>
      <c r="AF329" s="187">
        <f t="shared" si="35"/>
        <v>135504.16616264335</v>
      </c>
      <c r="AG329" s="4">
        <f>IF(monthly_mortgage_schedule[[#This Row],[Loan Balance (BOY) Without Extra Principal Payments]]&gt;0,monthly_mortgage_schedule[[#This Row],[Loan Balance (BOY) Without Extra Principal Payments]]*monthly_interest_rate,0)</f>
        <v>632.35277542566905</v>
      </c>
      <c r="AH329" s="4">
        <f>IF(monthly_mortgage_schedule[[#This Row],[Loan Balance (BOY) Without Extra Principal Payments]]&gt;1,monthly_principal_and_interest-monthly_mortgage_schedule[[#This Row],[Interest Without Extra Principal Payments]],0)</f>
        <v>2467.6737200377393</v>
      </c>
      <c r="AI329" s="4">
        <f>AI328+monthly_mortgage_schedule[[#This Row],[Principal Without Extra Principal Payments]]</f>
        <v>406963.50755739468</v>
      </c>
      <c r="AJ329" s="4">
        <f>monthly_mortgage_schedule[[#This Row],[Cumulative Principal Without Extra Principal Payments]]+down_payment_dollars</f>
        <v>466963.50755739468</v>
      </c>
      <c r="AK329" s="200">
        <f t="shared" si="30"/>
        <v>0</v>
      </c>
      <c r="AL32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133036.49244260561</v>
      </c>
      <c r="AN329" s="196">
        <f>monthly_mortgage_schedule[[#This Row],[Extra Payments Towards Equity]]+AN328+IF(monthly_mortgage_schedule[[#This Row],[Interest With Extra Principal Payments]]&gt;0,monthly_mortgage_schedule[[#This Row],[Interest Without Extra Principal Payments]]-monthly_mortgage_schedule[[#This Row],[Interest With Extra Principal Payments]],0)</f>
        <v>93924.361973001156</v>
      </c>
      <c r="AO329" s="4">
        <f>AO328+IF(monthly_mortgage_schedule[[#This Row],[Interest With Extra Principal Payments]]&gt;0,monthly_mortgage_schedule[[#This Row],[Interest Without Extra Principal Payments]]-monthly_mortgage_schedule[[#This Row],[Interest With Extra Principal Payments]],0)</f>
        <v>54674.361973001127</v>
      </c>
      <c r="AP329" s="4">
        <f>AP328+monthly_mortgage_schedule[[#This Row],[PMI Without Extra Principal Payments]]-monthly_mortgage_schedule[[#This Row],[PMI with Additional Payments]]</f>
        <v>990</v>
      </c>
      <c r="AQ329" s="4">
        <f t="shared" si="33"/>
        <v>141389.02149964028</v>
      </c>
      <c r="AR329" s="4">
        <f>Table60[[#This Row],[Cumulative Investments]]-monthly_mortgage_schedule[[#This Row],[Cumulative Extra Payments Towards Equity]]</f>
        <v>102139.02149964028</v>
      </c>
    </row>
    <row r="330" spans="9:44" x14ac:dyDescent="0.25">
      <c r="I330">
        <v>313</v>
      </c>
      <c r="J330">
        <f>IF(MOD(ROWS($J$18:J329),12)=0,J329+1,J329)</f>
        <v>2048</v>
      </c>
      <c r="K330" s="198">
        <f>IF(M330="#N/A",NA(),monthly_mortgage_schedule[[#This Row],[Month]])</f>
        <v>313</v>
      </c>
      <c r="L330" s="198">
        <f>IF(monthly_mortgage_schedule[[#This Row],[Calendar Year]]&gt;=$C$7,monthly_mortgage_schedule[[#This Row],[Calendar Year]],NA())</f>
        <v>2048</v>
      </c>
      <c r="M330" s="199">
        <f>IF((monthly_mortgage_schedule[[#This Row],[Calendar Year]]&gt;=$C$7)*(monthly_mortgage_schedule[[#This Row],[Calendar Year]]&lt;=$C$9),monthly_mortgage_schedule[[#This Row],[Begin Year (Range)]],NA())</f>
        <v>2048</v>
      </c>
      <c r="N330" s="214">
        <f>IF((monthly_mortgage_schedule[[#This Row],[Year (Range)]]&gt;=$C$7)*(monthly_mortgage_schedule[[#This Row],[Year (Range)]]&lt;=$C$9),X330,NA())</f>
        <v>182.5232755248208</v>
      </c>
      <c r="O330" s="214">
        <f>IF((monthly_mortgage_schedule[[#This Row],[Year (Range)]]&gt;=$C$7)*(monthly_mortgage_schedule[[#This Row],[Year (Range)]]&lt;=$C$9),Y330,NA())</f>
        <v>2917.5032199385873</v>
      </c>
      <c r="P330" s="214">
        <f>IF((monthly_mortgage_schedule[[#This Row],[Year (Range)]]&gt;=$C$7)*(monthly_mortgage_schedule[[#This Row],[Year (Range)]]&lt;=$C$9),AG330,NA())</f>
        <v>620.83696473215957</v>
      </c>
      <c r="Q330" s="214">
        <f>IF((monthly_mortgage_schedule[[#This Row],[Year (Range)]]&gt;=$C$7)*(monthly_mortgage_schedule[[#This Row],[Year (Range)]]&lt;=$C$9),AH330,NA())</f>
        <v>2479.1895307312484</v>
      </c>
      <c r="R330" s="214">
        <f>IF((monthly_mortgage_schedule[[#This Row],[Year (Range)]]&gt;=$C$7)*(monthly_mortgage_schedule[[#This Row],[Year (Range)]]&lt;=$C$9),AO330,NA())</f>
        <v>55112.675662208465</v>
      </c>
      <c r="S330" s="214">
        <f>IF((monthly_mortgage_schedule[[#This Row],[Year (Range)]]&gt;=$C$7)*(monthly_mortgage_schedule[[#This Row],[Year (Range)]]&lt;=$C$9),AP330,NA())</f>
        <v>990</v>
      </c>
      <c r="T330" s="214">
        <f>IF((monthly_mortgage_schedule[[#This Row],[Year (Range)]]&gt;=$C$7)*(monthly_mortgage_schedule[[#This Row],[Year (Range)]]&lt;=$C$9),AR330,NA())</f>
        <v>103081.61497630453</v>
      </c>
      <c r="U330" s="214">
        <f>IF((monthly_mortgage_schedule[[#This Row],[Year (Range)]]&gt;=$C$7)*(monthly_mortgage_schedule[[#This Row],[Year (Range)]]&lt;=$C$9),AB330,NA())</f>
        <v>503805.37275033403</v>
      </c>
      <c r="V330" s="214">
        <f>IF((monthly_mortgage_schedule[[#This Row],[Year (Range)]]&gt;=$C$7)*(monthly_mortgage_schedule[[#This Row],[Year (Range)]]&lt;=$C$9),AI330,NA())</f>
        <v>409442.69708812592</v>
      </c>
      <c r="W330" s="187">
        <f t="shared" si="31"/>
        <v>39112.130469604454</v>
      </c>
      <c r="X330" s="4">
        <f t="shared" si="34"/>
        <v>182.5232755248208</v>
      </c>
      <c r="Y330" s="4">
        <f t="shared" si="32"/>
        <v>2917.5032199385873</v>
      </c>
      <c r="Z330" s="4">
        <f>_xlfn.IFNA(INDEX(additional_mortgage_payments[],MATCH(monthly_mortgage_schedule[[#This Row],[Month]],additional_mortgage_payments[Month],0),3),0)</f>
        <v>0</v>
      </c>
      <c r="AA330" s="4">
        <f>AA329+monthly_mortgage_schedule[[#This Row],[Extra Payments Towards Equity]]</f>
        <v>39250</v>
      </c>
      <c r="AB330" s="4">
        <f>AB329+monthly_mortgage_schedule[[#This Row],[Principal With Extra Principal Payments]]+monthly_mortgage_schedule[[#This Row],[Extra Payments Towards Equity]]</f>
        <v>503805.37275033403</v>
      </c>
      <c r="AC330" s="4">
        <f>monthly_mortgage_schedule[[#This Row],[Cumulative Principal With Extra Principal Payments]]+down_payment_dollars</f>
        <v>563805.37275033398</v>
      </c>
      <c r="AD330" s="200">
        <f t="shared" si="29"/>
        <v>0</v>
      </c>
      <c r="AE33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36194.627249665864</v>
      </c>
      <c r="AF330" s="187">
        <f t="shared" si="35"/>
        <v>133036.49244260561</v>
      </c>
      <c r="AG330" s="4">
        <f>IF(monthly_mortgage_schedule[[#This Row],[Loan Balance (BOY) Without Extra Principal Payments]]&gt;0,monthly_mortgage_schedule[[#This Row],[Loan Balance (BOY) Without Extra Principal Payments]]*monthly_interest_rate,0)</f>
        <v>620.83696473215957</v>
      </c>
      <c r="AH330" s="4">
        <f>IF(monthly_mortgage_schedule[[#This Row],[Loan Balance (BOY) Without Extra Principal Payments]]&gt;1,monthly_principal_and_interest-monthly_mortgage_schedule[[#This Row],[Interest Without Extra Principal Payments]],0)</f>
        <v>2479.1895307312484</v>
      </c>
      <c r="AI330" s="4">
        <f>AI329+monthly_mortgage_schedule[[#This Row],[Principal Without Extra Principal Payments]]</f>
        <v>409442.69708812592</v>
      </c>
      <c r="AJ330" s="4">
        <f>monthly_mortgage_schedule[[#This Row],[Cumulative Principal Without Extra Principal Payments]]+down_payment_dollars</f>
        <v>469442.69708812592</v>
      </c>
      <c r="AK330" s="200">
        <f t="shared" si="30"/>
        <v>0</v>
      </c>
      <c r="AL33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130557.30291187436</v>
      </c>
      <c r="AN330" s="196">
        <f>monthly_mortgage_schedule[[#This Row],[Extra Payments Towards Equity]]+AN329+IF(monthly_mortgage_schedule[[#This Row],[Interest With Extra Principal Payments]]&gt;0,monthly_mortgage_schedule[[#This Row],[Interest Without Extra Principal Payments]]-monthly_mortgage_schedule[[#This Row],[Interest With Extra Principal Payments]],0)</f>
        <v>94362.675662208494</v>
      </c>
      <c r="AO330" s="4">
        <f>AO329+IF(monthly_mortgage_schedule[[#This Row],[Interest With Extra Principal Payments]]&gt;0,monthly_mortgage_schedule[[#This Row],[Interest Without Extra Principal Payments]]-monthly_mortgage_schedule[[#This Row],[Interest With Extra Principal Payments]],0)</f>
        <v>55112.675662208465</v>
      </c>
      <c r="AP330" s="4">
        <f>AP329+monthly_mortgage_schedule[[#This Row],[PMI Without Extra Principal Payments]]-monthly_mortgage_schedule[[#This Row],[PMI with Additional Payments]]</f>
        <v>990</v>
      </c>
      <c r="AQ330" s="4">
        <f t="shared" si="33"/>
        <v>142331.61497630453</v>
      </c>
      <c r="AR330" s="4">
        <f>Table60[[#This Row],[Cumulative Investments]]-monthly_mortgage_schedule[[#This Row],[Cumulative Extra Payments Towards Equity]]</f>
        <v>103081.61497630453</v>
      </c>
    </row>
    <row r="331" spans="9:44" x14ac:dyDescent="0.25">
      <c r="I331">
        <v>314</v>
      </c>
      <c r="J331">
        <f>IF(MOD(ROWS($J$18:J330),12)=0,J330+1,J330)</f>
        <v>2048</v>
      </c>
      <c r="K331" s="198">
        <f>IF(M331="#N/A",NA(),monthly_mortgage_schedule[[#This Row],[Month]])</f>
        <v>314</v>
      </c>
      <c r="L331" s="198">
        <f>IF(monthly_mortgage_schedule[[#This Row],[Calendar Year]]&gt;=$C$7,monthly_mortgage_schedule[[#This Row],[Calendar Year]],NA())</f>
        <v>2048</v>
      </c>
      <c r="M331" s="199">
        <f>IF((monthly_mortgage_schedule[[#This Row],[Calendar Year]]&gt;=$C$7)*(monthly_mortgage_schedule[[#This Row],[Calendar Year]]&lt;=$C$9),monthly_mortgage_schedule[[#This Row],[Begin Year (Range)]],NA())</f>
        <v>2048</v>
      </c>
      <c r="N331" s="214">
        <f>IF((monthly_mortgage_schedule[[#This Row],[Year (Range)]]&gt;=$C$7)*(monthly_mortgage_schedule[[#This Row],[Year (Range)]]&lt;=$C$9),X331,NA())</f>
        <v>168.90826049844071</v>
      </c>
      <c r="O331" s="214">
        <f>IF((monthly_mortgage_schedule[[#This Row],[Year (Range)]]&gt;=$C$7)*(monthly_mortgage_schedule[[#This Row],[Year (Range)]]&lt;=$C$9),Y331,NA())</f>
        <v>2931.1182349649675</v>
      </c>
      <c r="P331" s="214">
        <f>IF((monthly_mortgage_schedule[[#This Row],[Year (Range)]]&gt;=$C$7)*(monthly_mortgage_schedule[[#This Row],[Year (Range)]]&lt;=$C$9),AG331,NA())</f>
        <v>609.2674135887471</v>
      </c>
      <c r="Q331" s="214">
        <f>IF((monthly_mortgage_schedule[[#This Row],[Year (Range)]]&gt;=$C$7)*(monthly_mortgage_schedule[[#This Row],[Year (Range)]]&lt;=$C$9),AH331,NA())</f>
        <v>2490.7590818746612</v>
      </c>
      <c r="R331" s="214">
        <f>IF((monthly_mortgage_schedule[[#This Row],[Year (Range)]]&gt;=$C$7)*(monthly_mortgage_schedule[[#This Row],[Year (Range)]]&lt;=$C$9),AO331,NA())</f>
        <v>55553.034815298772</v>
      </c>
      <c r="S331" s="214">
        <f>IF((monthly_mortgage_schedule[[#This Row],[Year (Range)]]&gt;=$C$7)*(monthly_mortgage_schedule[[#This Row],[Year (Range)]]&lt;=$C$9),AP331,NA())</f>
        <v>990</v>
      </c>
      <c r="T331" s="214">
        <f>IF((monthly_mortgage_schedule[[#This Row],[Year (Range)]]&gt;=$C$7)*(monthly_mortgage_schedule[[#This Row],[Year (Range)]]&lt;=$C$9),AR331,NA())</f>
        <v>104030.49240947989</v>
      </c>
      <c r="U331" s="214">
        <f>IF((monthly_mortgage_schedule[[#This Row],[Year (Range)]]&gt;=$C$7)*(monthly_mortgage_schedule[[#This Row],[Year (Range)]]&lt;=$C$9),AB331,NA())</f>
        <v>506736.49098529899</v>
      </c>
      <c r="V331" s="214">
        <f>IF((monthly_mortgage_schedule[[#This Row],[Year (Range)]]&gt;=$C$7)*(monthly_mortgage_schedule[[#This Row],[Year (Range)]]&lt;=$C$9),AI331,NA())</f>
        <v>411933.4561700006</v>
      </c>
      <c r="W331" s="187">
        <f t="shared" si="31"/>
        <v>36194.627249665864</v>
      </c>
      <c r="X331" s="4">
        <f t="shared" si="34"/>
        <v>168.90826049844071</v>
      </c>
      <c r="Y331" s="4">
        <f t="shared" si="32"/>
        <v>2931.1182349649675</v>
      </c>
      <c r="Z331" s="4">
        <f>_xlfn.IFNA(INDEX(additional_mortgage_payments[],MATCH(monthly_mortgage_schedule[[#This Row],[Month]],additional_mortgage_payments[Month],0),3),0)</f>
        <v>0</v>
      </c>
      <c r="AA331" s="4">
        <f>AA330+monthly_mortgage_schedule[[#This Row],[Extra Payments Towards Equity]]</f>
        <v>39250</v>
      </c>
      <c r="AB331" s="4">
        <f>AB330+monthly_mortgage_schedule[[#This Row],[Principal With Extra Principal Payments]]+monthly_mortgage_schedule[[#This Row],[Extra Payments Towards Equity]]</f>
        <v>506736.49098529899</v>
      </c>
      <c r="AC331" s="4">
        <f>monthly_mortgage_schedule[[#This Row],[Cumulative Principal With Extra Principal Payments]]+down_payment_dollars</f>
        <v>566736.49098529899</v>
      </c>
      <c r="AD331" s="200">
        <f t="shared" si="29"/>
        <v>0</v>
      </c>
      <c r="AE33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33263.509014700896</v>
      </c>
      <c r="AF331" s="187">
        <f t="shared" si="35"/>
        <v>130557.30291187436</v>
      </c>
      <c r="AG331" s="4">
        <f>IF(monthly_mortgage_schedule[[#This Row],[Loan Balance (BOY) Without Extra Principal Payments]]&gt;0,monthly_mortgage_schedule[[#This Row],[Loan Balance (BOY) Without Extra Principal Payments]]*monthly_interest_rate,0)</f>
        <v>609.2674135887471</v>
      </c>
      <c r="AH331" s="4">
        <f>IF(monthly_mortgage_schedule[[#This Row],[Loan Balance (BOY) Without Extra Principal Payments]]&gt;1,monthly_principal_and_interest-monthly_mortgage_schedule[[#This Row],[Interest Without Extra Principal Payments]],0)</f>
        <v>2490.7590818746612</v>
      </c>
      <c r="AI331" s="4">
        <f>AI330+monthly_mortgage_schedule[[#This Row],[Principal Without Extra Principal Payments]]</f>
        <v>411933.4561700006</v>
      </c>
      <c r="AJ331" s="4">
        <f>monthly_mortgage_schedule[[#This Row],[Cumulative Principal Without Extra Principal Payments]]+down_payment_dollars</f>
        <v>471933.4561700006</v>
      </c>
      <c r="AK331" s="200">
        <f t="shared" si="30"/>
        <v>0</v>
      </c>
      <c r="AL33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128066.54382999969</v>
      </c>
      <c r="AN331" s="196">
        <f>monthly_mortgage_schedule[[#This Row],[Extra Payments Towards Equity]]+AN330+IF(monthly_mortgage_schedule[[#This Row],[Interest With Extra Principal Payments]]&gt;0,monthly_mortgage_schedule[[#This Row],[Interest Without Extra Principal Payments]]-monthly_mortgage_schedule[[#This Row],[Interest With Extra Principal Payments]],0)</f>
        <v>94803.034815298801</v>
      </c>
      <c r="AO331" s="4">
        <f>AO330+IF(monthly_mortgage_schedule[[#This Row],[Interest With Extra Principal Payments]]&gt;0,monthly_mortgage_schedule[[#This Row],[Interest Without Extra Principal Payments]]-monthly_mortgage_schedule[[#This Row],[Interest With Extra Principal Payments]],0)</f>
        <v>55553.034815298772</v>
      </c>
      <c r="AP331" s="4">
        <f>AP330+monthly_mortgage_schedule[[#This Row],[PMI Without Extra Principal Payments]]-monthly_mortgage_schedule[[#This Row],[PMI with Additional Payments]]</f>
        <v>990</v>
      </c>
      <c r="AQ331" s="4">
        <f t="shared" si="33"/>
        <v>143280.49240947989</v>
      </c>
      <c r="AR331" s="4">
        <f>Table60[[#This Row],[Cumulative Investments]]-monthly_mortgage_schedule[[#This Row],[Cumulative Extra Payments Towards Equity]]</f>
        <v>104030.49240947989</v>
      </c>
    </row>
    <row r="332" spans="9:44" x14ac:dyDescent="0.25">
      <c r="I332">
        <v>315</v>
      </c>
      <c r="J332">
        <f>IF(MOD(ROWS($J$18:J331),12)=0,J331+1,J331)</f>
        <v>2048</v>
      </c>
      <c r="K332" s="198">
        <f>IF(M332="#N/A",NA(),monthly_mortgage_schedule[[#This Row],[Month]])</f>
        <v>315</v>
      </c>
      <c r="L332" s="198">
        <f>IF(monthly_mortgage_schedule[[#This Row],[Calendar Year]]&gt;=$C$7,monthly_mortgage_schedule[[#This Row],[Calendar Year]],NA())</f>
        <v>2048</v>
      </c>
      <c r="M332" s="199">
        <f>IF((monthly_mortgage_schedule[[#This Row],[Calendar Year]]&gt;=$C$7)*(monthly_mortgage_schedule[[#This Row],[Calendar Year]]&lt;=$C$9),monthly_mortgage_schedule[[#This Row],[Begin Year (Range)]],NA())</f>
        <v>2048</v>
      </c>
      <c r="N332" s="214">
        <f>IF((monthly_mortgage_schedule[[#This Row],[Year (Range)]]&gt;=$C$7)*(monthly_mortgage_schedule[[#This Row],[Year (Range)]]&lt;=$C$9),X332,NA())</f>
        <v>155.22970873527086</v>
      </c>
      <c r="O332" s="214">
        <f>IF((monthly_mortgage_schedule[[#This Row],[Year (Range)]]&gt;=$C$7)*(monthly_mortgage_schedule[[#This Row],[Year (Range)]]&lt;=$C$9),Y332,NA())</f>
        <v>2944.7967867281372</v>
      </c>
      <c r="P332" s="214">
        <f>IF((monthly_mortgage_schedule[[#This Row],[Year (Range)]]&gt;=$C$7)*(monthly_mortgage_schedule[[#This Row],[Year (Range)]]&lt;=$C$9),AG332,NA())</f>
        <v>597.64387120666527</v>
      </c>
      <c r="Q332" s="214">
        <f>IF((monthly_mortgage_schedule[[#This Row],[Year (Range)]]&gt;=$C$7)*(monthly_mortgage_schedule[[#This Row],[Year (Range)]]&lt;=$C$9),AH332,NA())</f>
        <v>2502.3826242567429</v>
      </c>
      <c r="R332" s="214">
        <f>IF((monthly_mortgage_schedule[[#This Row],[Year (Range)]]&gt;=$C$7)*(monthly_mortgage_schedule[[#This Row],[Year (Range)]]&lt;=$C$9),AO332,NA())</f>
        <v>55995.448977770167</v>
      </c>
      <c r="S332" s="214">
        <f>IF((monthly_mortgage_schedule[[#This Row],[Year (Range)]]&gt;=$C$7)*(monthly_mortgage_schedule[[#This Row],[Year (Range)]]&lt;=$C$9),AP332,NA())</f>
        <v>990</v>
      </c>
      <c r="T332" s="214">
        <f>IF((monthly_mortgage_schedule[[#This Row],[Year (Range)]]&gt;=$C$7)*(monthly_mortgage_schedule[[#This Row],[Year (Range)]]&lt;=$C$9),AR332,NA())</f>
        <v>104985.69569220976</v>
      </c>
      <c r="U332" s="214">
        <f>IF((monthly_mortgage_schedule[[#This Row],[Year (Range)]]&gt;=$C$7)*(monthly_mortgage_schedule[[#This Row],[Year (Range)]]&lt;=$C$9),AB332,NA())</f>
        <v>509681.28777202714</v>
      </c>
      <c r="V332" s="214">
        <f>IF((monthly_mortgage_schedule[[#This Row],[Year (Range)]]&gt;=$C$7)*(monthly_mortgage_schedule[[#This Row],[Year (Range)]]&lt;=$C$9),AI332,NA())</f>
        <v>414435.83879425732</v>
      </c>
      <c r="W332" s="187">
        <f t="shared" si="31"/>
        <v>33263.509014700896</v>
      </c>
      <c r="X332" s="4">
        <f t="shared" si="34"/>
        <v>155.22970873527086</v>
      </c>
      <c r="Y332" s="4">
        <f t="shared" si="32"/>
        <v>2944.7967867281372</v>
      </c>
      <c r="Z332" s="4">
        <f>_xlfn.IFNA(INDEX(additional_mortgage_payments[],MATCH(monthly_mortgage_schedule[[#This Row],[Month]],additional_mortgage_payments[Month],0),3),0)</f>
        <v>0</v>
      </c>
      <c r="AA332" s="4">
        <f>AA331+monthly_mortgage_schedule[[#This Row],[Extra Payments Towards Equity]]</f>
        <v>39250</v>
      </c>
      <c r="AB332" s="4">
        <f>AB331+monthly_mortgage_schedule[[#This Row],[Principal With Extra Principal Payments]]+monthly_mortgage_schedule[[#This Row],[Extra Payments Towards Equity]]</f>
        <v>509681.28777202714</v>
      </c>
      <c r="AC332" s="4">
        <f>monthly_mortgage_schedule[[#This Row],[Cumulative Principal With Extra Principal Payments]]+down_payment_dollars</f>
        <v>569681.28777202708</v>
      </c>
      <c r="AD332" s="200">
        <f t="shared" si="29"/>
        <v>0</v>
      </c>
      <c r="AE33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30318.712227972759</v>
      </c>
      <c r="AF332" s="187">
        <f t="shared" si="35"/>
        <v>128066.54382999969</v>
      </c>
      <c r="AG332" s="4">
        <f>IF(monthly_mortgage_schedule[[#This Row],[Loan Balance (BOY) Without Extra Principal Payments]]&gt;0,monthly_mortgage_schedule[[#This Row],[Loan Balance (BOY) Without Extra Principal Payments]]*monthly_interest_rate,0)</f>
        <v>597.64387120666527</v>
      </c>
      <c r="AH332" s="4">
        <f>IF(monthly_mortgage_schedule[[#This Row],[Loan Balance (BOY) Without Extra Principal Payments]]&gt;1,monthly_principal_and_interest-monthly_mortgage_schedule[[#This Row],[Interest Without Extra Principal Payments]],0)</f>
        <v>2502.3826242567429</v>
      </c>
      <c r="AI332" s="4">
        <f>AI331+monthly_mortgage_schedule[[#This Row],[Principal Without Extra Principal Payments]]</f>
        <v>414435.83879425732</v>
      </c>
      <c r="AJ332" s="4">
        <f>monthly_mortgage_schedule[[#This Row],[Cumulative Principal Without Extra Principal Payments]]+down_payment_dollars</f>
        <v>474435.83879425732</v>
      </c>
      <c r="AK332" s="200">
        <f t="shared" si="30"/>
        <v>0</v>
      </c>
      <c r="AL33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125564.16120574294</v>
      </c>
      <c r="AN332" s="196">
        <f>monthly_mortgage_schedule[[#This Row],[Extra Payments Towards Equity]]+AN331+IF(monthly_mortgage_schedule[[#This Row],[Interest With Extra Principal Payments]]&gt;0,monthly_mortgage_schedule[[#This Row],[Interest Without Extra Principal Payments]]-monthly_mortgage_schedule[[#This Row],[Interest With Extra Principal Payments]],0)</f>
        <v>95245.448977770197</v>
      </c>
      <c r="AO332" s="4">
        <f>AO331+IF(monthly_mortgage_schedule[[#This Row],[Interest With Extra Principal Payments]]&gt;0,monthly_mortgage_schedule[[#This Row],[Interest Without Extra Principal Payments]]-monthly_mortgage_schedule[[#This Row],[Interest With Extra Principal Payments]],0)</f>
        <v>55995.448977770167</v>
      </c>
      <c r="AP332" s="4">
        <f>AP331+monthly_mortgage_schedule[[#This Row],[PMI Without Extra Principal Payments]]-monthly_mortgage_schedule[[#This Row],[PMI with Additional Payments]]</f>
        <v>990</v>
      </c>
      <c r="AQ332" s="4">
        <f t="shared" si="33"/>
        <v>144235.69569220976</v>
      </c>
      <c r="AR332" s="4">
        <f>Table60[[#This Row],[Cumulative Investments]]-monthly_mortgage_schedule[[#This Row],[Cumulative Extra Payments Towards Equity]]</f>
        <v>104985.69569220976</v>
      </c>
    </row>
    <row r="333" spans="9:44" x14ac:dyDescent="0.25">
      <c r="I333">
        <v>316</v>
      </c>
      <c r="J333">
        <f>IF(MOD(ROWS($J$18:J332),12)=0,J332+1,J332)</f>
        <v>2048</v>
      </c>
      <c r="K333" s="198">
        <f>IF(M333="#N/A",NA(),monthly_mortgage_schedule[[#This Row],[Month]])</f>
        <v>316</v>
      </c>
      <c r="L333" s="198">
        <f>IF(monthly_mortgage_schedule[[#This Row],[Calendar Year]]&gt;=$C$7,monthly_mortgage_schedule[[#This Row],[Calendar Year]],NA())</f>
        <v>2048</v>
      </c>
      <c r="M333" s="199">
        <f>IF((monthly_mortgage_schedule[[#This Row],[Calendar Year]]&gt;=$C$7)*(monthly_mortgage_schedule[[#This Row],[Calendar Year]]&lt;=$C$9),monthly_mortgage_schedule[[#This Row],[Begin Year (Range)]],NA())</f>
        <v>2048</v>
      </c>
      <c r="N333" s="214">
        <f>IF((monthly_mortgage_schedule[[#This Row],[Year (Range)]]&gt;=$C$7)*(monthly_mortgage_schedule[[#This Row],[Year (Range)]]&lt;=$C$9),X333,NA())</f>
        <v>141.48732373053954</v>
      </c>
      <c r="O333" s="214">
        <f>IF((monthly_mortgage_schedule[[#This Row],[Year (Range)]]&gt;=$C$7)*(monthly_mortgage_schedule[[#This Row],[Year (Range)]]&lt;=$C$9),Y333,NA())</f>
        <v>2958.5391717328685</v>
      </c>
      <c r="P333" s="214">
        <f>IF((monthly_mortgage_schedule[[#This Row],[Year (Range)]]&gt;=$C$7)*(monthly_mortgage_schedule[[#This Row],[Year (Range)]]&lt;=$C$9),AG333,NA())</f>
        <v>585.96608562680046</v>
      </c>
      <c r="Q333" s="214">
        <f>IF((monthly_mortgage_schedule[[#This Row],[Year (Range)]]&gt;=$C$7)*(monthly_mortgage_schedule[[#This Row],[Year (Range)]]&lt;=$C$9),AH333,NA())</f>
        <v>2514.0604098366075</v>
      </c>
      <c r="R333" s="214">
        <f>IF((monthly_mortgage_schedule[[#This Row],[Year (Range)]]&gt;=$C$7)*(monthly_mortgage_schedule[[#This Row],[Year (Range)]]&lt;=$C$9),AO333,NA())</f>
        <v>56439.927739666426</v>
      </c>
      <c r="S333" s="214">
        <f>IF((monthly_mortgage_schedule[[#This Row],[Year (Range)]]&gt;=$C$7)*(monthly_mortgage_schedule[[#This Row],[Year (Range)]]&lt;=$C$9),AP333,NA())</f>
        <v>990</v>
      </c>
      <c r="T333" s="214">
        <f>IF((monthly_mortgage_schedule[[#This Row],[Year (Range)]]&gt;=$C$7)*(monthly_mortgage_schedule[[#This Row],[Year (Range)]]&lt;=$C$9),AR333,NA())</f>
        <v>105947.26699682447</v>
      </c>
      <c r="U333" s="214">
        <f>IF((monthly_mortgage_schedule[[#This Row],[Year (Range)]]&gt;=$C$7)*(monthly_mortgage_schedule[[#This Row],[Year (Range)]]&lt;=$C$9),AB333,NA())</f>
        <v>512639.82694375998</v>
      </c>
      <c r="V333" s="214">
        <f>IF((monthly_mortgage_schedule[[#This Row],[Year (Range)]]&gt;=$C$7)*(monthly_mortgage_schedule[[#This Row],[Year (Range)]]&lt;=$C$9),AI333,NA())</f>
        <v>416949.8992040939</v>
      </c>
      <c r="W333" s="187">
        <f t="shared" si="31"/>
        <v>30318.712227972759</v>
      </c>
      <c r="X333" s="4">
        <f t="shared" si="34"/>
        <v>141.48732373053954</v>
      </c>
      <c r="Y333" s="4">
        <f t="shared" si="32"/>
        <v>2958.5391717328685</v>
      </c>
      <c r="Z333" s="4">
        <f>_xlfn.IFNA(INDEX(additional_mortgage_payments[],MATCH(monthly_mortgage_schedule[[#This Row],[Month]],additional_mortgage_payments[Month],0),3),0)</f>
        <v>0</v>
      </c>
      <c r="AA333" s="4">
        <f>AA332+monthly_mortgage_schedule[[#This Row],[Extra Payments Towards Equity]]</f>
        <v>39250</v>
      </c>
      <c r="AB333" s="4">
        <f>AB332+monthly_mortgage_schedule[[#This Row],[Principal With Extra Principal Payments]]+monthly_mortgage_schedule[[#This Row],[Extra Payments Towards Equity]]</f>
        <v>512639.82694375998</v>
      </c>
      <c r="AC333" s="4">
        <f>monthly_mortgage_schedule[[#This Row],[Cumulative Principal With Extra Principal Payments]]+down_payment_dollars</f>
        <v>572639.82694376004</v>
      </c>
      <c r="AD333" s="200">
        <f t="shared" si="29"/>
        <v>0</v>
      </c>
      <c r="AE33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27360.173056239892</v>
      </c>
      <c r="AF333" s="187">
        <f t="shared" si="35"/>
        <v>125564.16120574294</v>
      </c>
      <c r="AG333" s="4">
        <f>IF(monthly_mortgage_schedule[[#This Row],[Loan Balance (BOY) Without Extra Principal Payments]]&gt;0,monthly_mortgage_schedule[[#This Row],[Loan Balance (BOY) Without Extra Principal Payments]]*monthly_interest_rate,0)</f>
        <v>585.96608562680046</v>
      </c>
      <c r="AH333" s="4">
        <f>IF(monthly_mortgage_schedule[[#This Row],[Loan Balance (BOY) Without Extra Principal Payments]]&gt;1,monthly_principal_and_interest-monthly_mortgage_schedule[[#This Row],[Interest Without Extra Principal Payments]],0)</f>
        <v>2514.0604098366075</v>
      </c>
      <c r="AI333" s="4">
        <f>AI332+monthly_mortgage_schedule[[#This Row],[Principal Without Extra Principal Payments]]</f>
        <v>416949.8992040939</v>
      </c>
      <c r="AJ333" s="4">
        <f>monthly_mortgage_schedule[[#This Row],[Cumulative Principal Without Extra Principal Payments]]+down_payment_dollars</f>
        <v>476949.8992040939</v>
      </c>
      <c r="AK333" s="200">
        <f t="shared" si="30"/>
        <v>0</v>
      </c>
      <c r="AL33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123050.10079590634</v>
      </c>
      <c r="AN333" s="196">
        <f>monthly_mortgage_schedule[[#This Row],[Extra Payments Towards Equity]]+AN332+IF(monthly_mortgage_schedule[[#This Row],[Interest With Extra Principal Payments]]&gt;0,monthly_mortgage_schedule[[#This Row],[Interest Without Extra Principal Payments]]-monthly_mortgage_schedule[[#This Row],[Interest With Extra Principal Payments]],0)</f>
        <v>95689.927739666455</v>
      </c>
      <c r="AO333" s="4">
        <f>AO332+IF(monthly_mortgage_schedule[[#This Row],[Interest With Extra Principal Payments]]&gt;0,monthly_mortgage_schedule[[#This Row],[Interest Without Extra Principal Payments]]-monthly_mortgage_schedule[[#This Row],[Interest With Extra Principal Payments]],0)</f>
        <v>56439.927739666426</v>
      </c>
      <c r="AP333" s="4">
        <f>AP332+monthly_mortgage_schedule[[#This Row],[PMI Without Extra Principal Payments]]-monthly_mortgage_schedule[[#This Row],[PMI with Additional Payments]]</f>
        <v>990</v>
      </c>
      <c r="AQ333" s="4">
        <f t="shared" si="33"/>
        <v>145197.26699682447</v>
      </c>
      <c r="AR333" s="4">
        <f>Table60[[#This Row],[Cumulative Investments]]-monthly_mortgage_schedule[[#This Row],[Cumulative Extra Payments Towards Equity]]</f>
        <v>105947.26699682447</v>
      </c>
    </row>
    <row r="334" spans="9:44" x14ac:dyDescent="0.25">
      <c r="I334">
        <v>317</v>
      </c>
      <c r="J334">
        <f>IF(MOD(ROWS($J$18:J333),12)=0,J333+1,J333)</f>
        <v>2048</v>
      </c>
      <c r="K334" s="198">
        <f>IF(M334="#N/A",NA(),monthly_mortgage_schedule[[#This Row],[Month]])</f>
        <v>317</v>
      </c>
      <c r="L334" s="198">
        <f>IF(monthly_mortgage_schedule[[#This Row],[Calendar Year]]&gt;=$C$7,monthly_mortgage_schedule[[#This Row],[Calendar Year]],NA())</f>
        <v>2048</v>
      </c>
      <c r="M334" s="199">
        <f>IF((monthly_mortgage_schedule[[#This Row],[Calendar Year]]&gt;=$C$7)*(monthly_mortgage_schedule[[#This Row],[Calendar Year]]&lt;=$C$9),monthly_mortgage_schedule[[#This Row],[Begin Year (Range)]],NA())</f>
        <v>2048</v>
      </c>
      <c r="N334" s="214">
        <f>IF((monthly_mortgage_schedule[[#This Row],[Year (Range)]]&gt;=$C$7)*(monthly_mortgage_schedule[[#This Row],[Year (Range)]]&lt;=$C$9),X334,NA())</f>
        <v>127.68080759578618</v>
      </c>
      <c r="O334" s="214">
        <f>IF((monthly_mortgage_schedule[[#This Row],[Year (Range)]]&gt;=$C$7)*(monthly_mortgage_schedule[[#This Row],[Year (Range)]]&lt;=$C$9),Y334,NA())</f>
        <v>2972.345687867622</v>
      </c>
      <c r="P334" s="214">
        <f>IF((monthly_mortgage_schedule[[#This Row],[Year (Range)]]&gt;=$C$7)*(monthly_mortgage_schedule[[#This Row],[Year (Range)]]&lt;=$C$9),AG334,NA())</f>
        <v>574.23380371422968</v>
      </c>
      <c r="Q334" s="214">
        <f>IF((monthly_mortgage_schedule[[#This Row],[Year (Range)]]&gt;=$C$7)*(monthly_mortgage_schedule[[#This Row],[Year (Range)]]&lt;=$C$9),AH334,NA())</f>
        <v>2525.7926917491786</v>
      </c>
      <c r="R334" s="214">
        <f>IF((monthly_mortgage_schedule[[#This Row],[Year (Range)]]&gt;=$C$7)*(monthly_mortgage_schedule[[#This Row],[Year (Range)]]&lt;=$C$9),AO334,NA())</f>
        <v>56886.480735784869</v>
      </c>
      <c r="S334" s="214">
        <f>IF((monthly_mortgage_schedule[[#This Row],[Year (Range)]]&gt;=$C$7)*(monthly_mortgage_schedule[[#This Row],[Year (Range)]]&lt;=$C$9),AP334,NA())</f>
        <v>990</v>
      </c>
      <c r="T334" s="214">
        <f>IF((monthly_mortgage_schedule[[#This Row],[Year (Range)]]&gt;=$C$7)*(monthly_mortgage_schedule[[#This Row],[Year (Range)]]&lt;=$C$9),AR334,NA())</f>
        <v>106915.24877680329</v>
      </c>
      <c r="U334" s="214">
        <f>IF((monthly_mortgage_schedule[[#This Row],[Year (Range)]]&gt;=$C$7)*(monthly_mortgage_schedule[[#This Row],[Year (Range)]]&lt;=$C$9),AB334,NA())</f>
        <v>515612.17263162759</v>
      </c>
      <c r="V334" s="214">
        <f>IF((monthly_mortgage_schedule[[#This Row],[Year (Range)]]&gt;=$C$7)*(monthly_mortgage_schedule[[#This Row],[Year (Range)]]&lt;=$C$9),AI334,NA())</f>
        <v>419475.69189584308</v>
      </c>
      <c r="W334" s="187">
        <f t="shared" si="31"/>
        <v>27360.173056239892</v>
      </c>
      <c r="X334" s="4">
        <f t="shared" si="34"/>
        <v>127.68080759578618</v>
      </c>
      <c r="Y334" s="4">
        <f t="shared" si="32"/>
        <v>2972.345687867622</v>
      </c>
      <c r="Z334" s="4">
        <f>_xlfn.IFNA(INDEX(additional_mortgage_payments[],MATCH(monthly_mortgage_schedule[[#This Row],[Month]],additional_mortgage_payments[Month],0),3),0)</f>
        <v>0</v>
      </c>
      <c r="AA334" s="4">
        <f>AA333+monthly_mortgage_schedule[[#This Row],[Extra Payments Towards Equity]]</f>
        <v>39250</v>
      </c>
      <c r="AB334" s="4">
        <f>AB333+monthly_mortgage_schedule[[#This Row],[Principal With Extra Principal Payments]]+monthly_mortgage_schedule[[#This Row],[Extra Payments Towards Equity]]</f>
        <v>515612.17263162759</v>
      </c>
      <c r="AC334" s="4">
        <f>monthly_mortgage_schedule[[#This Row],[Cumulative Principal With Extra Principal Payments]]+down_payment_dollars</f>
        <v>575612.17263162765</v>
      </c>
      <c r="AD334" s="200">
        <f t="shared" si="29"/>
        <v>0</v>
      </c>
      <c r="AE33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24387.827368372269</v>
      </c>
      <c r="AF334" s="187">
        <f t="shared" si="35"/>
        <v>123050.10079590634</v>
      </c>
      <c r="AG334" s="4">
        <f>IF(monthly_mortgage_schedule[[#This Row],[Loan Balance (BOY) Without Extra Principal Payments]]&gt;0,monthly_mortgage_schedule[[#This Row],[Loan Balance (BOY) Without Extra Principal Payments]]*monthly_interest_rate,0)</f>
        <v>574.23380371422968</v>
      </c>
      <c r="AH334" s="4">
        <f>IF(monthly_mortgage_schedule[[#This Row],[Loan Balance (BOY) Without Extra Principal Payments]]&gt;1,monthly_principal_and_interest-monthly_mortgage_schedule[[#This Row],[Interest Without Extra Principal Payments]],0)</f>
        <v>2525.7926917491786</v>
      </c>
      <c r="AI334" s="4">
        <f>AI333+monthly_mortgage_schedule[[#This Row],[Principal Without Extra Principal Payments]]</f>
        <v>419475.69189584308</v>
      </c>
      <c r="AJ334" s="4">
        <f>monthly_mortgage_schedule[[#This Row],[Cumulative Principal Without Extra Principal Payments]]+down_payment_dollars</f>
        <v>479475.69189584308</v>
      </c>
      <c r="AK334" s="200">
        <f t="shared" si="30"/>
        <v>0</v>
      </c>
      <c r="AL33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120524.30810415716</v>
      </c>
      <c r="AN334" s="196">
        <f>monthly_mortgage_schedule[[#This Row],[Extra Payments Towards Equity]]+AN333+IF(monthly_mortgage_schedule[[#This Row],[Interest With Extra Principal Payments]]&gt;0,monthly_mortgage_schedule[[#This Row],[Interest Without Extra Principal Payments]]-monthly_mortgage_schedule[[#This Row],[Interest With Extra Principal Payments]],0)</f>
        <v>96136.480735784891</v>
      </c>
      <c r="AO334" s="4">
        <f>AO333+IF(monthly_mortgage_schedule[[#This Row],[Interest With Extra Principal Payments]]&gt;0,monthly_mortgage_schedule[[#This Row],[Interest Without Extra Principal Payments]]-monthly_mortgage_schedule[[#This Row],[Interest With Extra Principal Payments]],0)</f>
        <v>56886.480735784869</v>
      </c>
      <c r="AP334" s="4">
        <f>AP333+monthly_mortgage_schedule[[#This Row],[PMI Without Extra Principal Payments]]-monthly_mortgage_schedule[[#This Row],[PMI with Additional Payments]]</f>
        <v>990</v>
      </c>
      <c r="AQ334" s="4">
        <f t="shared" si="33"/>
        <v>146165.24877680329</v>
      </c>
      <c r="AR334" s="4">
        <f>Table60[[#This Row],[Cumulative Investments]]-monthly_mortgage_schedule[[#This Row],[Cumulative Extra Payments Towards Equity]]</f>
        <v>106915.24877680329</v>
      </c>
    </row>
    <row r="335" spans="9:44" x14ac:dyDescent="0.25">
      <c r="I335">
        <v>318</v>
      </c>
      <c r="J335">
        <f>IF(MOD(ROWS($J$18:J334),12)=0,J334+1,J334)</f>
        <v>2048</v>
      </c>
      <c r="K335" s="198">
        <f>IF(M335="#N/A",NA(),monthly_mortgage_schedule[[#This Row],[Month]])</f>
        <v>318</v>
      </c>
      <c r="L335" s="198">
        <f>IF(monthly_mortgage_schedule[[#This Row],[Calendar Year]]&gt;=$C$7,monthly_mortgage_schedule[[#This Row],[Calendar Year]],NA())</f>
        <v>2048</v>
      </c>
      <c r="M335" s="199">
        <f>IF((monthly_mortgage_schedule[[#This Row],[Calendar Year]]&gt;=$C$7)*(monthly_mortgage_schedule[[#This Row],[Calendar Year]]&lt;=$C$9),monthly_mortgage_schedule[[#This Row],[Begin Year (Range)]],NA())</f>
        <v>2048</v>
      </c>
      <c r="N335" s="214">
        <f>IF((monthly_mortgage_schedule[[#This Row],[Year (Range)]]&gt;=$C$7)*(monthly_mortgage_schedule[[#This Row],[Year (Range)]]&lt;=$C$9),X335,NA())</f>
        <v>113.80986105240393</v>
      </c>
      <c r="O335" s="214">
        <f>IF((monthly_mortgage_schedule[[#This Row],[Year (Range)]]&gt;=$C$7)*(monthly_mortgage_schedule[[#This Row],[Year (Range)]]&lt;=$C$9),Y335,NA())</f>
        <v>2986.2166344110042</v>
      </c>
      <c r="P335" s="214">
        <f>IF((monthly_mortgage_schedule[[#This Row],[Year (Range)]]&gt;=$C$7)*(monthly_mortgage_schedule[[#This Row],[Year (Range)]]&lt;=$C$9),AG335,NA())</f>
        <v>562.44677115273339</v>
      </c>
      <c r="Q335" s="214">
        <f>IF((monthly_mortgage_schedule[[#This Row],[Year (Range)]]&gt;=$C$7)*(monthly_mortgage_schedule[[#This Row],[Year (Range)]]&lt;=$C$9),AH335,NA())</f>
        <v>2537.5797243106745</v>
      </c>
      <c r="R335" s="214">
        <f>IF((monthly_mortgage_schedule[[#This Row],[Year (Range)]]&gt;=$C$7)*(monthly_mortgage_schedule[[#This Row],[Year (Range)]]&lt;=$C$9),AO335,NA())</f>
        <v>57335.117645885199</v>
      </c>
      <c r="S335" s="214">
        <f>IF((monthly_mortgage_schedule[[#This Row],[Year (Range)]]&gt;=$C$7)*(monthly_mortgage_schedule[[#This Row],[Year (Range)]]&lt;=$C$9),AP335,NA())</f>
        <v>990</v>
      </c>
      <c r="T335" s="214">
        <f>IF((monthly_mortgage_schedule[[#This Row],[Year (Range)]]&gt;=$C$7)*(monthly_mortgage_schedule[[#This Row],[Year (Range)]]&lt;=$C$9),AR335,NA())</f>
        <v>107889.68376864863</v>
      </c>
      <c r="U335" s="214">
        <f>IF((monthly_mortgage_schedule[[#This Row],[Year (Range)]]&gt;=$C$7)*(monthly_mortgage_schedule[[#This Row],[Year (Range)]]&lt;=$C$9),AB335,NA())</f>
        <v>518598.3892660386</v>
      </c>
      <c r="V335" s="214">
        <f>IF((monthly_mortgage_schedule[[#This Row],[Year (Range)]]&gt;=$C$7)*(monthly_mortgage_schedule[[#This Row],[Year (Range)]]&lt;=$C$9),AI335,NA())</f>
        <v>422013.27162015374</v>
      </c>
      <c r="W335" s="187">
        <f t="shared" si="31"/>
        <v>24387.827368372269</v>
      </c>
      <c r="X335" s="4">
        <f t="shared" si="34"/>
        <v>113.80986105240393</v>
      </c>
      <c r="Y335" s="4">
        <f t="shared" si="32"/>
        <v>2986.2166344110042</v>
      </c>
      <c r="Z335" s="4">
        <f>_xlfn.IFNA(INDEX(additional_mortgage_payments[],MATCH(monthly_mortgage_schedule[[#This Row],[Month]],additional_mortgage_payments[Month],0),3),0)</f>
        <v>0</v>
      </c>
      <c r="AA335" s="4">
        <f>AA334+monthly_mortgage_schedule[[#This Row],[Extra Payments Towards Equity]]</f>
        <v>39250</v>
      </c>
      <c r="AB335" s="4">
        <f>AB334+monthly_mortgage_schedule[[#This Row],[Principal With Extra Principal Payments]]+monthly_mortgage_schedule[[#This Row],[Extra Payments Towards Equity]]</f>
        <v>518598.3892660386</v>
      </c>
      <c r="AC335" s="4">
        <f>monthly_mortgage_schedule[[#This Row],[Cumulative Principal With Extra Principal Payments]]+down_payment_dollars</f>
        <v>578598.38926603855</v>
      </c>
      <c r="AD335" s="200">
        <f t="shared" si="29"/>
        <v>0</v>
      </c>
      <c r="AE33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21401.610733961264</v>
      </c>
      <c r="AF335" s="187">
        <f t="shared" si="35"/>
        <v>120524.30810415716</v>
      </c>
      <c r="AG335" s="4">
        <f>IF(monthly_mortgage_schedule[[#This Row],[Loan Balance (BOY) Without Extra Principal Payments]]&gt;0,monthly_mortgage_schedule[[#This Row],[Loan Balance (BOY) Without Extra Principal Payments]]*monthly_interest_rate,0)</f>
        <v>562.44677115273339</v>
      </c>
      <c r="AH335" s="4">
        <f>IF(monthly_mortgage_schedule[[#This Row],[Loan Balance (BOY) Without Extra Principal Payments]]&gt;1,monthly_principal_and_interest-monthly_mortgage_schedule[[#This Row],[Interest Without Extra Principal Payments]],0)</f>
        <v>2537.5797243106745</v>
      </c>
      <c r="AI335" s="4">
        <f>AI334+monthly_mortgage_schedule[[#This Row],[Principal Without Extra Principal Payments]]</f>
        <v>422013.27162015374</v>
      </c>
      <c r="AJ335" s="4">
        <f>monthly_mortgage_schedule[[#This Row],[Cumulative Principal Without Extra Principal Payments]]+down_payment_dollars</f>
        <v>482013.27162015374</v>
      </c>
      <c r="AK335" s="200">
        <f t="shared" si="30"/>
        <v>0</v>
      </c>
      <c r="AL33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117986.72837984648</v>
      </c>
      <c r="AN335" s="196">
        <f>monthly_mortgage_schedule[[#This Row],[Extra Payments Towards Equity]]+AN334+IF(monthly_mortgage_schedule[[#This Row],[Interest With Extra Principal Payments]]&gt;0,monthly_mortgage_schedule[[#This Row],[Interest Without Extra Principal Payments]]-monthly_mortgage_schedule[[#This Row],[Interest With Extra Principal Payments]],0)</f>
        <v>96585.117645885228</v>
      </c>
      <c r="AO335" s="4">
        <f>AO334+IF(monthly_mortgage_schedule[[#This Row],[Interest With Extra Principal Payments]]&gt;0,monthly_mortgage_schedule[[#This Row],[Interest Without Extra Principal Payments]]-monthly_mortgage_schedule[[#This Row],[Interest With Extra Principal Payments]],0)</f>
        <v>57335.117645885199</v>
      </c>
      <c r="AP335" s="4">
        <f>AP334+monthly_mortgage_schedule[[#This Row],[PMI Without Extra Principal Payments]]-monthly_mortgage_schedule[[#This Row],[PMI with Additional Payments]]</f>
        <v>990</v>
      </c>
      <c r="AQ335" s="4">
        <f t="shared" si="33"/>
        <v>147139.68376864863</v>
      </c>
      <c r="AR335" s="4">
        <f>Table60[[#This Row],[Cumulative Investments]]-monthly_mortgage_schedule[[#This Row],[Cumulative Extra Payments Towards Equity]]</f>
        <v>107889.68376864863</v>
      </c>
    </row>
    <row r="336" spans="9:44" x14ac:dyDescent="0.25">
      <c r="I336">
        <v>319</v>
      </c>
      <c r="J336">
        <f>IF(MOD(ROWS($J$18:J335),12)=0,J335+1,J335)</f>
        <v>2048</v>
      </c>
      <c r="K336" s="198">
        <f>IF(M336="#N/A",NA(),monthly_mortgage_schedule[[#This Row],[Month]])</f>
        <v>319</v>
      </c>
      <c r="L336" s="198">
        <f>IF(monthly_mortgage_schedule[[#This Row],[Calendar Year]]&gt;=$C$7,monthly_mortgage_schedule[[#This Row],[Calendar Year]],NA())</f>
        <v>2048</v>
      </c>
      <c r="M336" s="199">
        <f>IF((monthly_mortgage_schedule[[#This Row],[Calendar Year]]&gt;=$C$7)*(monthly_mortgage_schedule[[#This Row],[Calendar Year]]&lt;=$C$9),monthly_mortgage_schedule[[#This Row],[Begin Year (Range)]],NA())</f>
        <v>2048</v>
      </c>
      <c r="N336" s="214">
        <f>IF((monthly_mortgage_schedule[[#This Row],[Year (Range)]]&gt;=$C$7)*(monthly_mortgage_schedule[[#This Row],[Year (Range)]]&lt;=$C$9),X336,NA())</f>
        <v>99.87418342515258</v>
      </c>
      <c r="O336" s="214">
        <f>IF((monthly_mortgage_schedule[[#This Row],[Year (Range)]]&gt;=$C$7)*(monthly_mortgage_schedule[[#This Row],[Year (Range)]]&lt;=$C$9),Y336,NA())</f>
        <v>3000.1523120382553</v>
      </c>
      <c r="P336" s="214">
        <f>IF((monthly_mortgage_schedule[[#This Row],[Year (Range)]]&gt;=$C$7)*(monthly_mortgage_schedule[[#This Row],[Year (Range)]]&lt;=$C$9),AG336,NA())</f>
        <v>550.60473243928357</v>
      </c>
      <c r="Q336" s="214">
        <f>IF((monthly_mortgage_schedule[[#This Row],[Year (Range)]]&gt;=$C$7)*(monthly_mortgage_schedule[[#This Row],[Year (Range)]]&lt;=$C$9),AH336,NA())</f>
        <v>2549.4217630241246</v>
      </c>
      <c r="R336" s="214">
        <f>IF((monthly_mortgage_schedule[[#This Row],[Year (Range)]]&gt;=$C$7)*(monthly_mortgage_schedule[[#This Row],[Year (Range)]]&lt;=$C$9),AO336,NA())</f>
        <v>57785.848194899329</v>
      </c>
      <c r="S336" s="214">
        <f>IF((monthly_mortgage_schedule[[#This Row],[Year (Range)]]&gt;=$C$7)*(monthly_mortgage_schedule[[#This Row],[Year (Range)]]&lt;=$C$9),AP336,NA())</f>
        <v>990</v>
      </c>
      <c r="T336" s="214">
        <f>IF((monthly_mortgage_schedule[[#This Row],[Year (Range)]]&gt;=$C$7)*(monthly_mortgage_schedule[[#This Row],[Year (Range)]]&lt;=$C$9),AR336,NA())</f>
        <v>108870.61499377294</v>
      </c>
      <c r="U336" s="214">
        <f>IF((monthly_mortgage_schedule[[#This Row],[Year (Range)]]&gt;=$C$7)*(monthly_mortgage_schedule[[#This Row],[Year (Range)]]&lt;=$C$9),AB336,NA())</f>
        <v>521598.54157807684</v>
      </c>
      <c r="V336" s="214">
        <f>IF((monthly_mortgage_schedule[[#This Row],[Year (Range)]]&gt;=$C$7)*(monthly_mortgage_schedule[[#This Row],[Year (Range)]]&lt;=$C$9),AI336,NA())</f>
        <v>424562.69338317786</v>
      </c>
      <c r="W336" s="187">
        <f t="shared" si="31"/>
        <v>21401.610733961264</v>
      </c>
      <c r="X336" s="4">
        <f t="shared" si="34"/>
        <v>99.87418342515258</v>
      </c>
      <c r="Y336" s="4">
        <f t="shared" si="32"/>
        <v>3000.1523120382553</v>
      </c>
      <c r="Z336" s="4">
        <f>_xlfn.IFNA(INDEX(additional_mortgage_payments[],MATCH(monthly_mortgage_schedule[[#This Row],[Month]],additional_mortgage_payments[Month],0),3),0)</f>
        <v>0</v>
      </c>
      <c r="AA336" s="4">
        <f>AA335+monthly_mortgage_schedule[[#This Row],[Extra Payments Towards Equity]]</f>
        <v>39250</v>
      </c>
      <c r="AB336" s="4">
        <f>AB335+monthly_mortgage_schedule[[#This Row],[Principal With Extra Principal Payments]]+monthly_mortgage_schedule[[#This Row],[Extra Payments Towards Equity]]</f>
        <v>521598.54157807684</v>
      </c>
      <c r="AC336" s="4">
        <f>monthly_mortgage_schedule[[#This Row],[Cumulative Principal With Extra Principal Payments]]+down_payment_dollars</f>
        <v>581598.54157807678</v>
      </c>
      <c r="AD336" s="200">
        <f t="shared" si="29"/>
        <v>0</v>
      </c>
      <c r="AE33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18401.458421923009</v>
      </c>
      <c r="AF336" s="187">
        <f t="shared" si="35"/>
        <v>117986.72837984648</v>
      </c>
      <c r="AG336" s="4">
        <f>IF(monthly_mortgage_schedule[[#This Row],[Loan Balance (BOY) Without Extra Principal Payments]]&gt;0,monthly_mortgage_schedule[[#This Row],[Loan Balance (BOY) Without Extra Principal Payments]]*monthly_interest_rate,0)</f>
        <v>550.60473243928357</v>
      </c>
      <c r="AH336" s="4">
        <f>IF(monthly_mortgage_schedule[[#This Row],[Loan Balance (BOY) Without Extra Principal Payments]]&gt;1,monthly_principal_and_interest-monthly_mortgage_schedule[[#This Row],[Interest Without Extra Principal Payments]],0)</f>
        <v>2549.4217630241246</v>
      </c>
      <c r="AI336" s="4">
        <f>AI335+monthly_mortgage_schedule[[#This Row],[Principal Without Extra Principal Payments]]</f>
        <v>424562.69338317786</v>
      </c>
      <c r="AJ336" s="4">
        <f>monthly_mortgage_schedule[[#This Row],[Cumulative Principal Without Extra Principal Payments]]+down_payment_dollars</f>
        <v>484562.69338317786</v>
      </c>
      <c r="AK336" s="200">
        <f t="shared" si="30"/>
        <v>0</v>
      </c>
      <c r="AL33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115437.30661682236</v>
      </c>
      <c r="AN336" s="196">
        <f>monthly_mortgage_schedule[[#This Row],[Extra Payments Towards Equity]]+AN335+IF(monthly_mortgage_schedule[[#This Row],[Interest With Extra Principal Payments]]&gt;0,monthly_mortgage_schedule[[#This Row],[Interest Without Extra Principal Payments]]-monthly_mortgage_schedule[[#This Row],[Interest With Extra Principal Payments]],0)</f>
        <v>97035.848194899358</v>
      </c>
      <c r="AO336" s="4">
        <f>AO335+IF(monthly_mortgage_schedule[[#This Row],[Interest With Extra Principal Payments]]&gt;0,monthly_mortgage_schedule[[#This Row],[Interest Without Extra Principal Payments]]-monthly_mortgage_schedule[[#This Row],[Interest With Extra Principal Payments]],0)</f>
        <v>57785.848194899329</v>
      </c>
      <c r="AP336" s="4">
        <f>AP335+monthly_mortgage_schedule[[#This Row],[PMI Without Extra Principal Payments]]-monthly_mortgage_schedule[[#This Row],[PMI with Additional Payments]]</f>
        <v>990</v>
      </c>
      <c r="AQ336" s="4">
        <f t="shared" si="33"/>
        <v>148120.61499377294</v>
      </c>
      <c r="AR336" s="4">
        <f>Table60[[#This Row],[Cumulative Investments]]-monthly_mortgage_schedule[[#This Row],[Cumulative Extra Payments Towards Equity]]</f>
        <v>108870.61499377294</v>
      </c>
    </row>
    <row r="337" spans="9:44" x14ac:dyDescent="0.25">
      <c r="I337">
        <v>320</v>
      </c>
      <c r="J337">
        <f>IF(MOD(ROWS($J$18:J336),12)=0,J336+1,J336)</f>
        <v>2048</v>
      </c>
      <c r="K337" s="198">
        <f>IF(M337="#N/A",NA(),monthly_mortgage_schedule[[#This Row],[Month]])</f>
        <v>320</v>
      </c>
      <c r="L337" s="198">
        <f>IF(monthly_mortgage_schedule[[#This Row],[Calendar Year]]&gt;=$C$7,monthly_mortgage_schedule[[#This Row],[Calendar Year]],NA())</f>
        <v>2048</v>
      </c>
      <c r="M337" s="199">
        <f>IF((monthly_mortgage_schedule[[#This Row],[Calendar Year]]&gt;=$C$7)*(monthly_mortgage_schedule[[#This Row],[Calendar Year]]&lt;=$C$9),monthly_mortgage_schedule[[#This Row],[Begin Year (Range)]],NA())</f>
        <v>2048</v>
      </c>
      <c r="N337" s="214">
        <f>IF((monthly_mortgage_schedule[[#This Row],[Year (Range)]]&gt;=$C$7)*(monthly_mortgage_schedule[[#This Row],[Year (Range)]]&lt;=$C$9),X337,NA())</f>
        <v>85.873472635640709</v>
      </c>
      <c r="O337" s="214">
        <f>IF((monthly_mortgage_schedule[[#This Row],[Year (Range)]]&gt;=$C$7)*(monthly_mortgage_schedule[[#This Row],[Year (Range)]]&lt;=$C$9),Y337,NA())</f>
        <v>3014.1530228277675</v>
      </c>
      <c r="P337" s="214">
        <f>IF((monthly_mortgage_schedule[[#This Row],[Year (Range)]]&gt;=$C$7)*(monthly_mortgage_schedule[[#This Row],[Year (Range)]]&lt;=$C$9),AG337,NA())</f>
        <v>538.7074308785044</v>
      </c>
      <c r="Q337" s="214">
        <f>IF((monthly_mortgage_schedule[[#This Row],[Year (Range)]]&gt;=$C$7)*(monthly_mortgage_schedule[[#This Row],[Year (Range)]]&lt;=$C$9),AH337,NA())</f>
        <v>2561.3190645849036</v>
      </c>
      <c r="R337" s="214">
        <f>IF((monthly_mortgage_schedule[[#This Row],[Year (Range)]]&gt;=$C$7)*(monthly_mortgage_schedule[[#This Row],[Year (Range)]]&lt;=$C$9),AO337,NA())</f>
        <v>58238.682153142196</v>
      </c>
      <c r="S337" s="214">
        <f>IF((monthly_mortgage_schedule[[#This Row],[Year (Range)]]&gt;=$C$7)*(monthly_mortgage_schedule[[#This Row],[Year (Range)]]&lt;=$C$9),AP337,NA())</f>
        <v>990</v>
      </c>
      <c r="T337" s="214">
        <f>IF((monthly_mortgage_schedule[[#This Row],[Year (Range)]]&gt;=$C$7)*(monthly_mortgage_schedule[[#This Row],[Year (Range)]]&lt;=$C$9),AR337,NA())</f>
        <v>109858.08576039807</v>
      </c>
      <c r="U337" s="214">
        <f>IF((monthly_mortgage_schedule[[#This Row],[Year (Range)]]&gt;=$C$7)*(monthly_mortgage_schedule[[#This Row],[Year (Range)]]&lt;=$C$9),AB337,NA())</f>
        <v>524612.69460090459</v>
      </c>
      <c r="V337" s="214">
        <f>IF((monthly_mortgage_schedule[[#This Row],[Year (Range)]]&gt;=$C$7)*(monthly_mortgage_schedule[[#This Row],[Year (Range)]]&lt;=$C$9),AI337,NA())</f>
        <v>427124.01244776277</v>
      </c>
      <c r="W337" s="187">
        <f t="shared" si="31"/>
        <v>18401.458421923009</v>
      </c>
      <c r="X337" s="4">
        <f t="shared" si="34"/>
        <v>85.873472635640709</v>
      </c>
      <c r="Y337" s="4">
        <f t="shared" si="32"/>
        <v>3014.1530228277675</v>
      </c>
      <c r="Z337" s="4">
        <f>_xlfn.IFNA(INDEX(additional_mortgage_payments[],MATCH(monthly_mortgage_schedule[[#This Row],[Month]],additional_mortgage_payments[Month],0),3),0)</f>
        <v>0</v>
      </c>
      <c r="AA337" s="4">
        <f>AA336+monthly_mortgage_schedule[[#This Row],[Extra Payments Towards Equity]]</f>
        <v>39250</v>
      </c>
      <c r="AB337" s="4">
        <f>AB336+monthly_mortgage_schedule[[#This Row],[Principal With Extra Principal Payments]]+monthly_mortgage_schedule[[#This Row],[Extra Payments Towards Equity]]</f>
        <v>524612.69460090459</v>
      </c>
      <c r="AC337" s="4">
        <f>monthly_mortgage_schedule[[#This Row],[Cumulative Principal With Extra Principal Payments]]+down_payment_dollars</f>
        <v>584612.69460090459</v>
      </c>
      <c r="AD337" s="200">
        <f t="shared" si="29"/>
        <v>0</v>
      </c>
      <c r="AE33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15387.305399095241</v>
      </c>
      <c r="AF337" s="187">
        <f t="shared" si="35"/>
        <v>115437.30661682236</v>
      </c>
      <c r="AG337" s="4">
        <f>IF(monthly_mortgage_schedule[[#This Row],[Loan Balance (BOY) Without Extra Principal Payments]]&gt;0,monthly_mortgage_schedule[[#This Row],[Loan Balance (BOY) Without Extra Principal Payments]]*monthly_interest_rate,0)</f>
        <v>538.7074308785044</v>
      </c>
      <c r="AH337" s="4">
        <f>IF(monthly_mortgage_schedule[[#This Row],[Loan Balance (BOY) Without Extra Principal Payments]]&gt;1,monthly_principal_and_interest-monthly_mortgage_schedule[[#This Row],[Interest Without Extra Principal Payments]],0)</f>
        <v>2561.3190645849036</v>
      </c>
      <c r="AI337" s="4">
        <f>AI336+monthly_mortgage_schedule[[#This Row],[Principal Without Extra Principal Payments]]</f>
        <v>427124.01244776277</v>
      </c>
      <c r="AJ337" s="4">
        <f>monthly_mortgage_schedule[[#This Row],[Cumulative Principal Without Extra Principal Payments]]+down_payment_dollars</f>
        <v>487124.01244776277</v>
      </c>
      <c r="AK337" s="200">
        <f t="shared" si="30"/>
        <v>0</v>
      </c>
      <c r="AL33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112875.98755223745</v>
      </c>
      <c r="AN337" s="196">
        <f>monthly_mortgage_schedule[[#This Row],[Extra Payments Towards Equity]]+AN336+IF(monthly_mortgage_schedule[[#This Row],[Interest With Extra Principal Payments]]&gt;0,monthly_mortgage_schedule[[#This Row],[Interest Without Extra Principal Payments]]-monthly_mortgage_schedule[[#This Row],[Interest With Extra Principal Payments]],0)</f>
        <v>97488.682153142217</v>
      </c>
      <c r="AO337" s="4">
        <f>AO336+IF(monthly_mortgage_schedule[[#This Row],[Interest With Extra Principal Payments]]&gt;0,monthly_mortgage_schedule[[#This Row],[Interest Without Extra Principal Payments]]-monthly_mortgage_schedule[[#This Row],[Interest With Extra Principal Payments]],0)</f>
        <v>58238.682153142196</v>
      </c>
      <c r="AP337" s="4">
        <f>AP336+monthly_mortgage_schedule[[#This Row],[PMI Without Extra Principal Payments]]-monthly_mortgage_schedule[[#This Row],[PMI with Additional Payments]]</f>
        <v>990</v>
      </c>
      <c r="AQ337" s="4">
        <f t="shared" si="33"/>
        <v>149108.08576039807</v>
      </c>
      <c r="AR337" s="4">
        <f>Table60[[#This Row],[Cumulative Investments]]-monthly_mortgage_schedule[[#This Row],[Cumulative Extra Payments Towards Equity]]</f>
        <v>109858.08576039807</v>
      </c>
    </row>
    <row r="338" spans="9:44" x14ac:dyDescent="0.25">
      <c r="I338">
        <v>321</v>
      </c>
      <c r="J338">
        <f>IF(MOD(ROWS($J$18:J337),12)=0,J337+1,J337)</f>
        <v>2048</v>
      </c>
      <c r="K338" s="198">
        <f>IF(M338="#N/A",NA(),monthly_mortgage_schedule[[#This Row],[Month]])</f>
        <v>321</v>
      </c>
      <c r="L338" s="198">
        <f>IF(monthly_mortgage_schedule[[#This Row],[Calendar Year]]&gt;=$C$7,monthly_mortgage_schedule[[#This Row],[Calendar Year]],NA())</f>
        <v>2048</v>
      </c>
      <c r="M338" s="199">
        <f>IF((monthly_mortgage_schedule[[#This Row],[Calendar Year]]&gt;=$C$7)*(monthly_mortgage_schedule[[#This Row],[Calendar Year]]&lt;=$C$9),monthly_mortgage_schedule[[#This Row],[Begin Year (Range)]],NA())</f>
        <v>2048</v>
      </c>
      <c r="N338" s="214">
        <f>IF((monthly_mortgage_schedule[[#This Row],[Year (Range)]]&gt;=$C$7)*(monthly_mortgage_schedule[[#This Row],[Year (Range)]]&lt;=$C$9),X338,NA())</f>
        <v>71.807425195777796</v>
      </c>
      <c r="O338" s="214">
        <f>IF((monthly_mortgage_schedule[[#This Row],[Year (Range)]]&gt;=$C$7)*(monthly_mortgage_schedule[[#This Row],[Year (Range)]]&lt;=$C$9),Y338,NA())</f>
        <v>3028.2190702676303</v>
      </c>
      <c r="P338" s="214">
        <f>IF((monthly_mortgage_schedule[[#This Row],[Year (Range)]]&gt;=$C$7)*(monthly_mortgage_schedule[[#This Row],[Year (Range)]]&lt;=$C$9),AG338,NA())</f>
        <v>526.75460857710812</v>
      </c>
      <c r="Q338" s="214">
        <f>IF((monthly_mortgage_schedule[[#This Row],[Year (Range)]]&gt;=$C$7)*(monthly_mortgage_schedule[[#This Row],[Year (Range)]]&lt;=$C$9),AH338,NA())</f>
        <v>2573.2718868862999</v>
      </c>
      <c r="R338" s="214">
        <f>IF((monthly_mortgage_schedule[[#This Row],[Year (Range)]]&gt;=$C$7)*(monthly_mortgage_schedule[[#This Row],[Year (Range)]]&lt;=$C$9),AO338,NA())</f>
        <v>58693.629336523525</v>
      </c>
      <c r="S338" s="214">
        <f>IF((monthly_mortgage_schedule[[#This Row],[Year (Range)]]&gt;=$C$7)*(monthly_mortgage_schedule[[#This Row],[Year (Range)]]&lt;=$C$9),AP338,NA())</f>
        <v>990</v>
      </c>
      <c r="T338" s="214">
        <f>IF((monthly_mortgage_schedule[[#This Row],[Year (Range)]]&gt;=$C$7)*(monthly_mortgage_schedule[[#This Row],[Year (Range)]]&lt;=$C$9),AR338,NA())</f>
        <v>110852.13966546737</v>
      </c>
      <c r="U338" s="214">
        <f>IF((monthly_mortgage_schedule[[#This Row],[Year (Range)]]&gt;=$C$7)*(monthly_mortgage_schedule[[#This Row],[Year (Range)]]&lt;=$C$9),AB338,NA())</f>
        <v>527640.91367117222</v>
      </c>
      <c r="V338" s="214">
        <f>IF((monthly_mortgage_schedule[[#This Row],[Year (Range)]]&gt;=$C$7)*(monthly_mortgage_schedule[[#This Row],[Year (Range)]]&lt;=$C$9),AI338,NA())</f>
        <v>429697.28433464904</v>
      </c>
      <c r="W338" s="187">
        <f t="shared" si="31"/>
        <v>15387.305399095241</v>
      </c>
      <c r="X338" s="4">
        <f t="shared" si="34"/>
        <v>71.807425195777796</v>
      </c>
      <c r="Y338" s="4">
        <f t="shared" si="32"/>
        <v>3028.2190702676303</v>
      </c>
      <c r="Z338" s="4">
        <f>_xlfn.IFNA(INDEX(additional_mortgage_payments[],MATCH(monthly_mortgage_schedule[[#This Row],[Month]],additional_mortgage_payments[Month],0),3),0)</f>
        <v>0</v>
      </c>
      <c r="AA338" s="4">
        <f>AA337+monthly_mortgage_schedule[[#This Row],[Extra Payments Towards Equity]]</f>
        <v>39250</v>
      </c>
      <c r="AB338" s="4">
        <f>AB337+monthly_mortgage_schedule[[#This Row],[Principal With Extra Principal Payments]]+monthly_mortgage_schedule[[#This Row],[Extra Payments Towards Equity]]</f>
        <v>527640.91367117222</v>
      </c>
      <c r="AC338" s="4">
        <f>monthly_mortgage_schedule[[#This Row],[Cumulative Principal With Extra Principal Payments]]+down_payment_dollars</f>
        <v>587640.91367117222</v>
      </c>
      <c r="AD338" s="200">
        <f t="shared" ref="AD338:AD378" si="36">IF((AC338)/purchase_price&lt;pmi_until_percentage_equity,(annual_pmi/12),0)</f>
        <v>0</v>
      </c>
      <c r="AE33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12359.08632882761</v>
      </c>
      <c r="AF338" s="187">
        <f t="shared" si="35"/>
        <v>112875.98755223745</v>
      </c>
      <c r="AG338" s="4">
        <f>IF(monthly_mortgage_schedule[[#This Row],[Loan Balance (BOY) Without Extra Principal Payments]]&gt;0,monthly_mortgage_schedule[[#This Row],[Loan Balance (BOY) Without Extra Principal Payments]]*monthly_interest_rate,0)</f>
        <v>526.75460857710812</v>
      </c>
      <c r="AH338" s="4">
        <f>IF(monthly_mortgage_schedule[[#This Row],[Loan Balance (BOY) Without Extra Principal Payments]]&gt;1,monthly_principal_and_interest-monthly_mortgage_schedule[[#This Row],[Interest Without Extra Principal Payments]],0)</f>
        <v>2573.2718868862999</v>
      </c>
      <c r="AI338" s="4">
        <f>AI337+monthly_mortgage_schedule[[#This Row],[Principal Without Extra Principal Payments]]</f>
        <v>429697.28433464904</v>
      </c>
      <c r="AJ338" s="4">
        <f>monthly_mortgage_schedule[[#This Row],[Cumulative Principal Without Extra Principal Payments]]+down_payment_dollars</f>
        <v>489697.28433464904</v>
      </c>
      <c r="AK338" s="200">
        <f t="shared" ref="AK338:AK378" si="37">IF((AJ338)/purchase_price&lt;pmi_until_percentage_equity,(annual_pmi/12),0)</f>
        <v>0</v>
      </c>
      <c r="AL33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110302.71566535115</v>
      </c>
      <c r="AN338" s="196">
        <f>monthly_mortgage_schedule[[#This Row],[Extra Payments Towards Equity]]+AN337+IF(monthly_mortgage_schedule[[#This Row],[Interest With Extra Principal Payments]]&gt;0,monthly_mortgage_schedule[[#This Row],[Interest Without Extra Principal Payments]]-monthly_mortgage_schedule[[#This Row],[Interest With Extra Principal Payments]],0)</f>
        <v>97943.629336523547</v>
      </c>
      <c r="AO338" s="4">
        <f>AO337+IF(monthly_mortgage_schedule[[#This Row],[Interest With Extra Principal Payments]]&gt;0,monthly_mortgage_schedule[[#This Row],[Interest Without Extra Principal Payments]]-monthly_mortgage_schedule[[#This Row],[Interest With Extra Principal Payments]],0)</f>
        <v>58693.629336523525</v>
      </c>
      <c r="AP338" s="4">
        <f>AP337+monthly_mortgage_schedule[[#This Row],[PMI Without Extra Principal Payments]]-monthly_mortgage_schedule[[#This Row],[PMI with Additional Payments]]</f>
        <v>990</v>
      </c>
      <c r="AQ338" s="4">
        <f t="shared" si="33"/>
        <v>150102.13966546737</v>
      </c>
      <c r="AR338" s="4">
        <f>Table60[[#This Row],[Cumulative Investments]]-monthly_mortgage_schedule[[#This Row],[Cumulative Extra Payments Towards Equity]]</f>
        <v>110852.13966546737</v>
      </c>
    </row>
    <row r="339" spans="9:44" x14ac:dyDescent="0.25">
      <c r="I339">
        <v>322</v>
      </c>
      <c r="J339">
        <f>IF(MOD(ROWS($J$18:J338),12)=0,J338+1,J338)</f>
        <v>2048</v>
      </c>
      <c r="K339" s="198">
        <f>IF(M339="#N/A",NA(),monthly_mortgage_schedule[[#This Row],[Month]])</f>
        <v>322</v>
      </c>
      <c r="L339" s="198">
        <f>IF(monthly_mortgage_schedule[[#This Row],[Calendar Year]]&gt;=$C$7,monthly_mortgage_schedule[[#This Row],[Calendar Year]],NA())</f>
        <v>2048</v>
      </c>
      <c r="M339" s="199">
        <f>IF((monthly_mortgage_schedule[[#This Row],[Calendar Year]]&gt;=$C$7)*(monthly_mortgage_schedule[[#This Row],[Calendar Year]]&lt;=$C$9),monthly_mortgage_schedule[[#This Row],[Begin Year (Range)]],NA())</f>
        <v>2048</v>
      </c>
      <c r="N339" s="214">
        <f>IF((monthly_mortgage_schedule[[#This Row],[Year (Range)]]&gt;=$C$7)*(monthly_mortgage_schedule[[#This Row],[Year (Range)]]&lt;=$C$9),X339,NA())</f>
        <v>57.675736201195519</v>
      </c>
      <c r="O339" s="214">
        <f>IF((monthly_mortgage_schedule[[#This Row],[Year (Range)]]&gt;=$C$7)*(monthly_mortgage_schedule[[#This Row],[Year (Range)]]&lt;=$C$9),Y339,NA())</f>
        <v>3042.3507592622127</v>
      </c>
      <c r="P339" s="214">
        <f>IF((monthly_mortgage_schedule[[#This Row],[Year (Range)]]&gt;=$C$7)*(monthly_mortgage_schedule[[#This Row],[Year (Range)]]&lt;=$C$9),AG339,NA())</f>
        <v>514.74600643830536</v>
      </c>
      <c r="Q339" s="214">
        <f>IF((monthly_mortgage_schedule[[#This Row],[Year (Range)]]&gt;=$C$7)*(monthly_mortgage_schedule[[#This Row],[Year (Range)]]&lt;=$C$9),AH339,NA())</f>
        <v>2585.2804890251027</v>
      </c>
      <c r="R339" s="214">
        <f>IF((monthly_mortgage_schedule[[#This Row],[Year (Range)]]&gt;=$C$7)*(monthly_mortgage_schedule[[#This Row],[Year (Range)]]&lt;=$C$9),AO339,NA())</f>
        <v>59150.699606760638</v>
      </c>
      <c r="S339" s="214">
        <f>IF((monthly_mortgage_schedule[[#This Row],[Year (Range)]]&gt;=$C$7)*(monthly_mortgage_schedule[[#This Row],[Year (Range)]]&lt;=$C$9),AP339,NA())</f>
        <v>990</v>
      </c>
      <c r="T339" s="214">
        <f>IF((monthly_mortgage_schedule[[#This Row],[Year (Range)]]&gt;=$C$7)*(monthly_mortgage_schedule[[#This Row],[Year (Range)]]&lt;=$C$9),AR339,NA())</f>
        <v>111852.82059657047</v>
      </c>
      <c r="U339" s="214">
        <f>IF((monthly_mortgage_schedule[[#This Row],[Year (Range)]]&gt;=$C$7)*(monthly_mortgage_schedule[[#This Row],[Year (Range)]]&lt;=$C$9),AB339,NA())</f>
        <v>530683.26443043444</v>
      </c>
      <c r="V339" s="214">
        <f>IF((monthly_mortgage_schedule[[#This Row],[Year (Range)]]&gt;=$C$7)*(monthly_mortgage_schedule[[#This Row],[Year (Range)]]&lt;=$C$9),AI339,NA())</f>
        <v>432282.56482367415</v>
      </c>
      <c r="W339" s="187">
        <f t="shared" ref="W339:W378" si="38">AE338</f>
        <v>12359.08632882761</v>
      </c>
      <c r="X339" s="4">
        <f t="shared" si="34"/>
        <v>57.675736201195519</v>
      </c>
      <c r="Y339" s="4">
        <f t="shared" ref="Y339:Y378" si="39">IF(W339&gt;1,monthly_principal_and_interest-X339,0)</f>
        <v>3042.3507592622127</v>
      </c>
      <c r="Z339" s="4">
        <f>_xlfn.IFNA(INDEX(additional_mortgage_payments[],MATCH(monthly_mortgage_schedule[[#This Row],[Month]],additional_mortgage_payments[Month],0),3),0)</f>
        <v>0</v>
      </c>
      <c r="AA339" s="4">
        <f>AA338+monthly_mortgage_schedule[[#This Row],[Extra Payments Towards Equity]]</f>
        <v>39250</v>
      </c>
      <c r="AB339" s="4">
        <f>AB338+monthly_mortgage_schedule[[#This Row],[Principal With Extra Principal Payments]]+monthly_mortgage_schedule[[#This Row],[Extra Payments Towards Equity]]</f>
        <v>530683.26443043444</v>
      </c>
      <c r="AC339" s="4">
        <f>monthly_mortgage_schedule[[#This Row],[Cumulative Principal With Extra Principal Payments]]+down_payment_dollars</f>
        <v>590683.26443043444</v>
      </c>
      <c r="AD339" s="200">
        <f t="shared" si="36"/>
        <v>0</v>
      </c>
      <c r="AE33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9316.7355695653969</v>
      </c>
      <c r="AF339" s="187">
        <f t="shared" si="35"/>
        <v>110302.71566535115</v>
      </c>
      <c r="AG339" s="4">
        <f>IF(monthly_mortgage_schedule[[#This Row],[Loan Balance (BOY) Without Extra Principal Payments]]&gt;0,monthly_mortgage_schedule[[#This Row],[Loan Balance (BOY) Without Extra Principal Payments]]*monthly_interest_rate,0)</f>
        <v>514.74600643830536</v>
      </c>
      <c r="AH339" s="4">
        <f>IF(monthly_mortgage_schedule[[#This Row],[Loan Balance (BOY) Without Extra Principal Payments]]&gt;1,monthly_principal_and_interest-monthly_mortgage_schedule[[#This Row],[Interest Without Extra Principal Payments]],0)</f>
        <v>2585.2804890251027</v>
      </c>
      <c r="AI339" s="4">
        <f>AI338+monthly_mortgage_schedule[[#This Row],[Principal Without Extra Principal Payments]]</f>
        <v>432282.56482367415</v>
      </c>
      <c r="AJ339" s="4">
        <f>monthly_mortgage_schedule[[#This Row],[Cumulative Principal Without Extra Principal Payments]]+down_payment_dollars</f>
        <v>492282.56482367415</v>
      </c>
      <c r="AK339" s="200">
        <f t="shared" si="37"/>
        <v>0</v>
      </c>
      <c r="AL33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107717.43517632605</v>
      </c>
      <c r="AN339" s="196">
        <f>monthly_mortgage_schedule[[#This Row],[Extra Payments Towards Equity]]+AN338+IF(monthly_mortgage_schedule[[#This Row],[Interest With Extra Principal Payments]]&gt;0,monthly_mortgage_schedule[[#This Row],[Interest Without Extra Principal Payments]]-monthly_mortgage_schedule[[#This Row],[Interest With Extra Principal Payments]],0)</f>
        <v>98400.699606760652</v>
      </c>
      <c r="AO339" s="4">
        <f>AO338+IF(monthly_mortgage_schedule[[#This Row],[Interest With Extra Principal Payments]]&gt;0,monthly_mortgage_schedule[[#This Row],[Interest Without Extra Principal Payments]]-monthly_mortgage_schedule[[#This Row],[Interest With Extra Principal Payments]],0)</f>
        <v>59150.699606760638</v>
      </c>
      <c r="AP339" s="4">
        <f>AP338+monthly_mortgage_schedule[[#This Row],[PMI Without Extra Principal Payments]]-monthly_mortgage_schedule[[#This Row],[PMI with Additional Payments]]</f>
        <v>990</v>
      </c>
      <c r="AQ339" s="4">
        <f t="shared" ref="AQ339:AQ378" si="40">(AQ338+Z339)*(1+monthly_stock_market_return)</f>
        <v>151102.82059657047</v>
      </c>
      <c r="AR339" s="4">
        <f>Table60[[#This Row],[Cumulative Investments]]-monthly_mortgage_schedule[[#This Row],[Cumulative Extra Payments Towards Equity]]</f>
        <v>111852.82059657047</v>
      </c>
    </row>
    <row r="340" spans="9:44" x14ac:dyDescent="0.25">
      <c r="I340">
        <v>323</v>
      </c>
      <c r="J340">
        <f>IF(MOD(ROWS($J$18:J339),12)=0,J339+1,J339)</f>
        <v>2048</v>
      </c>
      <c r="K340" s="198">
        <f>IF(M340="#N/A",NA(),monthly_mortgage_schedule[[#This Row],[Month]])</f>
        <v>323</v>
      </c>
      <c r="L340" s="198">
        <f>IF(monthly_mortgage_schedule[[#This Row],[Calendar Year]]&gt;=$C$7,monthly_mortgage_schedule[[#This Row],[Calendar Year]],NA())</f>
        <v>2048</v>
      </c>
      <c r="M340" s="199">
        <f>IF((monthly_mortgage_schedule[[#This Row],[Calendar Year]]&gt;=$C$7)*(monthly_mortgage_schedule[[#This Row],[Calendar Year]]&lt;=$C$9),monthly_mortgage_schedule[[#This Row],[Begin Year (Range)]],NA())</f>
        <v>2048</v>
      </c>
      <c r="N340" s="214">
        <f>IF((monthly_mortgage_schedule[[#This Row],[Year (Range)]]&gt;=$C$7)*(monthly_mortgage_schedule[[#This Row],[Year (Range)]]&lt;=$C$9),X340,NA())</f>
        <v>43.478099324638521</v>
      </c>
      <c r="O340" s="214">
        <f>IF((monthly_mortgage_schedule[[#This Row],[Year (Range)]]&gt;=$C$7)*(monthly_mortgage_schedule[[#This Row],[Year (Range)]]&lt;=$C$9),Y340,NA())</f>
        <v>3056.5483961387695</v>
      </c>
      <c r="P340" s="214">
        <f>IF((monthly_mortgage_schedule[[#This Row],[Year (Range)]]&gt;=$C$7)*(monthly_mortgage_schedule[[#This Row],[Year (Range)]]&lt;=$C$9),AG340,NA())</f>
        <v>502.68136415618829</v>
      </c>
      <c r="Q340" s="214">
        <f>IF((monthly_mortgage_schedule[[#This Row],[Year (Range)]]&gt;=$C$7)*(monthly_mortgage_schedule[[#This Row],[Year (Range)]]&lt;=$C$9),AH340,NA())</f>
        <v>2597.3451313072196</v>
      </c>
      <c r="R340" s="214">
        <f>IF((monthly_mortgage_schedule[[#This Row],[Year (Range)]]&gt;=$C$7)*(monthly_mortgage_schedule[[#This Row],[Year (Range)]]&lt;=$C$9),AO340,NA())</f>
        <v>59609.902871592189</v>
      </c>
      <c r="S340" s="214">
        <f>IF((monthly_mortgage_schedule[[#This Row],[Year (Range)]]&gt;=$C$7)*(monthly_mortgage_schedule[[#This Row],[Year (Range)]]&lt;=$C$9),AP340,NA())</f>
        <v>990</v>
      </c>
      <c r="T340" s="214">
        <f>IF((monthly_mortgage_schedule[[#This Row],[Year (Range)]]&gt;=$C$7)*(monthly_mortgage_schedule[[#This Row],[Year (Range)]]&lt;=$C$9),AR340,NA())</f>
        <v>112860.17273388093</v>
      </c>
      <c r="U340" s="214">
        <f>IF((monthly_mortgage_schedule[[#This Row],[Year (Range)]]&gt;=$C$7)*(monthly_mortgage_schedule[[#This Row],[Year (Range)]]&lt;=$C$9),AB340,NA())</f>
        <v>533739.81282657327</v>
      </c>
      <c r="V340" s="214">
        <f>IF((monthly_mortgage_schedule[[#This Row],[Year (Range)]]&gt;=$C$7)*(monthly_mortgage_schedule[[#This Row],[Year (Range)]]&lt;=$C$9),AI340,NA())</f>
        <v>434879.90995498135</v>
      </c>
      <c r="W340" s="187">
        <f t="shared" si="38"/>
        <v>9316.7355695653969</v>
      </c>
      <c r="X340" s="4">
        <f t="shared" ref="X340:X378" si="41">IF(W340&gt;0,W340*monthly_interest_rate,0)</f>
        <v>43.478099324638521</v>
      </c>
      <c r="Y340" s="4">
        <f t="shared" si="39"/>
        <v>3056.5483961387695</v>
      </c>
      <c r="Z340" s="4">
        <f>_xlfn.IFNA(INDEX(additional_mortgage_payments[],MATCH(monthly_mortgage_schedule[[#This Row],[Month]],additional_mortgage_payments[Month],0),3),0)</f>
        <v>0</v>
      </c>
      <c r="AA340" s="4">
        <f>AA339+monthly_mortgage_schedule[[#This Row],[Extra Payments Towards Equity]]</f>
        <v>39250</v>
      </c>
      <c r="AB340" s="4">
        <f>AB339+monthly_mortgage_schedule[[#This Row],[Principal With Extra Principal Payments]]+monthly_mortgage_schedule[[#This Row],[Extra Payments Towards Equity]]</f>
        <v>533739.81282657327</v>
      </c>
      <c r="AC340" s="4">
        <f>monthly_mortgage_schedule[[#This Row],[Cumulative Principal With Extra Principal Payments]]+down_payment_dollars</f>
        <v>593739.81282657327</v>
      </c>
      <c r="AD340" s="200">
        <f t="shared" si="36"/>
        <v>0</v>
      </c>
      <c r="AE34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6260.1871734266279</v>
      </c>
      <c r="AF340" s="187">
        <f t="shared" ref="AF340:AF378" si="42">AL339</f>
        <v>107717.43517632605</v>
      </c>
      <c r="AG340" s="4">
        <f>IF(monthly_mortgage_schedule[[#This Row],[Loan Balance (BOY) Without Extra Principal Payments]]&gt;0,monthly_mortgage_schedule[[#This Row],[Loan Balance (BOY) Without Extra Principal Payments]]*monthly_interest_rate,0)</f>
        <v>502.68136415618829</v>
      </c>
      <c r="AH340" s="4">
        <f>IF(monthly_mortgage_schedule[[#This Row],[Loan Balance (BOY) Without Extra Principal Payments]]&gt;1,monthly_principal_and_interest-monthly_mortgage_schedule[[#This Row],[Interest Without Extra Principal Payments]],0)</f>
        <v>2597.3451313072196</v>
      </c>
      <c r="AI340" s="4">
        <f>AI339+monthly_mortgage_schedule[[#This Row],[Principal Without Extra Principal Payments]]</f>
        <v>434879.90995498135</v>
      </c>
      <c r="AJ340" s="4">
        <f>monthly_mortgage_schedule[[#This Row],[Cumulative Principal Without Extra Principal Payments]]+down_payment_dollars</f>
        <v>494879.90995498135</v>
      </c>
      <c r="AK340" s="200">
        <f t="shared" si="37"/>
        <v>0</v>
      </c>
      <c r="AL34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105120.09004501883</v>
      </c>
      <c r="AN340" s="196">
        <f>monthly_mortgage_schedule[[#This Row],[Extra Payments Towards Equity]]+AN339+IF(monthly_mortgage_schedule[[#This Row],[Interest With Extra Principal Payments]]&gt;0,monthly_mortgage_schedule[[#This Row],[Interest Without Extra Principal Payments]]-monthly_mortgage_schedule[[#This Row],[Interest With Extra Principal Payments]],0)</f>
        <v>98859.902871592203</v>
      </c>
      <c r="AO340" s="4">
        <f>AO339+IF(monthly_mortgage_schedule[[#This Row],[Interest With Extra Principal Payments]]&gt;0,monthly_mortgage_schedule[[#This Row],[Interest Without Extra Principal Payments]]-monthly_mortgage_schedule[[#This Row],[Interest With Extra Principal Payments]],0)</f>
        <v>59609.902871592189</v>
      </c>
      <c r="AP340" s="4">
        <f>AP339+monthly_mortgage_schedule[[#This Row],[PMI Without Extra Principal Payments]]-monthly_mortgage_schedule[[#This Row],[PMI with Additional Payments]]</f>
        <v>990</v>
      </c>
      <c r="AQ340" s="4">
        <f t="shared" si="40"/>
        <v>152110.17273388093</v>
      </c>
      <c r="AR340" s="4">
        <f>Table60[[#This Row],[Cumulative Investments]]-monthly_mortgage_schedule[[#This Row],[Cumulative Extra Payments Towards Equity]]</f>
        <v>112860.17273388093</v>
      </c>
    </row>
    <row r="341" spans="9:44" x14ac:dyDescent="0.25">
      <c r="I341">
        <v>324</v>
      </c>
      <c r="J341">
        <f>IF(MOD(ROWS($J$18:J340),12)=0,J340+1,J340)</f>
        <v>2048</v>
      </c>
      <c r="K341" s="198">
        <f>IF(M341="#N/A",NA(),monthly_mortgage_schedule[[#This Row],[Month]])</f>
        <v>324</v>
      </c>
      <c r="L341" s="198">
        <f>IF(monthly_mortgage_schedule[[#This Row],[Calendar Year]]&gt;=$C$7,monthly_mortgage_schedule[[#This Row],[Calendar Year]],NA())</f>
        <v>2048</v>
      </c>
      <c r="M341" s="199">
        <f>IF((monthly_mortgage_schedule[[#This Row],[Calendar Year]]&gt;=$C$7)*(monthly_mortgage_schedule[[#This Row],[Calendar Year]]&lt;=$C$9),monthly_mortgage_schedule[[#This Row],[Begin Year (Range)]],NA())</f>
        <v>2048</v>
      </c>
      <c r="N341" s="214">
        <f>IF((monthly_mortgage_schedule[[#This Row],[Year (Range)]]&gt;=$C$7)*(monthly_mortgage_schedule[[#This Row],[Year (Range)]]&lt;=$C$9),X341,NA())</f>
        <v>29.214206809324267</v>
      </c>
      <c r="O341" s="214">
        <f>IF((monthly_mortgage_schedule[[#This Row],[Year (Range)]]&gt;=$C$7)*(monthly_mortgage_schedule[[#This Row],[Year (Range)]]&lt;=$C$9),Y341,NA())</f>
        <v>3070.8122886540837</v>
      </c>
      <c r="P341" s="214">
        <f>IF((monthly_mortgage_schedule[[#This Row],[Year (Range)]]&gt;=$C$7)*(monthly_mortgage_schedule[[#This Row],[Year (Range)]]&lt;=$C$9),AG341,NA())</f>
        <v>490.56042021008795</v>
      </c>
      <c r="Q341" s="214">
        <f>IF((monthly_mortgage_schedule[[#This Row],[Year (Range)]]&gt;=$C$7)*(monthly_mortgage_schedule[[#This Row],[Year (Range)]]&lt;=$C$9),AH341,NA())</f>
        <v>2609.46607525332</v>
      </c>
      <c r="R341" s="214">
        <f>IF((monthly_mortgage_schedule[[#This Row],[Year (Range)]]&gt;=$C$7)*(monthly_mortgage_schedule[[#This Row],[Year (Range)]]&lt;=$C$9),AO341,NA())</f>
        <v>60071.249084992953</v>
      </c>
      <c r="S341" s="214">
        <f>IF((monthly_mortgage_schedule[[#This Row],[Year (Range)]]&gt;=$C$7)*(monthly_mortgage_schedule[[#This Row],[Year (Range)]]&lt;=$C$9),AP341,NA())</f>
        <v>990</v>
      </c>
      <c r="T341" s="214">
        <f>IF((monthly_mortgage_schedule[[#This Row],[Year (Range)]]&gt;=$C$7)*(monthly_mortgage_schedule[[#This Row],[Year (Range)]]&lt;=$C$9),AR341,NA())</f>
        <v>113874.24055210678</v>
      </c>
      <c r="U341" s="214">
        <f>IF((monthly_mortgage_schedule[[#This Row],[Year (Range)]]&gt;=$C$7)*(monthly_mortgage_schedule[[#This Row],[Year (Range)]]&lt;=$C$9),AB341,NA())</f>
        <v>536810.6251152273</v>
      </c>
      <c r="V341" s="214">
        <f>IF((monthly_mortgage_schedule[[#This Row],[Year (Range)]]&gt;=$C$7)*(monthly_mortgage_schedule[[#This Row],[Year (Range)]]&lt;=$C$9),AI341,NA())</f>
        <v>437489.37603023468</v>
      </c>
      <c r="W341" s="187">
        <f t="shared" si="38"/>
        <v>6260.1871734266279</v>
      </c>
      <c r="X341" s="4">
        <f t="shared" si="41"/>
        <v>29.214206809324267</v>
      </c>
      <c r="Y341" s="4">
        <f t="shared" si="39"/>
        <v>3070.8122886540837</v>
      </c>
      <c r="Z341" s="4">
        <f>_xlfn.IFNA(INDEX(additional_mortgage_payments[],MATCH(monthly_mortgage_schedule[[#This Row],[Month]],additional_mortgage_payments[Month],0),3),0)</f>
        <v>0</v>
      </c>
      <c r="AA341" s="4">
        <f>AA340+monthly_mortgage_schedule[[#This Row],[Extra Payments Towards Equity]]</f>
        <v>39250</v>
      </c>
      <c r="AB341" s="4">
        <f>AB340+monthly_mortgage_schedule[[#This Row],[Principal With Extra Principal Payments]]+monthly_mortgage_schedule[[#This Row],[Extra Payments Towards Equity]]</f>
        <v>536810.6251152273</v>
      </c>
      <c r="AC341" s="4">
        <f>monthly_mortgage_schedule[[#This Row],[Cumulative Principal With Extra Principal Payments]]+down_payment_dollars</f>
        <v>596810.6251152273</v>
      </c>
      <c r="AD341" s="200">
        <f t="shared" si="36"/>
        <v>0</v>
      </c>
      <c r="AE34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3189.3748847725442</v>
      </c>
      <c r="AF341" s="187">
        <f t="shared" si="42"/>
        <v>105120.09004501883</v>
      </c>
      <c r="AG341" s="4">
        <f>IF(monthly_mortgage_schedule[[#This Row],[Loan Balance (BOY) Without Extra Principal Payments]]&gt;0,monthly_mortgage_schedule[[#This Row],[Loan Balance (BOY) Without Extra Principal Payments]]*monthly_interest_rate,0)</f>
        <v>490.56042021008795</v>
      </c>
      <c r="AH341" s="4">
        <f>IF(monthly_mortgage_schedule[[#This Row],[Loan Balance (BOY) Without Extra Principal Payments]]&gt;1,monthly_principal_and_interest-monthly_mortgage_schedule[[#This Row],[Interest Without Extra Principal Payments]],0)</f>
        <v>2609.46607525332</v>
      </c>
      <c r="AI341" s="4">
        <f>AI340+monthly_mortgage_schedule[[#This Row],[Principal Without Extra Principal Payments]]</f>
        <v>437489.37603023468</v>
      </c>
      <c r="AJ341" s="4">
        <f>monthly_mortgage_schedule[[#This Row],[Cumulative Principal Without Extra Principal Payments]]+down_payment_dollars</f>
        <v>497489.37603023468</v>
      </c>
      <c r="AK341" s="200">
        <f t="shared" si="37"/>
        <v>0</v>
      </c>
      <c r="AL34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102510.62396976551</v>
      </c>
      <c r="AN341" s="196">
        <f>monthly_mortgage_schedule[[#This Row],[Extra Payments Towards Equity]]+AN340+IF(monthly_mortgage_schedule[[#This Row],[Interest With Extra Principal Payments]]&gt;0,monthly_mortgage_schedule[[#This Row],[Interest Without Extra Principal Payments]]-monthly_mortgage_schedule[[#This Row],[Interest With Extra Principal Payments]],0)</f>
        <v>99321.24908499296</v>
      </c>
      <c r="AO341" s="4">
        <f>AO340+IF(monthly_mortgage_schedule[[#This Row],[Interest With Extra Principal Payments]]&gt;0,monthly_mortgage_schedule[[#This Row],[Interest Without Extra Principal Payments]]-monthly_mortgage_schedule[[#This Row],[Interest With Extra Principal Payments]],0)</f>
        <v>60071.249084992953</v>
      </c>
      <c r="AP341" s="4">
        <f>AP340+monthly_mortgage_schedule[[#This Row],[PMI Without Extra Principal Payments]]-monthly_mortgage_schedule[[#This Row],[PMI with Additional Payments]]</f>
        <v>990</v>
      </c>
      <c r="AQ341" s="4">
        <f t="shared" si="40"/>
        <v>153124.24055210678</v>
      </c>
      <c r="AR341" s="4">
        <f>Table60[[#This Row],[Cumulative Investments]]-monthly_mortgage_schedule[[#This Row],[Cumulative Extra Payments Towards Equity]]</f>
        <v>113874.24055210678</v>
      </c>
    </row>
    <row r="342" spans="9:44" x14ac:dyDescent="0.25">
      <c r="I342">
        <v>325</v>
      </c>
      <c r="J342">
        <f>IF(MOD(ROWS($J$18:J341),12)=0,J341+1,J341)</f>
        <v>2049</v>
      </c>
      <c r="K342" s="198">
        <f>IF(M342="#N/A",NA(),monthly_mortgage_schedule[[#This Row],[Month]])</f>
        <v>325</v>
      </c>
      <c r="L342" s="198">
        <f>IF(monthly_mortgage_schedule[[#This Row],[Calendar Year]]&gt;=$C$7,monthly_mortgage_schedule[[#This Row],[Calendar Year]],NA())</f>
        <v>2049</v>
      </c>
      <c r="M342" s="199">
        <f>IF((monthly_mortgage_schedule[[#This Row],[Calendar Year]]&gt;=$C$7)*(monthly_mortgage_schedule[[#This Row],[Calendar Year]]&lt;=$C$9),monthly_mortgage_schedule[[#This Row],[Begin Year (Range)]],NA())</f>
        <v>2049</v>
      </c>
      <c r="N342" s="214">
        <f>IF((monthly_mortgage_schedule[[#This Row],[Year (Range)]]&gt;=$C$7)*(monthly_mortgage_schedule[[#This Row],[Year (Range)]]&lt;=$C$9),X342,NA())</f>
        <v>14.883749462271874</v>
      </c>
      <c r="O342" s="214">
        <f>IF((monthly_mortgage_schedule[[#This Row],[Year (Range)]]&gt;=$C$7)*(monthly_mortgage_schedule[[#This Row],[Year (Range)]]&lt;=$C$9),Y342,NA())</f>
        <v>3085.1427460011364</v>
      </c>
      <c r="P342" s="214">
        <f>IF((monthly_mortgage_schedule[[#This Row],[Year (Range)]]&gt;=$C$7)*(monthly_mortgage_schedule[[#This Row],[Year (Range)]]&lt;=$C$9),AG342,NA())</f>
        <v>478.38291185890574</v>
      </c>
      <c r="Q342" s="214">
        <f>IF((monthly_mortgage_schedule[[#This Row],[Year (Range)]]&gt;=$C$7)*(monthly_mortgage_schedule[[#This Row],[Year (Range)]]&lt;=$C$9),AH342,NA())</f>
        <v>2621.6435836045025</v>
      </c>
      <c r="R342" s="214">
        <f>IF((monthly_mortgage_schedule[[#This Row],[Year (Range)]]&gt;=$C$7)*(monthly_mortgage_schedule[[#This Row],[Year (Range)]]&lt;=$C$9),AO342,NA())</f>
        <v>60534.748247389587</v>
      </c>
      <c r="S342" s="214">
        <f>IF((monthly_mortgage_schedule[[#This Row],[Year (Range)]]&gt;=$C$7)*(monthly_mortgage_schedule[[#This Row],[Year (Range)]]&lt;=$C$9),AP342,NA())</f>
        <v>990</v>
      </c>
      <c r="T342" s="214">
        <f>IF((monthly_mortgage_schedule[[#This Row],[Year (Range)]]&gt;=$C$7)*(monthly_mortgage_schedule[[#This Row],[Year (Range)]]&lt;=$C$9),AR342,NA())</f>
        <v>114895.06882245417</v>
      </c>
      <c r="U342" s="214">
        <f>IF((monthly_mortgage_schedule[[#This Row],[Year (Range)]]&gt;=$C$7)*(monthly_mortgage_schedule[[#This Row],[Year (Range)]]&lt;=$C$9),AB342,NA())</f>
        <v>539895.76786122844</v>
      </c>
      <c r="V342" s="214">
        <f>IF((monthly_mortgage_schedule[[#This Row],[Year (Range)]]&gt;=$C$7)*(monthly_mortgage_schedule[[#This Row],[Year (Range)]]&lt;=$C$9),AI342,NA())</f>
        <v>440111.01961383916</v>
      </c>
      <c r="W342" s="187">
        <f t="shared" si="38"/>
        <v>3189.3748847725442</v>
      </c>
      <c r="X342" s="4">
        <f t="shared" si="41"/>
        <v>14.883749462271874</v>
      </c>
      <c r="Y342" s="4">
        <f t="shared" si="39"/>
        <v>3085.1427460011364</v>
      </c>
      <c r="Z342" s="4">
        <f>_xlfn.IFNA(INDEX(additional_mortgage_payments[],MATCH(monthly_mortgage_schedule[[#This Row],[Month]],additional_mortgage_payments[Month],0),3),0)</f>
        <v>0</v>
      </c>
      <c r="AA342" s="4">
        <f>AA341+monthly_mortgage_schedule[[#This Row],[Extra Payments Towards Equity]]</f>
        <v>39250</v>
      </c>
      <c r="AB342" s="4">
        <f>AB341+monthly_mortgage_schedule[[#This Row],[Principal With Extra Principal Payments]]+monthly_mortgage_schedule[[#This Row],[Extra Payments Towards Equity]]</f>
        <v>539895.76786122844</v>
      </c>
      <c r="AC342" s="4">
        <f>monthly_mortgage_schedule[[#This Row],[Cumulative Principal With Extra Principal Payments]]+down_payment_dollars</f>
        <v>599895.76786122844</v>
      </c>
      <c r="AD342" s="200">
        <f t="shared" si="36"/>
        <v>0</v>
      </c>
      <c r="AE34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104.23213877140779</v>
      </c>
      <c r="AF342" s="187">
        <f t="shared" si="42"/>
        <v>102510.62396976551</v>
      </c>
      <c r="AG342" s="4">
        <f>IF(monthly_mortgage_schedule[[#This Row],[Loan Balance (BOY) Without Extra Principal Payments]]&gt;0,monthly_mortgage_schedule[[#This Row],[Loan Balance (BOY) Without Extra Principal Payments]]*monthly_interest_rate,0)</f>
        <v>478.38291185890574</v>
      </c>
      <c r="AH342" s="4">
        <f>IF(monthly_mortgage_schedule[[#This Row],[Loan Balance (BOY) Without Extra Principal Payments]]&gt;1,monthly_principal_and_interest-monthly_mortgage_schedule[[#This Row],[Interest Without Extra Principal Payments]],0)</f>
        <v>2621.6435836045025</v>
      </c>
      <c r="AI342" s="4">
        <f>AI341+monthly_mortgage_schedule[[#This Row],[Principal Without Extra Principal Payments]]</f>
        <v>440111.01961383916</v>
      </c>
      <c r="AJ342" s="4">
        <f>monthly_mortgage_schedule[[#This Row],[Cumulative Principal Without Extra Principal Payments]]+down_payment_dollars</f>
        <v>500111.01961383916</v>
      </c>
      <c r="AK342" s="200">
        <f t="shared" si="37"/>
        <v>0</v>
      </c>
      <c r="AL34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99888.980386161013</v>
      </c>
      <c r="AN342" s="196">
        <f>monthly_mortgage_schedule[[#This Row],[Extra Payments Towards Equity]]+AN341+IF(monthly_mortgage_schedule[[#This Row],[Interest With Extra Principal Payments]]&gt;0,monthly_mortgage_schedule[[#This Row],[Interest Without Extra Principal Payments]]-monthly_mortgage_schedule[[#This Row],[Interest With Extra Principal Payments]],0)</f>
        <v>99784.748247389594</v>
      </c>
      <c r="AO342" s="4">
        <f>AO341+IF(monthly_mortgage_schedule[[#This Row],[Interest With Extra Principal Payments]]&gt;0,monthly_mortgage_schedule[[#This Row],[Interest Without Extra Principal Payments]]-monthly_mortgage_schedule[[#This Row],[Interest With Extra Principal Payments]],0)</f>
        <v>60534.748247389587</v>
      </c>
      <c r="AP342" s="4">
        <f>AP341+monthly_mortgage_schedule[[#This Row],[PMI Without Extra Principal Payments]]-monthly_mortgage_schedule[[#This Row],[PMI with Additional Payments]]</f>
        <v>990</v>
      </c>
      <c r="AQ342" s="4">
        <f t="shared" si="40"/>
        <v>154145.06882245417</v>
      </c>
      <c r="AR342" s="4">
        <f>Table60[[#This Row],[Cumulative Investments]]-monthly_mortgage_schedule[[#This Row],[Cumulative Extra Payments Towards Equity]]</f>
        <v>114895.06882245417</v>
      </c>
    </row>
    <row r="343" spans="9:44" x14ac:dyDescent="0.25">
      <c r="I343">
        <v>326</v>
      </c>
      <c r="J343">
        <f>IF(MOD(ROWS($J$18:J342),12)=0,J342+1,J342)</f>
        <v>2049</v>
      </c>
      <c r="K343" s="198">
        <f>IF(M343="#N/A",NA(),monthly_mortgage_schedule[[#This Row],[Month]])</f>
        <v>326</v>
      </c>
      <c r="L343" s="198">
        <f>IF(monthly_mortgage_schedule[[#This Row],[Calendar Year]]&gt;=$C$7,monthly_mortgage_schedule[[#This Row],[Calendar Year]],NA())</f>
        <v>2049</v>
      </c>
      <c r="M343" s="199">
        <f>IF((monthly_mortgage_schedule[[#This Row],[Calendar Year]]&gt;=$C$7)*(monthly_mortgage_schedule[[#This Row],[Calendar Year]]&lt;=$C$9),monthly_mortgage_schedule[[#This Row],[Begin Year (Range)]],NA())</f>
        <v>2049</v>
      </c>
      <c r="N343" s="214">
        <f>IF((monthly_mortgage_schedule[[#This Row],[Year (Range)]]&gt;=$C$7)*(monthly_mortgage_schedule[[#This Row],[Year (Range)]]&lt;=$C$9),X343,NA())</f>
        <v>0.48641664759990305</v>
      </c>
      <c r="O343" s="214">
        <f>IF((monthly_mortgage_schedule[[#This Row],[Year (Range)]]&gt;=$C$7)*(monthly_mortgage_schedule[[#This Row],[Year (Range)]]&lt;=$C$9),Y343,NA())</f>
        <v>3099.5400788158081</v>
      </c>
      <c r="P343" s="214">
        <f>IF((monthly_mortgage_schedule[[#This Row],[Year (Range)]]&gt;=$C$7)*(monthly_mortgage_schedule[[#This Row],[Year (Range)]]&lt;=$C$9),AG343,NA())</f>
        <v>466.14857513541807</v>
      </c>
      <c r="Q343" s="214">
        <f>IF((monthly_mortgage_schedule[[#This Row],[Year (Range)]]&gt;=$C$7)*(monthly_mortgage_schedule[[#This Row],[Year (Range)]]&lt;=$C$9),AH343,NA())</f>
        <v>2633.8779203279901</v>
      </c>
      <c r="R343" s="214">
        <f>IF((monthly_mortgage_schedule[[#This Row],[Year (Range)]]&gt;=$C$7)*(monthly_mortgage_schedule[[#This Row],[Year (Range)]]&lt;=$C$9),AO343,NA())</f>
        <v>61000.410405877403</v>
      </c>
      <c r="S343" s="214">
        <f>IF((monthly_mortgage_schedule[[#This Row],[Year (Range)]]&gt;=$C$7)*(monthly_mortgage_schedule[[#This Row],[Year (Range)]]&lt;=$C$9),AP343,NA())</f>
        <v>990</v>
      </c>
      <c r="T343" s="214">
        <f>IF((monthly_mortgage_schedule[[#This Row],[Year (Range)]]&gt;=$C$7)*(monthly_mortgage_schedule[[#This Row],[Year (Range)]]&lt;=$C$9),AR343,NA())</f>
        <v>115922.70261460386</v>
      </c>
      <c r="U343" s="214">
        <f>IF((monthly_mortgage_schedule[[#This Row],[Year (Range)]]&gt;=$C$7)*(monthly_mortgage_schedule[[#This Row],[Year (Range)]]&lt;=$C$9),AB343,NA())</f>
        <v>542995.30794004421</v>
      </c>
      <c r="V343" s="214">
        <f>IF((monthly_mortgage_schedule[[#This Row],[Year (Range)]]&gt;=$C$7)*(monthly_mortgage_schedule[[#This Row],[Year (Range)]]&lt;=$C$9),AI343,NA())</f>
        <v>442744.89753416716</v>
      </c>
      <c r="W343" s="187">
        <f t="shared" si="38"/>
        <v>104.23213877140779</v>
      </c>
      <c r="X343" s="4">
        <f t="shared" si="41"/>
        <v>0.48641664759990305</v>
      </c>
      <c r="Y343" s="4">
        <f t="shared" si="39"/>
        <v>3099.5400788158081</v>
      </c>
      <c r="Z343" s="4">
        <f>_xlfn.IFNA(INDEX(additional_mortgage_payments[],MATCH(monthly_mortgage_schedule[[#This Row],[Month]],additional_mortgage_payments[Month],0),3),0)</f>
        <v>0</v>
      </c>
      <c r="AA343" s="4">
        <f>AA342+monthly_mortgage_schedule[[#This Row],[Extra Payments Towards Equity]]</f>
        <v>39250</v>
      </c>
      <c r="AB343" s="4">
        <f>AB342+monthly_mortgage_schedule[[#This Row],[Principal With Extra Principal Payments]]+monthly_mortgage_schedule[[#This Row],[Extra Payments Towards Equity]]</f>
        <v>542995.30794004421</v>
      </c>
      <c r="AC343" s="4">
        <f>monthly_mortgage_schedule[[#This Row],[Cumulative Principal With Extra Principal Payments]]+down_payment_dollars</f>
        <v>602995.30794004421</v>
      </c>
      <c r="AD343" s="200">
        <f t="shared" si="36"/>
        <v>0</v>
      </c>
      <c r="AE34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43" s="187">
        <f t="shared" si="42"/>
        <v>99888.980386161013</v>
      </c>
      <c r="AG343" s="4">
        <f>IF(monthly_mortgage_schedule[[#This Row],[Loan Balance (BOY) Without Extra Principal Payments]]&gt;0,monthly_mortgage_schedule[[#This Row],[Loan Balance (BOY) Without Extra Principal Payments]]*monthly_interest_rate,0)</f>
        <v>466.14857513541807</v>
      </c>
      <c r="AH343" s="4">
        <f>IF(monthly_mortgage_schedule[[#This Row],[Loan Balance (BOY) Without Extra Principal Payments]]&gt;1,monthly_principal_and_interest-monthly_mortgage_schedule[[#This Row],[Interest Without Extra Principal Payments]],0)</f>
        <v>2633.8779203279901</v>
      </c>
      <c r="AI343" s="4">
        <f>AI342+monthly_mortgage_schedule[[#This Row],[Principal Without Extra Principal Payments]]</f>
        <v>442744.89753416716</v>
      </c>
      <c r="AJ343" s="4">
        <f>monthly_mortgage_schedule[[#This Row],[Cumulative Principal Without Extra Principal Payments]]+down_payment_dollars</f>
        <v>502744.89753416716</v>
      </c>
      <c r="AK343" s="200">
        <f t="shared" si="37"/>
        <v>0</v>
      </c>
      <c r="AL34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97255.102465833028</v>
      </c>
      <c r="AN343" s="196">
        <f>monthly_mortgage_schedule[[#This Row],[Extra Payments Towards Equity]]+AN342+IF(monthly_mortgage_schedule[[#This Row],[Interest With Extra Principal Payments]]&gt;0,monthly_mortgage_schedule[[#This Row],[Interest Without Extra Principal Payments]]-monthly_mortgage_schedule[[#This Row],[Interest With Extra Principal Payments]],0)</f>
        <v>100250.41040587741</v>
      </c>
      <c r="AO343" s="4">
        <f>AO342+IF(monthly_mortgage_schedule[[#This Row],[Interest With Extra Principal Payments]]&gt;0,monthly_mortgage_schedule[[#This Row],[Interest Without Extra Principal Payments]]-monthly_mortgage_schedule[[#This Row],[Interest With Extra Principal Payments]],0)</f>
        <v>61000.410405877403</v>
      </c>
      <c r="AP343" s="4">
        <f>AP342+monthly_mortgage_schedule[[#This Row],[PMI Without Extra Principal Payments]]-monthly_mortgage_schedule[[#This Row],[PMI with Additional Payments]]</f>
        <v>990</v>
      </c>
      <c r="AQ343" s="4">
        <f t="shared" si="40"/>
        <v>155172.70261460386</v>
      </c>
      <c r="AR343" s="4">
        <f>Table60[[#This Row],[Cumulative Investments]]-monthly_mortgage_schedule[[#This Row],[Cumulative Extra Payments Towards Equity]]</f>
        <v>115922.70261460386</v>
      </c>
    </row>
    <row r="344" spans="9:44" x14ac:dyDescent="0.25">
      <c r="I344">
        <v>327</v>
      </c>
      <c r="J344">
        <f>IF(MOD(ROWS($J$18:J343),12)=0,J343+1,J343)</f>
        <v>2049</v>
      </c>
      <c r="K344" s="198">
        <f>IF(M344="#N/A",NA(),monthly_mortgage_schedule[[#This Row],[Month]])</f>
        <v>327</v>
      </c>
      <c r="L344" s="198">
        <f>IF(monthly_mortgage_schedule[[#This Row],[Calendar Year]]&gt;=$C$7,monthly_mortgage_schedule[[#This Row],[Calendar Year]],NA())</f>
        <v>2049</v>
      </c>
      <c r="M344" s="199">
        <f>IF((monthly_mortgage_schedule[[#This Row],[Calendar Year]]&gt;=$C$7)*(monthly_mortgage_schedule[[#This Row],[Calendar Year]]&lt;=$C$9),monthly_mortgage_schedule[[#This Row],[Begin Year (Range)]],NA())</f>
        <v>2049</v>
      </c>
      <c r="N344" s="214">
        <f>IF((monthly_mortgage_schedule[[#This Row],[Year (Range)]]&gt;=$C$7)*(monthly_mortgage_schedule[[#This Row],[Year (Range)]]&lt;=$C$9),X344,NA())</f>
        <v>0</v>
      </c>
      <c r="O344" s="214">
        <f>IF((monthly_mortgage_schedule[[#This Row],[Year (Range)]]&gt;=$C$7)*(monthly_mortgage_schedule[[#This Row],[Year (Range)]]&lt;=$C$9),Y344,NA())</f>
        <v>0</v>
      </c>
      <c r="P344" s="214">
        <f>IF((monthly_mortgage_schedule[[#This Row],[Year (Range)]]&gt;=$C$7)*(monthly_mortgage_schedule[[#This Row],[Year (Range)]]&lt;=$C$9),AG344,NA())</f>
        <v>453.85714484055416</v>
      </c>
      <c r="Q344" s="214">
        <f>IF((monthly_mortgage_schedule[[#This Row],[Year (Range)]]&gt;=$C$7)*(monthly_mortgage_schedule[[#This Row],[Year (Range)]]&lt;=$C$9),AH344,NA())</f>
        <v>2646.1693506228539</v>
      </c>
      <c r="R344" s="214">
        <f>IF((monthly_mortgage_schedule[[#This Row],[Year (Range)]]&gt;=$C$7)*(monthly_mortgage_schedule[[#This Row],[Year (Range)]]&lt;=$C$9),AO344,NA())</f>
        <v>61000.410405877403</v>
      </c>
      <c r="S344" s="214">
        <f>IF((monthly_mortgage_schedule[[#This Row],[Year (Range)]]&gt;=$C$7)*(monthly_mortgage_schedule[[#This Row],[Year (Range)]]&lt;=$C$9),AP344,NA())</f>
        <v>990</v>
      </c>
      <c r="T344" s="214">
        <f>IF((monthly_mortgage_schedule[[#This Row],[Year (Range)]]&gt;=$C$7)*(monthly_mortgage_schedule[[#This Row],[Year (Range)]]&lt;=$C$9),AR344,NA())</f>
        <v>116957.1872987012</v>
      </c>
      <c r="U344" s="214">
        <f>IF((monthly_mortgage_schedule[[#This Row],[Year (Range)]]&gt;=$C$7)*(monthly_mortgage_schedule[[#This Row],[Year (Range)]]&lt;=$C$9),AB344,NA())</f>
        <v>542995.30794004421</v>
      </c>
      <c r="V344" s="214">
        <f>IF((monthly_mortgage_schedule[[#This Row],[Year (Range)]]&gt;=$C$7)*(monthly_mortgage_schedule[[#This Row],[Year (Range)]]&lt;=$C$9),AI344,NA())</f>
        <v>445391.06688479002</v>
      </c>
      <c r="W344" s="187">
        <f t="shared" si="38"/>
        <v>0</v>
      </c>
      <c r="X344" s="4">
        <f t="shared" si="41"/>
        <v>0</v>
      </c>
      <c r="Y344" s="4">
        <f t="shared" si="39"/>
        <v>0</v>
      </c>
      <c r="Z344" s="4">
        <f>_xlfn.IFNA(INDEX(additional_mortgage_payments[],MATCH(monthly_mortgage_schedule[[#This Row],[Month]],additional_mortgage_payments[Month],0),3),0)</f>
        <v>0</v>
      </c>
      <c r="AA344" s="4">
        <f>AA343+monthly_mortgage_schedule[[#This Row],[Extra Payments Towards Equity]]</f>
        <v>39250</v>
      </c>
      <c r="AB344" s="4">
        <f>AB343+monthly_mortgage_schedule[[#This Row],[Principal With Extra Principal Payments]]+monthly_mortgage_schedule[[#This Row],[Extra Payments Towards Equity]]</f>
        <v>542995.30794004421</v>
      </c>
      <c r="AC344" s="4">
        <f>monthly_mortgage_schedule[[#This Row],[Cumulative Principal With Extra Principal Payments]]+down_payment_dollars</f>
        <v>602995.30794004421</v>
      </c>
      <c r="AD344" s="200">
        <f t="shared" si="36"/>
        <v>0</v>
      </c>
      <c r="AE34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44" s="187">
        <f t="shared" si="42"/>
        <v>97255.102465833028</v>
      </c>
      <c r="AG344" s="4">
        <f>IF(monthly_mortgage_schedule[[#This Row],[Loan Balance (BOY) Without Extra Principal Payments]]&gt;0,monthly_mortgage_schedule[[#This Row],[Loan Balance (BOY) Without Extra Principal Payments]]*monthly_interest_rate,0)</f>
        <v>453.85714484055416</v>
      </c>
      <c r="AH344" s="4">
        <f>IF(monthly_mortgage_schedule[[#This Row],[Loan Balance (BOY) Without Extra Principal Payments]]&gt;1,monthly_principal_and_interest-monthly_mortgage_schedule[[#This Row],[Interest Without Extra Principal Payments]],0)</f>
        <v>2646.1693506228539</v>
      </c>
      <c r="AI344" s="4">
        <f>AI343+monthly_mortgage_schedule[[#This Row],[Principal Without Extra Principal Payments]]</f>
        <v>445391.06688479002</v>
      </c>
      <c r="AJ344" s="4">
        <f>monthly_mortgage_schedule[[#This Row],[Cumulative Principal Without Extra Principal Payments]]+down_payment_dollars</f>
        <v>505391.06688479002</v>
      </c>
      <c r="AK344" s="200">
        <f t="shared" si="37"/>
        <v>0</v>
      </c>
      <c r="AL34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94608.93311521018</v>
      </c>
      <c r="AN344" s="196">
        <f>monthly_mortgage_schedule[[#This Row],[Extra Payments Towards Equity]]+AN343+IF(monthly_mortgage_schedule[[#This Row],[Interest With Extra Principal Payments]]&gt;0,monthly_mortgage_schedule[[#This Row],[Interest Without Extra Principal Payments]]-monthly_mortgage_schedule[[#This Row],[Interest With Extra Principal Payments]],0)</f>
        <v>100250.41040587741</v>
      </c>
      <c r="AO344" s="4">
        <f>AO343+IF(monthly_mortgage_schedule[[#This Row],[Interest With Extra Principal Payments]]&gt;0,monthly_mortgage_schedule[[#This Row],[Interest Without Extra Principal Payments]]-monthly_mortgage_schedule[[#This Row],[Interest With Extra Principal Payments]],0)</f>
        <v>61000.410405877403</v>
      </c>
      <c r="AP344" s="4">
        <f>AP343+monthly_mortgage_schedule[[#This Row],[PMI Without Extra Principal Payments]]-monthly_mortgage_schedule[[#This Row],[PMI with Additional Payments]]</f>
        <v>990</v>
      </c>
      <c r="AQ344" s="4">
        <f t="shared" si="40"/>
        <v>156207.1872987012</v>
      </c>
      <c r="AR344" s="4">
        <f>Table60[[#This Row],[Cumulative Investments]]-monthly_mortgage_schedule[[#This Row],[Cumulative Extra Payments Towards Equity]]</f>
        <v>116957.1872987012</v>
      </c>
    </row>
    <row r="345" spans="9:44" x14ac:dyDescent="0.25">
      <c r="I345">
        <v>328</v>
      </c>
      <c r="J345">
        <f>IF(MOD(ROWS($J$18:J344),12)=0,J344+1,J344)</f>
        <v>2049</v>
      </c>
      <c r="K345" s="198">
        <f>IF(M345="#N/A",NA(),monthly_mortgage_schedule[[#This Row],[Month]])</f>
        <v>328</v>
      </c>
      <c r="L345" s="198">
        <f>IF(monthly_mortgage_schedule[[#This Row],[Calendar Year]]&gt;=$C$7,monthly_mortgage_schedule[[#This Row],[Calendar Year]],NA())</f>
        <v>2049</v>
      </c>
      <c r="M345" s="199">
        <f>IF((monthly_mortgage_schedule[[#This Row],[Calendar Year]]&gt;=$C$7)*(monthly_mortgage_schedule[[#This Row],[Calendar Year]]&lt;=$C$9),monthly_mortgage_schedule[[#This Row],[Begin Year (Range)]],NA())</f>
        <v>2049</v>
      </c>
      <c r="N345" s="214">
        <f>IF((monthly_mortgage_schedule[[#This Row],[Year (Range)]]&gt;=$C$7)*(monthly_mortgage_schedule[[#This Row],[Year (Range)]]&lt;=$C$9),X345,NA())</f>
        <v>0</v>
      </c>
      <c r="O345" s="214">
        <f>IF((monthly_mortgage_schedule[[#This Row],[Year (Range)]]&gt;=$C$7)*(monthly_mortgage_schedule[[#This Row],[Year (Range)]]&lt;=$C$9),Y345,NA())</f>
        <v>0</v>
      </c>
      <c r="P345" s="214">
        <f>IF((monthly_mortgage_schedule[[#This Row],[Year (Range)]]&gt;=$C$7)*(monthly_mortgage_schedule[[#This Row],[Year (Range)]]&lt;=$C$9),AG345,NA())</f>
        <v>441.50835453764756</v>
      </c>
      <c r="Q345" s="214">
        <f>IF((monthly_mortgage_schedule[[#This Row],[Year (Range)]]&gt;=$C$7)*(monthly_mortgage_schedule[[#This Row],[Year (Range)]]&lt;=$C$9),AH345,NA())</f>
        <v>2658.5181409257607</v>
      </c>
      <c r="R345" s="214">
        <f>IF((monthly_mortgage_schedule[[#This Row],[Year (Range)]]&gt;=$C$7)*(monthly_mortgage_schedule[[#This Row],[Year (Range)]]&lt;=$C$9),AO345,NA())</f>
        <v>61000.410405877403</v>
      </c>
      <c r="S345" s="214">
        <f>IF((monthly_mortgage_schedule[[#This Row],[Year (Range)]]&gt;=$C$7)*(monthly_mortgage_schedule[[#This Row],[Year (Range)]]&lt;=$C$9),AP345,NA())</f>
        <v>990</v>
      </c>
      <c r="T345" s="214">
        <f>IF((monthly_mortgage_schedule[[#This Row],[Year (Range)]]&gt;=$C$7)*(monthly_mortgage_schedule[[#This Row],[Year (Range)]]&lt;=$C$9),AR345,NA())</f>
        <v>117998.5685473592</v>
      </c>
      <c r="U345" s="214">
        <f>IF((monthly_mortgage_schedule[[#This Row],[Year (Range)]]&gt;=$C$7)*(monthly_mortgage_schedule[[#This Row],[Year (Range)]]&lt;=$C$9),AB345,NA())</f>
        <v>542995.30794004421</v>
      </c>
      <c r="V345" s="214">
        <f>IF((monthly_mortgage_schedule[[#This Row],[Year (Range)]]&gt;=$C$7)*(monthly_mortgage_schedule[[#This Row],[Year (Range)]]&lt;=$C$9),AI345,NA())</f>
        <v>448049.58502571576</v>
      </c>
      <c r="W345" s="187">
        <f t="shared" si="38"/>
        <v>0</v>
      </c>
      <c r="X345" s="4">
        <f t="shared" si="41"/>
        <v>0</v>
      </c>
      <c r="Y345" s="4">
        <f t="shared" si="39"/>
        <v>0</v>
      </c>
      <c r="Z345" s="4">
        <f>_xlfn.IFNA(INDEX(additional_mortgage_payments[],MATCH(monthly_mortgage_schedule[[#This Row],[Month]],additional_mortgage_payments[Month],0),3),0)</f>
        <v>0</v>
      </c>
      <c r="AA345" s="4">
        <f>AA344+monthly_mortgage_schedule[[#This Row],[Extra Payments Towards Equity]]</f>
        <v>39250</v>
      </c>
      <c r="AB345" s="4">
        <f>AB344+monthly_mortgage_schedule[[#This Row],[Principal With Extra Principal Payments]]+monthly_mortgage_schedule[[#This Row],[Extra Payments Towards Equity]]</f>
        <v>542995.30794004421</v>
      </c>
      <c r="AC345" s="4">
        <f>monthly_mortgage_schedule[[#This Row],[Cumulative Principal With Extra Principal Payments]]+down_payment_dollars</f>
        <v>602995.30794004421</v>
      </c>
      <c r="AD345" s="200">
        <f t="shared" si="36"/>
        <v>0</v>
      </c>
      <c r="AE34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45" s="187">
        <f t="shared" si="42"/>
        <v>94608.93311521018</v>
      </c>
      <c r="AG345" s="4">
        <f>IF(monthly_mortgage_schedule[[#This Row],[Loan Balance (BOY) Without Extra Principal Payments]]&gt;0,monthly_mortgage_schedule[[#This Row],[Loan Balance (BOY) Without Extra Principal Payments]]*monthly_interest_rate,0)</f>
        <v>441.50835453764756</v>
      </c>
      <c r="AH345" s="4">
        <f>IF(monthly_mortgage_schedule[[#This Row],[Loan Balance (BOY) Without Extra Principal Payments]]&gt;1,monthly_principal_and_interest-monthly_mortgage_schedule[[#This Row],[Interest Without Extra Principal Payments]],0)</f>
        <v>2658.5181409257607</v>
      </c>
      <c r="AI345" s="4">
        <f>AI344+monthly_mortgage_schedule[[#This Row],[Principal Without Extra Principal Payments]]</f>
        <v>448049.58502571576</v>
      </c>
      <c r="AJ345" s="4">
        <f>monthly_mortgage_schedule[[#This Row],[Cumulative Principal Without Extra Principal Payments]]+down_payment_dollars</f>
        <v>508049.58502571576</v>
      </c>
      <c r="AK345" s="200">
        <f t="shared" si="37"/>
        <v>0</v>
      </c>
      <c r="AL34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91950.414974284417</v>
      </c>
      <c r="AN345" s="196">
        <f>monthly_mortgage_schedule[[#This Row],[Extra Payments Towards Equity]]+AN344+IF(monthly_mortgage_schedule[[#This Row],[Interest With Extra Principal Payments]]&gt;0,monthly_mortgage_schedule[[#This Row],[Interest Without Extra Principal Payments]]-monthly_mortgage_schedule[[#This Row],[Interest With Extra Principal Payments]],0)</f>
        <v>100250.41040587741</v>
      </c>
      <c r="AO345" s="4">
        <f>AO344+IF(monthly_mortgage_schedule[[#This Row],[Interest With Extra Principal Payments]]&gt;0,monthly_mortgage_schedule[[#This Row],[Interest Without Extra Principal Payments]]-monthly_mortgage_schedule[[#This Row],[Interest With Extra Principal Payments]],0)</f>
        <v>61000.410405877403</v>
      </c>
      <c r="AP345" s="4">
        <f>AP344+monthly_mortgage_schedule[[#This Row],[PMI Without Extra Principal Payments]]-monthly_mortgage_schedule[[#This Row],[PMI with Additional Payments]]</f>
        <v>990</v>
      </c>
      <c r="AQ345" s="4">
        <f t="shared" si="40"/>
        <v>157248.5685473592</v>
      </c>
      <c r="AR345" s="4">
        <f>Table60[[#This Row],[Cumulative Investments]]-monthly_mortgage_schedule[[#This Row],[Cumulative Extra Payments Towards Equity]]</f>
        <v>117998.5685473592</v>
      </c>
    </row>
    <row r="346" spans="9:44" x14ac:dyDescent="0.25">
      <c r="I346">
        <v>329</v>
      </c>
      <c r="J346">
        <f>IF(MOD(ROWS($J$18:J345),12)=0,J345+1,J345)</f>
        <v>2049</v>
      </c>
      <c r="K346" s="198">
        <f>IF(M346="#N/A",NA(),monthly_mortgage_schedule[[#This Row],[Month]])</f>
        <v>329</v>
      </c>
      <c r="L346" s="198">
        <f>IF(monthly_mortgage_schedule[[#This Row],[Calendar Year]]&gt;=$C$7,monthly_mortgage_schedule[[#This Row],[Calendar Year]],NA())</f>
        <v>2049</v>
      </c>
      <c r="M346" s="199">
        <f>IF((monthly_mortgage_schedule[[#This Row],[Calendar Year]]&gt;=$C$7)*(monthly_mortgage_schedule[[#This Row],[Calendar Year]]&lt;=$C$9),monthly_mortgage_schedule[[#This Row],[Begin Year (Range)]],NA())</f>
        <v>2049</v>
      </c>
      <c r="N346" s="214">
        <f>IF((monthly_mortgage_schedule[[#This Row],[Year (Range)]]&gt;=$C$7)*(monthly_mortgage_schedule[[#This Row],[Year (Range)]]&lt;=$C$9),X346,NA())</f>
        <v>0</v>
      </c>
      <c r="O346" s="214">
        <f>IF((monthly_mortgage_schedule[[#This Row],[Year (Range)]]&gt;=$C$7)*(monthly_mortgage_schedule[[#This Row],[Year (Range)]]&lt;=$C$9),Y346,NA())</f>
        <v>0</v>
      </c>
      <c r="P346" s="214">
        <f>IF((monthly_mortgage_schedule[[#This Row],[Year (Range)]]&gt;=$C$7)*(monthly_mortgage_schedule[[#This Row],[Year (Range)]]&lt;=$C$9),AG346,NA())</f>
        <v>429.10193654666062</v>
      </c>
      <c r="Q346" s="214">
        <f>IF((monthly_mortgage_schedule[[#This Row],[Year (Range)]]&gt;=$C$7)*(monthly_mortgage_schedule[[#This Row],[Year (Range)]]&lt;=$C$9),AH346,NA())</f>
        <v>2670.9245589167476</v>
      </c>
      <c r="R346" s="214">
        <f>IF((monthly_mortgage_schedule[[#This Row],[Year (Range)]]&gt;=$C$7)*(monthly_mortgage_schedule[[#This Row],[Year (Range)]]&lt;=$C$9),AO346,NA())</f>
        <v>61000.410405877403</v>
      </c>
      <c r="S346" s="214">
        <f>IF((monthly_mortgage_schedule[[#This Row],[Year (Range)]]&gt;=$C$7)*(monthly_mortgage_schedule[[#This Row],[Year (Range)]]&lt;=$C$9),AP346,NA())</f>
        <v>990</v>
      </c>
      <c r="T346" s="214">
        <f>IF((monthly_mortgage_schedule[[#This Row],[Year (Range)]]&gt;=$C$7)*(monthly_mortgage_schedule[[#This Row],[Year (Range)]]&lt;=$C$9),AR346,NA())</f>
        <v>119046.89233767492</v>
      </c>
      <c r="U346" s="214">
        <f>IF((monthly_mortgage_schedule[[#This Row],[Year (Range)]]&gt;=$C$7)*(monthly_mortgage_schedule[[#This Row],[Year (Range)]]&lt;=$C$9),AB346,NA())</f>
        <v>542995.30794004421</v>
      </c>
      <c r="V346" s="214">
        <f>IF((monthly_mortgage_schedule[[#This Row],[Year (Range)]]&gt;=$C$7)*(monthly_mortgage_schedule[[#This Row],[Year (Range)]]&lt;=$C$9),AI346,NA())</f>
        <v>450720.50958463253</v>
      </c>
      <c r="W346" s="187">
        <f t="shared" si="38"/>
        <v>0</v>
      </c>
      <c r="X346" s="4">
        <f t="shared" si="41"/>
        <v>0</v>
      </c>
      <c r="Y346" s="4">
        <f t="shared" si="39"/>
        <v>0</v>
      </c>
      <c r="Z346" s="4">
        <f>_xlfn.IFNA(INDEX(additional_mortgage_payments[],MATCH(monthly_mortgage_schedule[[#This Row],[Month]],additional_mortgage_payments[Month],0),3),0)</f>
        <v>0</v>
      </c>
      <c r="AA346" s="4">
        <f>AA345+monthly_mortgage_schedule[[#This Row],[Extra Payments Towards Equity]]</f>
        <v>39250</v>
      </c>
      <c r="AB346" s="4">
        <f>AB345+monthly_mortgage_schedule[[#This Row],[Principal With Extra Principal Payments]]+monthly_mortgage_schedule[[#This Row],[Extra Payments Towards Equity]]</f>
        <v>542995.30794004421</v>
      </c>
      <c r="AC346" s="4">
        <f>monthly_mortgage_schedule[[#This Row],[Cumulative Principal With Extra Principal Payments]]+down_payment_dollars</f>
        <v>602995.30794004421</v>
      </c>
      <c r="AD346" s="200">
        <f t="shared" si="36"/>
        <v>0</v>
      </c>
      <c r="AE34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46" s="187">
        <f t="shared" si="42"/>
        <v>91950.414974284417</v>
      </c>
      <c r="AG346" s="4">
        <f>IF(monthly_mortgage_schedule[[#This Row],[Loan Balance (BOY) Without Extra Principal Payments]]&gt;0,monthly_mortgage_schedule[[#This Row],[Loan Balance (BOY) Without Extra Principal Payments]]*monthly_interest_rate,0)</f>
        <v>429.10193654666062</v>
      </c>
      <c r="AH346" s="4">
        <f>IF(monthly_mortgage_schedule[[#This Row],[Loan Balance (BOY) Without Extra Principal Payments]]&gt;1,monthly_principal_and_interest-monthly_mortgage_schedule[[#This Row],[Interest Without Extra Principal Payments]],0)</f>
        <v>2670.9245589167476</v>
      </c>
      <c r="AI346" s="4">
        <f>AI345+monthly_mortgage_schedule[[#This Row],[Principal Without Extra Principal Payments]]</f>
        <v>450720.50958463253</v>
      </c>
      <c r="AJ346" s="4">
        <f>monthly_mortgage_schedule[[#This Row],[Cumulative Principal Without Extra Principal Payments]]+down_payment_dollars</f>
        <v>510720.50958463253</v>
      </c>
      <c r="AK346" s="200">
        <f t="shared" si="37"/>
        <v>0</v>
      </c>
      <c r="AL34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89279.490415367676</v>
      </c>
      <c r="AN346" s="196">
        <f>monthly_mortgage_schedule[[#This Row],[Extra Payments Towards Equity]]+AN345+IF(monthly_mortgage_schedule[[#This Row],[Interest With Extra Principal Payments]]&gt;0,monthly_mortgage_schedule[[#This Row],[Interest Without Extra Principal Payments]]-monthly_mortgage_schedule[[#This Row],[Interest With Extra Principal Payments]],0)</f>
        <v>100250.41040587741</v>
      </c>
      <c r="AO346" s="4">
        <f>AO345+IF(monthly_mortgage_schedule[[#This Row],[Interest With Extra Principal Payments]]&gt;0,monthly_mortgage_schedule[[#This Row],[Interest Without Extra Principal Payments]]-monthly_mortgage_schedule[[#This Row],[Interest With Extra Principal Payments]],0)</f>
        <v>61000.410405877403</v>
      </c>
      <c r="AP346" s="4">
        <f>AP345+monthly_mortgage_schedule[[#This Row],[PMI Without Extra Principal Payments]]-monthly_mortgage_schedule[[#This Row],[PMI with Additional Payments]]</f>
        <v>990</v>
      </c>
      <c r="AQ346" s="4">
        <f t="shared" si="40"/>
        <v>158296.89233767492</v>
      </c>
      <c r="AR346" s="4">
        <f>Table60[[#This Row],[Cumulative Investments]]-monthly_mortgage_schedule[[#This Row],[Cumulative Extra Payments Towards Equity]]</f>
        <v>119046.89233767492</v>
      </c>
    </row>
    <row r="347" spans="9:44" x14ac:dyDescent="0.25">
      <c r="I347">
        <v>330</v>
      </c>
      <c r="J347">
        <f>IF(MOD(ROWS($J$18:J346),12)=0,J346+1,J346)</f>
        <v>2049</v>
      </c>
      <c r="K347" s="198">
        <f>IF(M347="#N/A",NA(),monthly_mortgage_schedule[[#This Row],[Month]])</f>
        <v>330</v>
      </c>
      <c r="L347" s="198">
        <f>IF(monthly_mortgage_schedule[[#This Row],[Calendar Year]]&gt;=$C$7,monthly_mortgage_schedule[[#This Row],[Calendar Year]],NA())</f>
        <v>2049</v>
      </c>
      <c r="M347" s="199">
        <f>IF((monthly_mortgage_schedule[[#This Row],[Calendar Year]]&gt;=$C$7)*(monthly_mortgage_schedule[[#This Row],[Calendar Year]]&lt;=$C$9),monthly_mortgage_schedule[[#This Row],[Begin Year (Range)]],NA())</f>
        <v>2049</v>
      </c>
      <c r="N347" s="214">
        <f>IF((monthly_mortgage_schedule[[#This Row],[Year (Range)]]&gt;=$C$7)*(monthly_mortgage_schedule[[#This Row],[Year (Range)]]&lt;=$C$9),X347,NA())</f>
        <v>0</v>
      </c>
      <c r="O347" s="214">
        <f>IF((monthly_mortgage_schedule[[#This Row],[Year (Range)]]&gt;=$C$7)*(monthly_mortgage_schedule[[#This Row],[Year (Range)]]&lt;=$C$9),Y347,NA())</f>
        <v>0</v>
      </c>
      <c r="P347" s="214">
        <f>IF((monthly_mortgage_schedule[[#This Row],[Year (Range)]]&gt;=$C$7)*(monthly_mortgage_schedule[[#This Row],[Year (Range)]]&lt;=$C$9),AG347,NA())</f>
        <v>416.63762193838255</v>
      </c>
      <c r="Q347" s="214">
        <f>IF((monthly_mortgage_schedule[[#This Row],[Year (Range)]]&gt;=$C$7)*(monthly_mortgage_schedule[[#This Row],[Year (Range)]]&lt;=$C$9),AH347,NA())</f>
        <v>2683.3888735250257</v>
      </c>
      <c r="R347" s="214">
        <f>IF((monthly_mortgage_schedule[[#This Row],[Year (Range)]]&gt;=$C$7)*(monthly_mortgage_schedule[[#This Row],[Year (Range)]]&lt;=$C$9),AO347,NA())</f>
        <v>61000.410405877403</v>
      </c>
      <c r="S347" s="214">
        <f>IF((monthly_mortgage_schedule[[#This Row],[Year (Range)]]&gt;=$C$7)*(monthly_mortgage_schedule[[#This Row],[Year (Range)]]&lt;=$C$9),AP347,NA())</f>
        <v>990</v>
      </c>
      <c r="T347" s="214">
        <f>IF((monthly_mortgage_schedule[[#This Row],[Year (Range)]]&gt;=$C$7)*(monthly_mortgage_schedule[[#This Row],[Year (Range)]]&lt;=$C$9),AR347,NA())</f>
        <v>120102.20495325941</v>
      </c>
      <c r="U347" s="214">
        <f>IF((monthly_mortgage_schedule[[#This Row],[Year (Range)]]&gt;=$C$7)*(monthly_mortgage_schedule[[#This Row],[Year (Range)]]&lt;=$C$9),AB347,NA())</f>
        <v>542995.30794004421</v>
      </c>
      <c r="V347" s="214">
        <f>IF((monthly_mortgage_schedule[[#This Row],[Year (Range)]]&gt;=$C$7)*(monthly_mortgage_schedule[[#This Row],[Year (Range)]]&lt;=$C$9),AI347,NA())</f>
        <v>453403.89845815755</v>
      </c>
      <c r="W347" s="187">
        <f t="shared" si="38"/>
        <v>0</v>
      </c>
      <c r="X347" s="4">
        <f t="shared" si="41"/>
        <v>0</v>
      </c>
      <c r="Y347" s="4">
        <f t="shared" si="39"/>
        <v>0</v>
      </c>
      <c r="Z347" s="4">
        <f>_xlfn.IFNA(INDEX(additional_mortgage_payments[],MATCH(monthly_mortgage_schedule[[#This Row],[Month]],additional_mortgage_payments[Month],0),3),0)</f>
        <v>0</v>
      </c>
      <c r="AA347" s="4">
        <f>AA346+monthly_mortgage_schedule[[#This Row],[Extra Payments Towards Equity]]</f>
        <v>39250</v>
      </c>
      <c r="AB347" s="4">
        <f>AB346+monthly_mortgage_schedule[[#This Row],[Principal With Extra Principal Payments]]+monthly_mortgage_schedule[[#This Row],[Extra Payments Towards Equity]]</f>
        <v>542995.30794004421</v>
      </c>
      <c r="AC347" s="4">
        <f>monthly_mortgage_schedule[[#This Row],[Cumulative Principal With Extra Principal Payments]]+down_payment_dollars</f>
        <v>602995.30794004421</v>
      </c>
      <c r="AD347" s="200">
        <f t="shared" si="36"/>
        <v>0</v>
      </c>
      <c r="AE34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47" s="187">
        <f t="shared" si="42"/>
        <v>89279.490415367676</v>
      </c>
      <c r="AG347" s="4">
        <f>IF(monthly_mortgage_schedule[[#This Row],[Loan Balance (BOY) Without Extra Principal Payments]]&gt;0,monthly_mortgage_schedule[[#This Row],[Loan Balance (BOY) Without Extra Principal Payments]]*monthly_interest_rate,0)</f>
        <v>416.63762193838255</v>
      </c>
      <c r="AH347" s="4">
        <f>IF(monthly_mortgage_schedule[[#This Row],[Loan Balance (BOY) Without Extra Principal Payments]]&gt;1,monthly_principal_and_interest-monthly_mortgage_schedule[[#This Row],[Interest Without Extra Principal Payments]],0)</f>
        <v>2683.3888735250257</v>
      </c>
      <c r="AI347" s="4">
        <f>AI346+monthly_mortgage_schedule[[#This Row],[Principal Without Extra Principal Payments]]</f>
        <v>453403.89845815755</v>
      </c>
      <c r="AJ347" s="4">
        <f>monthly_mortgage_schedule[[#This Row],[Cumulative Principal Without Extra Principal Payments]]+down_payment_dollars</f>
        <v>513403.89845815755</v>
      </c>
      <c r="AK347" s="200">
        <f t="shared" si="37"/>
        <v>0</v>
      </c>
      <c r="AL34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86596.101541842654</v>
      </c>
      <c r="AN347" s="196">
        <f>monthly_mortgage_schedule[[#This Row],[Extra Payments Towards Equity]]+AN346+IF(monthly_mortgage_schedule[[#This Row],[Interest With Extra Principal Payments]]&gt;0,monthly_mortgage_schedule[[#This Row],[Interest Without Extra Principal Payments]]-monthly_mortgage_schedule[[#This Row],[Interest With Extra Principal Payments]],0)</f>
        <v>100250.41040587741</v>
      </c>
      <c r="AO347" s="4">
        <f>AO346+IF(monthly_mortgage_schedule[[#This Row],[Interest With Extra Principal Payments]]&gt;0,monthly_mortgage_schedule[[#This Row],[Interest Without Extra Principal Payments]]-monthly_mortgage_schedule[[#This Row],[Interest With Extra Principal Payments]],0)</f>
        <v>61000.410405877403</v>
      </c>
      <c r="AP347" s="4">
        <f>AP346+monthly_mortgage_schedule[[#This Row],[PMI Without Extra Principal Payments]]-monthly_mortgage_schedule[[#This Row],[PMI with Additional Payments]]</f>
        <v>990</v>
      </c>
      <c r="AQ347" s="4">
        <f t="shared" si="40"/>
        <v>159352.20495325941</v>
      </c>
      <c r="AR347" s="4">
        <f>Table60[[#This Row],[Cumulative Investments]]-monthly_mortgage_schedule[[#This Row],[Cumulative Extra Payments Towards Equity]]</f>
        <v>120102.20495325941</v>
      </c>
    </row>
    <row r="348" spans="9:44" x14ac:dyDescent="0.25">
      <c r="I348">
        <v>331</v>
      </c>
      <c r="J348">
        <f>IF(MOD(ROWS($J$18:J347),12)=0,J347+1,J347)</f>
        <v>2049</v>
      </c>
      <c r="K348" s="198">
        <f>IF(M348="#N/A",NA(),monthly_mortgage_schedule[[#This Row],[Month]])</f>
        <v>331</v>
      </c>
      <c r="L348" s="198">
        <f>IF(monthly_mortgage_schedule[[#This Row],[Calendar Year]]&gt;=$C$7,monthly_mortgage_schedule[[#This Row],[Calendar Year]],NA())</f>
        <v>2049</v>
      </c>
      <c r="M348" s="199">
        <f>IF((monthly_mortgage_schedule[[#This Row],[Calendar Year]]&gt;=$C$7)*(monthly_mortgage_schedule[[#This Row],[Calendar Year]]&lt;=$C$9),monthly_mortgage_schedule[[#This Row],[Begin Year (Range)]],NA())</f>
        <v>2049</v>
      </c>
      <c r="N348" s="214">
        <f>IF((monthly_mortgage_schedule[[#This Row],[Year (Range)]]&gt;=$C$7)*(monthly_mortgage_schedule[[#This Row],[Year (Range)]]&lt;=$C$9),X348,NA())</f>
        <v>0</v>
      </c>
      <c r="O348" s="214">
        <f>IF((monthly_mortgage_schedule[[#This Row],[Year (Range)]]&gt;=$C$7)*(monthly_mortgage_schedule[[#This Row],[Year (Range)]]&lt;=$C$9),Y348,NA())</f>
        <v>0</v>
      </c>
      <c r="P348" s="214">
        <f>IF((monthly_mortgage_schedule[[#This Row],[Year (Range)]]&gt;=$C$7)*(monthly_mortgage_schedule[[#This Row],[Year (Range)]]&lt;=$C$9),AG348,NA())</f>
        <v>404.11514052859911</v>
      </c>
      <c r="Q348" s="214">
        <f>IF((monthly_mortgage_schedule[[#This Row],[Year (Range)]]&gt;=$C$7)*(monthly_mortgage_schedule[[#This Row],[Year (Range)]]&lt;=$C$9),AH348,NA())</f>
        <v>2695.911354934809</v>
      </c>
      <c r="R348" s="214">
        <f>IF((monthly_mortgage_schedule[[#This Row],[Year (Range)]]&gt;=$C$7)*(monthly_mortgage_schedule[[#This Row],[Year (Range)]]&lt;=$C$9),AO348,NA())</f>
        <v>61000.410405877403</v>
      </c>
      <c r="S348" s="214">
        <f>IF((monthly_mortgage_schedule[[#This Row],[Year (Range)]]&gt;=$C$7)*(monthly_mortgage_schedule[[#This Row],[Year (Range)]]&lt;=$C$9),AP348,NA())</f>
        <v>990</v>
      </c>
      <c r="T348" s="214">
        <f>IF((monthly_mortgage_schedule[[#This Row],[Year (Range)]]&gt;=$C$7)*(monthly_mortgage_schedule[[#This Row],[Year (Range)]]&lt;=$C$9),AR348,NA())</f>
        <v>121164.55298628114</v>
      </c>
      <c r="U348" s="214">
        <f>IF((monthly_mortgage_schedule[[#This Row],[Year (Range)]]&gt;=$C$7)*(monthly_mortgage_schedule[[#This Row],[Year (Range)]]&lt;=$C$9),AB348,NA())</f>
        <v>542995.30794004421</v>
      </c>
      <c r="V348" s="214">
        <f>IF((monthly_mortgage_schedule[[#This Row],[Year (Range)]]&gt;=$C$7)*(monthly_mortgage_schedule[[#This Row],[Year (Range)]]&lt;=$C$9),AI348,NA())</f>
        <v>456099.80981309235</v>
      </c>
      <c r="W348" s="187">
        <f t="shared" si="38"/>
        <v>0</v>
      </c>
      <c r="X348" s="4">
        <f t="shared" si="41"/>
        <v>0</v>
      </c>
      <c r="Y348" s="4">
        <f t="shared" si="39"/>
        <v>0</v>
      </c>
      <c r="Z348" s="4">
        <f>_xlfn.IFNA(INDEX(additional_mortgage_payments[],MATCH(monthly_mortgage_schedule[[#This Row],[Month]],additional_mortgage_payments[Month],0),3),0)</f>
        <v>0</v>
      </c>
      <c r="AA348" s="4">
        <f>AA347+monthly_mortgage_schedule[[#This Row],[Extra Payments Towards Equity]]</f>
        <v>39250</v>
      </c>
      <c r="AB348" s="4">
        <f>AB347+monthly_mortgage_schedule[[#This Row],[Principal With Extra Principal Payments]]+monthly_mortgage_schedule[[#This Row],[Extra Payments Towards Equity]]</f>
        <v>542995.30794004421</v>
      </c>
      <c r="AC348" s="4">
        <f>monthly_mortgage_schedule[[#This Row],[Cumulative Principal With Extra Principal Payments]]+down_payment_dollars</f>
        <v>602995.30794004421</v>
      </c>
      <c r="AD348" s="200">
        <f t="shared" si="36"/>
        <v>0</v>
      </c>
      <c r="AE34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48" s="187">
        <f t="shared" si="42"/>
        <v>86596.101541842654</v>
      </c>
      <c r="AG348" s="4">
        <f>IF(monthly_mortgage_schedule[[#This Row],[Loan Balance (BOY) Without Extra Principal Payments]]&gt;0,monthly_mortgage_schedule[[#This Row],[Loan Balance (BOY) Without Extra Principal Payments]]*monthly_interest_rate,0)</f>
        <v>404.11514052859911</v>
      </c>
      <c r="AH348" s="4">
        <f>IF(monthly_mortgage_schedule[[#This Row],[Loan Balance (BOY) Without Extra Principal Payments]]&gt;1,monthly_principal_and_interest-monthly_mortgage_schedule[[#This Row],[Interest Without Extra Principal Payments]],0)</f>
        <v>2695.911354934809</v>
      </c>
      <c r="AI348" s="4">
        <f>AI347+monthly_mortgage_schedule[[#This Row],[Principal Without Extra Principal Payments]]</f>
        <v>456099.80981309235</v>
      </c>
      <c r="AJ348" s="4">
        <f>monthly_mortgage_schedule[[#This Row],[Cumulative Principal Without Extra Principal Payments]]+down_payment_dollars</f>
        <v>516099.80981309235</v>
      </c>
      <c r="AK348" s="200">
        <f t="shared" si="37"/>
        <v>0</v>
      </c>
      <c r="AL34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83900.190186907843</v>
      </c>
      <c r="AN348" s="196">
        <f>monthly_mortgage_schedule[[#This Row],[Extra Payments Towards Equity]]+AN347+IF(monthly_mortgage_schedule[[#This Row],[Interest With Extra Principal Payments]]&gt;0,monthly_mortgage_schedule[[#This Row],[Interest Without Extra Principal Payments]]-monthly_mortgage_schedule[[#This Row],[Interest With Extra Principal Payments]],0)</f>
        <v>100250.41040587741</v>
      </c>
      <c r="AO348" s="4">
        <f>AO347+IF(monthly_mortgage_schedule[[#This Row],[Interest With Extra Principal Payments]]&gt;0,monthly_mortgage_schedule[[#This Row],[Interest Without Extra Principal Payments]]-monthly_mortgage_schedule[[#This Row],[Interest With Extra Principal Payments]],0)</f>
        <v>61000.410405877403</v>
      </c>
      <c r="AP348" s="4">
        <f>AP347+monthly_mortgage_schedule[[#This Row],[PMI Without Extra Principal Payments]]-monthly_mortgage_schedule[[#This Row],[PMI with Additional Payments]]</f>
        <v>990</v>
      </c>
      <c r="AQ348" s="4">
        <f t="shared" si="40"/>
        <v>160414.55298628114</v>
      </c>
      <c r="AR348" s="4">
        <f>Table60[[#This Row],[Cumulative Investments]]-monthly_mortgage_schedule[[#This Row],[Cumulative Extra Payments Towards Equity]]</f>
        <v>121164.55298628114</v>
      </c>
    </row>
    <row r="349" spans="9:44" x14ac:dyDescent="0.25">
      <c r="I349">
        <v>332</v>
      </c>
      <c r="J349">
        <f>IF(MOD(ROWS($J$18:J348),12)=0,J348+1,J348)</f>
        <v>2049</v>
      </c>
      <c r="K349" s="198">
        <f>IF(M349="#N/A",NA(),monthly_mortgage_schedule[[#This Row],[Month]])</f>
        <v>332</v>
      </c>
      <c r="L349" s="198">
        <f>IF(monthly_mortgage_schedule[[#This Row],[Calendar Year]]&gt;=$C$7,monthly_mortgage_schedule[[#This Row],[Calendar Year]],NA())</f>
        <v>2049</v>
      </c>
      <c r="M349" s="199">
        <f>IF((monthly_mortgage_schedule[[#This Row],[Calendar Year]]&gt;=$C$7)*(monthly_mortgage_schedule[[#This Row],[Calendar Year]]&lt;=$C$9),monthly_mortgage_schedule[[#This Row],[Begin Year (Range)]],NA())</f>
        <v>2049</v>
      </c>
      <c r="N349" s="214">
        <f>IF((monthly_mortgage_schedule[[#This Row],[Year (Range)]]&gt;=$C$7)*(monthly_mortgage_schedule[[#This Row],[Year (Range)]]&lt;=$C$9),X349,NA())</f>
        <v>0</v>
      </c>
      <c r="O349" s="214">
        <f>IF((monthly_mortgage_schedule[[#This Row],[Year (Range)]]&gt;=$C$7)*(monthly_mortgage_schedule[[#This Row],[Year (Range)]]&lt;=$C$9),Y349,NA())</f>
        <v>0</v>
      </c>
      <c r="P349" s="214">
        <f>IF((monthly_mortgage_schedule[[#This Row],[Year (Range)]]&gt;=$C$7)*(monthly_mortgage_schedule[[#This Row],[Year (Range)]]&lt;=$C$9),AG349,NA())</f>
        <v>391.53422087223663</v>
      </c>
      <c r="Q349" s="214">
        <f>IF((monthly_mortgage_schedule[[#This Row],[Year (Range)]]&gt;=$C$7)*(monthly_mortgage_schedule[[#This Row],[Year (Range)]]&lt;=$C$9),AH349,NA())</f>
        <v>2708.4922745911713</v>
      </c>
      <c r="R349" s="214">
        <f>IF((monthly_mortgage_schedule[[#This Row],[Year (Range)]]&gt;=$C$7)*(monthly_mortgage_schedule[[#This Row],[Year (Range)]]&lt;=$C$9),AO349,NA())</f>
        <v>61000.410405877403</v>
      </c>
      <c r="S349" s="214">
        <f>IF((monthly_mortgage_schedule[[#This Row],[Year (Range)]]&gt;=$C$7)*(monthly_mortgage_schedule[[#This Row],[Year (Range)]]&lt;=$C$9),AP349,NA())</f>
        <v>990</v>
      </c>
      <c r="T349" s="214">
        <f>IF((monthly_mortgage_schedule[[#This Row],[Year (Range)]]&gt;=$C$7)*(monthly_mortgage_schedule[[#This Row],[Year (Range)]]&lt;=$C$9),AR349,NA())</f>
        <v>122233.98333952299</v>
      </c>
      <c r="U349" s="214">
        <f>IF((monthly_mortgage_schedule[[#This Row],[Year (Range)]]&gt;=$C$7)*(monthly_mortgage_schedule[[#This Row],[Year (Range)]]&lt;=$C$9),AB349,NA())</f>
        <v>542995.30794004421</v>
      </c>
      <c r="V349" s="214">
        <f>IF((monthly_mortgage_schedule[[#This Row],[Year (Range)]]&gt;=$C$7)*(monthly_mortgage_schedule[[#This Row],[Year (Range)]]&lt;=$C$9),AI349,NA())</f>
        <v>458808.30208768352</v>
      </c>
      <c r="W349" s="187">
        <f t="shared" si="38"/>
        <v>0</v>
      </c>
      <c r="X349" s="4">
        <f t="shared" si="41"/>
        <v>0</v>
      </c>
      <c r="Y349" s="4">
        <f t="shared" si="39"/>
        <v>0</v>
      </c>
      <c r="Z349" s="4">
        <f>_xlfn.IFNA(INDEX(additional_mortgage_payments[],MATCH(monthly_mortgage_schedule[[#This Row],[Month]],additional_mortgage_payments[Month],0),3),0)</f>
        <v>0</v>
      </c>
      <c r="AA349" s="4">
        <f>AA348+monthly_mortgage_schedule[[#This Row],[Extra Payments Towards Equity]]</f>
        <v>39250</v>
      </c>
      <c r="AB349" s="4">
        <f>AB348+monthly_mortgage_schedule[[#This Row],[Principal With Extra Principal Payments]]+monthly_mortgage_schedule[[#This Row],[Extra Payments Towards Equity]]</f>
        <v>542995.30794004421</v>
      </c>
      <c r="AC349" s="4">
        <f>monthly_mortgage_schedule[[#This Row],[Cumulative Principal With Extra Principal Payments]]+down_payment_dollars</f>
        <v>602995.30794004421</v>
      </c>
      <c r="AD349" s="200">
        <f t="shared" si="36"/>
        <v>0</v>
      </c>
      <c r="AE34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49" s="187">
        <f t="shared" si="42"/>
        <v>83900.190186907843</v>
      </c>
      <c r="AG349" s="4">
        <f>IF(monthly_mortgage_schedule[[#This Row],[Loan Balance (BOY) Without Extra Principal Payments]]&gt;0,monthly_mortgage_schedule[[#This Row],[Loan Balance (BOY) Without Extra Principal Payments]]*monthly_interest_rate,0)</f>
        <v>391.53422087223663</v>
      </c>
      <c r="AH349" s="4">
        <f>IF(monthly_mortgage_schedule[[#This Row],[Loan Balance (BOY) Without Extra Principal Payments]]&gt;1,monthly_principal_and_interest-monthly_mortgage_schedule[[#This Row],[Interest Without Extra Principal Payments]],0)</f>
        <v>2708.4922745911713</v>
      </c>
      <c r="AI349" s="4">
        <f>AI348+monthly_mortgage_schedule[[#This Row],[Principal Without Extra Principal Payments]]</f>
        <v>458808.30208768352</v>
      </c>
      <c r="AJ349" s="4">
        <f>monthly_mortgage_schedule[[#This Row],[Cumulative Principal Without Extra Principal Payments]]+down_payment_dollars</f>
        <v>518808.30208768352</v>
      </c>
      <c r="AK349" s="200">
        <f t="shared" si="37"/>
        <v>0</v>
      </c>
      <c r="AL34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81191.697912316667</v>
      </c>
      <c r="AN349" s="196">
        <f>monthly_mortgage_schedule[[#This Row],[Extra Payments Towards Equity]]+AN348+IF(monthly_mortgage_schedule[[#This Row],[Interest With Extra Principal Payments]]&gt;0,monthly_mortgage_schedule[[#This Row],[Interest Without Extra Principal Payments]]-monthly_mortgage_schedule[[#This Row],[Interest With Extra Principal Payments]],0)</f>
        <v>100250.41040587741</v>
      </c>
      <c r="AO349" s="4">
        <f>AO348+IF(monthly_mortgage_schedule[[#This Row],[Interest With Extra Principal Payments]]&gt;0,monthly_mortgage_schedule[[#This Row],[Interest Without Extra Principal Payments]]-monthly_mortgage_schedule[[#This Row],[Interest With Extra Principal Payments]],0)</f>
        <v>61000.410405877403</v>
      </c>
      <c r="AP349" s="4">
        <f>AP348+monthly_mortgage_schedule[[#This Row],[PMI Without Extra Principal Payments]]-monthly_mortgage_schedule[[#This Row],[PMI with Additional Payments]]</f>
        <v>990</v>
      </c>
      <c r="AQ349" s="4">
        <f t="shared" si="40"/>
        <v>161483.98333952299</v>
      </c>
      <c r="AR349" s="4">
        <f>Table60[[#This Row],[Cumulative Investments]]-monthly_mortgage_schedule[[#This Row],[Cumulative Extra Payments Towards Equity]]</f>
        <v>122233.98333952299</v>
      </c>
    </row>
    <row r="350" spans="9:44" x14ac:dyDescent="0.25">
      <c r="I350">
        <v>333</v>
      </c>
      <c r="J350">
        <f>IF(MOD(ROWS($J$18:J349),12)=0,J349+1,J349)</f>
        <v>2049</v>
      </c>
      <c r="K350" s="198">
        <f>IF(M350="#N/A",NA(),monthly_mortgage_schedule[[#This Row],[Month]])</f>
        <v>333</v>
      </c>
      <c r="L350" s="198">
        <f>IF(monthly_mortgage_schedule[[#This Row],[Calendar Year]]&gt;=$C$7,monthly_mortgage_schedule[[#This Row],[Calendar Year]],NA())</f>
        <v>2049</v>
      </c>
      <c r="M350" s="199">
        <f>IF((monthly_mortgage_schedule[[#This Row],[Calendar Year]]&gt;=$C$7)*(monthly_mortgage_schedule[[#This Row],[Calendar Year]]&lt;=$C$9),monthly_mortgage_schedule[[#This Row],[Begin Year (Range)]],NA())</f>
        <v>2049</v>
      </c>
      <c r="N350" s="214">
        <f>IF((monthly_mortgage_schedule[[#This Row],[Year (Range)]]&gt;=$C$7)*(monthly_mortgage_schedule[[#This Row],[Year (Range)]]&lt;=$C$9),X350,NA())</f>
        <v>0</v>
      </c>
      <c r="O350" s="214">
        <f>IF((monthly_mortgage_schedule[[#This Row],[Year (Range)]]&gt;=$C$7)*(monthly_mortgage_schedule[[#This Row],[Year (Range)]]&lt;=$C$9),Y350,NA())</f>
        <v>0</v>
      </c>
      <c r="P350" s="214">
        <f>IF((monthly_mortgage_schedule[[#This Row],[Year (Range)]]&gt;=$C$7)*(monthly_mortgage_schedule[[#This Row],[Year (Range)]]&lt;=$C$9),AG350,NA())</f>
        <v>378.89459025747783</v>
      </c>
      <c r="Q350" s="214">
        <f>IF((monthly_mortgage_schedule[[#This Row],[Year (Range)]]&gt;=$C$7)*(monthly_mortgage_schedule[[#This Row],[Year (Range)]]&lt;=$C$9),AH350,NA())</f>
        <v>2721.1319052059303</v>
      </c>
      <c r="R350" s="214">
        <f>IF((monthly_mortgage_schedule[[#This Row],[Year (Range)]]&gt;=$C$7)*(monthly_mortgage_schedule[[#This Row],[Year (Range)]]&lt;=$C$9),AO350,NA())</f>
        <v>61000.410405877403</v>
      </c>
      <c r="S350" s="214">
        <f>IF((monthly_mortgage_schedule[[#This Row],[Year (Range)]]&gt;=$C$7)*(monthly_mortgage_schedule[[#This Row],[Year (Range)]]&lt;=$C$9),AP350,NA())</f>
        <v>990</v>
      </c>
      <c r="T350" s="214">
        <f>IF((monthly_mortgage_schedule[[#This Row],[Year (Range)]]&gt;=$C$7)*(monthly_mortgage_schedule[[#This Row],[Year (Range)]]&lt;=$C$9),AR350,NA())</f>
        <v>123310.54322845314</v>
      </c>
      <c r="U350" s="214">
        <f>IF((monthly_mortgage_schedule[[#This Row],[Year (Range)]]&gt;=$C$7)*(monthly_mortgage_schedule[[#This Row],[Year (Range)]]&lt;=$C$9),AB350,NA())</f>
        <v>542995.30794004421</v>
      </c>
      <c r="V350" s="214">
        <f>IF((monthly_mortgage_schedule[[#This Row],[Year (Range)]]&gt;=$C$7)*(monthly_mortgage_schedule[[#This Row],[Year (Range)]]&lt;=$C$9),AI350,NA())</f>
        <v>461529.43399288948</v>
      </c>
      <c r="W350" s="187">
        <f t="shared" si="38"/>
        <v>0</v>
      </c>
      <c r="X350" s="4">
        <f t="shared" si="41"/>
        <v>0</v>
      </c>
      <c r="Y350" s="4">
        <f t="shared" si="39"/>
        <v>0</v>
      </c>
      <c r="Z350" s="4">
        <f>_xlfn.IFNA(INDEX(additional_mortgage_payments[],MATCH(monthly_mortgage_schedule[[#This Row],[Month]],additional_mortgage_payments[Month],0),3),0)</f>
        <v>0</v>
      </c>
      <c r="AA350" s="4">
        <f>AA349+monthly_mortgage_schedule[[#This Row],[Extra Payments Towards Equity]]</f>
        <v>39250</v>
      </c>
      <c r="AB350" s="4">
        <f>AB349+monthly_mortgage_schedule[[#This Row],[Principal With Extra Principal Payments]]+monthly_mortgage_schedule[[#This Row],[Extra Payments Towards Equity]]</f>
        <v>542995.30794004421</v>
      </c>
      <c r="AC350" s="4">
        <f>monthly_mortgage_schedule[[#This Row],[Cumulative Principal With Extra Principal Payments]]+down_payment_dollars</f>
        <v>602995.30794004421</v>
      </c>
      <c r="AD350" s="200">
        <f t="shared" si="36"/>
        <v>0</v>
      </c>
      <c r="AE35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50" s="187">
        <f t="shared" si="42"/>
        <v>81191.697912316667</v>
      </c>
      <c r="AG350" s="4">
        <f>IF(monthly_mortgage_schedule[[#This Row],[Loan Balance (BOY) Without Extra Principal Payments]]&gt;0,monthly_mortgage_schedule[[#This Row],[Loan Balance (BOY) Without Extra Principal Payments]]*monthly_interest_rate,0)</f>
        <v>378.89459025747783</v>
      </c>
      <c r="AH350" s="4">
        <f>IF(monthly_mortgage_schedule[[#This Row],[Loan Balance (BOY) Without Extra Principal Payments]]&gt;1,monthly_principal_and_interest-monthly_mortgage_schedule[[#This Row],[Interest Without Extra Principal Payments]],0)</f>
        <v>2721.1319052059303</v>
      </c>
      <c r="AI350" s="4">
        <f>AI349+monthly_mortgage_schedule[[#This Row],[Principal Without Extra Principal Payments]]</f>
        <v>461529.43399288948</v>
      </c>
      <c r="AJ350" s="4">
        <f>monthly_mortgage_schedule[[#This Row],[Cumulative Principal Without Extra Principal Payments]]+down_payment_dollars</f>
        <v>521529.43399288948</v>
      </c>
      <c r="AK350" s="200">
        <f t="shared" si="37"/>
        <v>0</v>
      </c>
      <c r="AL35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78470.566007110741</v>
      </c>
      <c r="AN350" s="196">
        <f>monthly_mortgage_schedule[[#This Row],[Extra Payments Towards Equity]]+AN349+IF(monthly_mortgage_schedule[[#This Row],[Interest With Extra Principal Payments]]&gt;0,monthly_mortgage_schedule[[#This Row],[Interest Without Extra Principal Payments]]-monthly_mortgage_schedule[[#This Row],[Interest With Extra Principal Payments]],0)</f>
        <v>100250.41040587741</v>
      </c>
      <c r="AO350" s="4">
        <f>AO349+IF(monthly_mortgage_schedule[[#This Row],[Interest With Extra Principal Payments]]&gt;0,monthly_mortgage_schedule[[#This Row],[Interest Without Extra Principal Payments]]-monthly_mortgage_schedule[[#This Row],[Interest With Extra Principal Payments]],0)</f>
        <v>61000.410405877403</v>
      </c>
      <c r="AP350" s="4">
        <f>AP349+monthly_mortgage_schedule[[#This Row],[PMI Without Extra Principal Payments]]-monthly_mortgage_schedule[[#This Row],[PMI with Additional Payments]]</f>
        <v>990</v>
      </c>
      <c r="AQ350" s="4">
        <f t="shared" si="40"/>
        <v>162560.54322845314</v>
      </c>
      <c r="AR350" s="4">
        <f>Table60[[#This Row],[Cumulative Investments]]-monthly_mortgage_schedule[[#This Row],[Cumulative Extra Payments Towards Equity]]</f>
        <v>123310.54322845314</v>
      </c>
    </row>
    <row r="351" spans="9:44" x14ac:dyDescent="0.25">
      <c r="I351">
        <v>334</v>
      </c>
      <c r="J351">
        <f>IF(MOD(ROWS($J$18:J350),12)=0,J350+1,J350)</f>
        <v>2049</v>
      </c>
      <c r="K351" s="198">
        <f>IF(M351="#N/A",NA(),monthly_mortgage_schedule[[#This Row],[Month]])</f>
        <v>334</v>
      </c>
      <c r="L351" s="198">
        <f>IF(monthly_mortgage_schedule[[#This Row],[Calendar Year]]&gt;=$C$7,monthly_mortgage_schedule[[#This Row],[Calendar Year]],NA())</f>
        <v>2049</v>
      </c>
      <c r="M351" s="199">
        <f>IF((monthly_mortgage_schedule[[#This Row],[Calendar Year]]&gt;=$C$7)*(monthly_mortgage_schedule[[#This Row],[Calendar Year]]&lt;=$C$9),monthly_mortgage_schedule[[#This Row],[Begin Year (Range)]],NA())</f>
        <v>2049</v>
      </c>
      <c r="N351" s="214">
        <f>IF((monthly_mortgage_schedule[[#This Row],[Year (Range)]]&gt;=$C$7)*(monthly_mortgage_schedule[[#This Row],[Year (Range)]]&lt;=$C$9),X351,NA())</f>
        <v>0</v>
      </c>
      <c r="O351" s="214">
        <f>IF((monthly_mortgage_schedule[[#This Row],[Year (Range)]]&gt;=$C$7)*(monthly_mortgage_schedule[[#This Row],[Year (Range)]]&lt;=$C$9),Y351,NA())</f>
        <v>0</v>
      </c>
      <c r="P351" s="214">
        <f>IF((monthly_mortgage_schedule[[#This Row],[Year (Range)]]&gt;=$C$7)*(monthly_mortgage_schedule[[#This Row],[Year (Range)]]&lt;=$C$9),AG351,NA())</f>
        <v>366.19597469985018</v>
      </c>
      <c r="Q351" s="214">
        <f>IF((monthly_mortgage_schedule[[#This Row],[Year (Range)]]&gt;=$C$7)*(monthly_mortgage_schedule[[#This Row],[Year (Range)]]&lt;=$C$9),AH351,NA())</f>
        <v>2733.8305207635581</v>
      </c>
      <c r="R351" s="214">
        <f>IF((monthly_mortgage_schedule[[#This Row],[Year (Range)]]&gt;=$C$7)*(monthly_mortgage_schedule[[#This Row],[Year (Range)]]&lt;=$C$9),AO351,NA())</f>
        <v>61000.410405877403</v>
      </c>
      <c r="S351" s="214">
        <f>IF((monthly_mortgage_schedule[[#This Row],[Year (Range)]]&gt;=$C$7)*(monthly_mortgage_schedule[[#This Row],[Year (Range)]]&lt;=$C$9),AP351,NA())</f>
        <v>990</v>
      </c>
      <c r="T351" s="214">
        <f>IF((monthly_mortgage_schedule[[#This Row],[Year (Range)]]&gt;=$C$7)*(monthly_mortgage_schedule[[#This Row],[Year (Range)]]&lt;=$C$9),AR351,NA())</f>
        <v>124394.28018330949</v>
      </c>
      <c r="U351" s="214">
        <f>IF((monthly_mortgage_schedule[[#This Row],[Year (Range)]]&gt;=$C$7)*(monthly_mortgage_schedule[[#This Row],[Year (Range)]]&lt;=$C$9),AB351,NA())</f>
        <v>542995.30794004421</v>
      </c>
      <c r="V351" s="214">
        <f>IF((monthly_mortgage_schedule[[#This Row],[Year (Range)]]&gt;=$C$7)*(monthly_mortgage_schedule[[#This Row],[Year (Range)]]&lt;=$C$9),AI351,NA())</f>
        <v>464263.26451365306</v>
      </c>
      <c r="W351" s="187">
        <f t="shared" si="38"/>
        <v>0</v>
      </c>
      <c r="X351" s="4">
        <f t="shared" si="41"/>
        <v>0</v>
      </c>
      <c r="Y351" s="4">
        <f t="shared" si="39"/>
        <v>0</v>
      </c>
      <c r="Z351" s="4">
        <f>_xlfn.IFNA(INDEX(additional_mortgage_payments[],MATCH(monthly_mortgage_schedule[[#This Row],[Month]],additional_mortgage_payments[Month],0),3),0)</f>
        <v>0</v>
      </c>
      <c r="AA351" s="4">
        <f>AA350+monthly_mortgage_schedule[[#This Row],[Extra Payments Towards Equity]]</f>
        <v>39250</v>
      </c>
      <c r="AB351" s="4">
        <f>AB350+monthly_mortgage_schedule[[#This Row],[Principal With Extra Principal Payments]]+monthly_mortgage_schedule[[#This Row],[Extra Payments Towards Equity]]</f>
        <v>542995.30794004421</v>
      </c>
      <c r="AC351" s="4">
        <f>monthly_mortgage_schedule[[#This Row],[Cumulative Principal With Extra Principal Payments]]+down_payment_dollars</f>
        <v>602995.30794004421</v>
      </c>
      <c r="AD351" s="200">
        <f t="shared" si="36"/>
        <v>0</v>
      </c>
      <c r="AE35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51" s="187">
        <f t="shared" si="42"/>
        <v>78470.566007110741</v>
      </c>
      <c r="AG351" s="4">
        <f>IF(monthly_mortgage_schedule[[#This Row],[Loan Balance (BOY) Without Extra Principal Payments]]&gt;0,monthly_mortgage_schedule[[#This Row],[Loan Balance (BOY) Without Extra Principal Payments]]*monthly_interest_rate,0)</f>
        <v>366.19597469985018</v>
      </c>
      <c r="AH351" s="4">
        <f>IF(monthly_mortgage_schedule[[#This Row],[Loan Balance (BOY) Without Extra Principal Payments]]&gt;1,monthly_principal_and_interest-monthly_mortgage_schedule[[#This Row],[Interest Without Extra Principal Payments]],0)</f>
        <v>2733.8305207635581</v>
      </c>
      <c r="AI351" s="4">
        <f>AI350+monthly_mortgage_schedule[[#This Row],[Principal Without Extra Principal Payments]]</f>
        <v>464263.26451365306</v>
      </c>
      <c r="AJ351" s="4">
        <f>monthly_mortgage_schedule[[#This Row],[Cumulative Principal Without Extra Principal Payments]]+down_payment_dollars</f>
        <v>524263.26451365306</v>
      </c>
      <c r="AK351" s="200">
        <f t="shared" si="37"/>
        <v>0</v>
      </c>
      <c r="AL35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75736.735486347185</v>
      </c>
      <c r="AN351" s="196">
        <f>monthly_mortgage_schedule[[#This Row],[Extra Payments Towards Equity]]+AN350+IF(monthly_mortgage_schedule[[#This Row],[Interest With Extra Principal Payments]]&gt;0,monthly_mortgage_schedule[[#This Row],[Interest Without Extra Principal Payments]]-monthly_mortgage_schedule[[#This Row],[Interest With Extra Principal Payments]],0)</f>
        <v>100250.41040587741</v>
      </c>
      <c r="AO351" s="4">
        <f>AO350+IF(monthly_mortgage_schedule[[#This Row],[Interest With Extra Principal Payments]]&gt;0,monthly_mortgage_schedule[[#This Row],[Interest Without Extra Principal Payments]]-monthly_mortgage_schedule[[#This Row],[Interest With Extra Principal Payments]],0)</f>
        <v>61000.410405877403</v>
      </c>
      <c r="AP351" s="4">
        <f>AP350+monthly_mortgage_schedule[[#This Row],[PMI Without Extra Principal Payments]]-monthly_mortgage_schedule[[#This Row],[PMI with Additional Payments]]</f>
        <v>990</v>
      </c>
      <c r="AQ351" s="4">
        <f t="shared" si="40"/>
        <v>163644.28018330949</v>
      </c>
      <c r="AR351" s="4">
        <f>Table60[[#This Row],[Cumulative Investments]]-monthly_mortgage_schedule[[#This Row],[Cumulative Extra Payments Towards Equity]]</f>
        <v>124394.28018330949</v>
      </c>
    </row>
    <row r="352" spans="9:44" x14ac:dyDescent="0.25">
      <c r="I352">
        <v>335</v>
      </c>
      <c r="J352">
        <f>IF(MOD(ROWS($J$18:J351),12)=0,J351+1,J351)</f>
        <v>2049</v>
      </c>
      <c r="K352" s="198">
        <f>IF(M352="#N/A",NA(),monthly_mortgage_schedule[[#This Row],[Month]])</f>
        <v>335</v>
      </c>
      <c r="L352" s="198">
        <f>IF(monthly_mortgage_schedule[[#This Row],[Calendar Year]]&gt;=$C$7,monthly_mortgage_schedule[[#This Row],[Calendar Year]],NA())</f>
        <v>2049</v>
      </c>
      <c r="M352" s="199">
        <f>IF((monthly_mortgage_schedule[[#This Row],[Calendar Year]]&gt;=$C$7)*(monthly_mortgage_schedule[[#This Row],[Calendar Year]]&lt;=$C$9),monthly_mortgage_schedule[[#This Row],[Begin Year (Range)]],NA())</f>
        <v>2049</v>
      </c>
      <c r="N352" s="214">
        <f>IF((monthly_mortgage_schedule[[#This Row],[Year (Range)]]&gt;=$C$7)*(monthly_mortgage_schedule[[#This Row],[Year (Range)]]&lt;=$C$9),X352,NA())</f>
        <v>0</v>
      </c>
      <c r="O352" s="214">
        <f>IF((monthly_mortgage_schedule[[#This Row],[Year (Range)]]&gt;=$C$7)*(monthly_mortgage_schedule[[#This Row],[Year (Range)]]&lt;=$C$9),Y352,NA())</f>
        <v>0</v>
      </c>
      <c r="P352" s="214">
        <f>IF((monthly_mortgage_schedule[[#This Row],[Year (Range)]]&gt;=$C$7)*(monthly_mortgage_schedule[[#This Row],[Year (Range)]]&lt;=$C$9),AG352,NA())</f>
        <v>353.43809893628691</v>
      </c>
      <c r="Q352" s="214">
        <f>IF((monthly_mortgage_schedule[[#This Row],[Year (Range)]]&gt;=$C$7)*(monthly_mortgage_schedule[[#This Row],[Year (Range)]]&lt;=$C$9),AH352,NA())</f>
        <v>2746.5883965271214</v>
      </c>
      <c r="R352" s="214">
        <f>IF((monthly_mortgage_schedule[[#This Row],[Year (Range)]]&gt;=$C$7)*(monthly_mortgage_schedule[[#This Row],[Year (Range)]]&lt;=$C$9),AO352,NA())</f>
        <v>61000.410405877403</v>
      </c>
      <c r="S352" s="214">
        <f>IF((monthly_mortgage_schedule[[#This Row],[Year (Range)]]&gt;=$C$7)*(monthly_mortgage_schedule[[#This Row],[Year (Range)]]&lt;=$C$9),AP352,NA())</f>
        <v>990</v>
      </c>
      <c r="T352" s="214">
        <f>IF((monthly_mortgage_schedule[[#This Row],[Year (Range)]]&gt;=$C$7)*(monthly_mortgage_schedule[[#This Row],[Year (Range)]]&lt;=$C$9),AR352,NA())</f>
        <v>125485.24205119821</v>
      </c>
      <c r="U352" s="214">
        <f>IF((monthly_mortgage_schedule[[#This Row],[Year (Range)]]&gt;=$C$7)*(monthly_mortgage_schedule[[#This Row],[Year (Range)]]&lt;=$C$9),AB352,NA())</f>
        <v>542995.30794004421</v>
      </c>
      <c r="V352" s="214">
        <f>IF((monthly_mortgage_schedule[[#This Row],[Year (Range)]]&gt;=$C$7)*(monthly_mortgage_schedule[[#This Row],[Year (Range)]]&lt;=$C$9),AI352,NA())</f>
        <v>467009.85291018017</v>
      </c>
      <c r="W352" s="187">
        <f t="shared" si="38"/>
        <v>0</v>
      </c>
      <c r="X352" s="4">
        <f t="shared" si="41"/>
        <v>0</v>
      </c>
      <c r="Y352" s="4">
        <f t="shared" si="39"/>
        <v>0</v>
      </c>
      <c r="Z352" s="4">
        <f>_xlfn.IFNA(INDEX(additional_mortgage_payments[],MATCH(monthly_mortgage_schedule[[#This Row],[Month]],additional_mortgage_payments[Month],0),3),0)</f>
        <v>0</v>
      </c>
      <c r="AA352" s="4">
        <f>AA351+monthly_mortgage_schedule[[#This Row],[Extra Payments Towards Equity]]</f>
        <v>39250</v>
      </c>
      <c r="AB352" s="4">
        <f>AB351+monthly_mortgage_schedule[[#This Row],[Principal With Extra Principal Payments]]+monthly_mortgage_schedule[[#This Row],[Extra Payments Towards Equity]]</f>
        <v>542995.30794004421</v>
      </c>
      <c r="AC352" s="4">
        <f>monthly_mortgage_schedule[[#This Row],[Cumulative Principal With Extra Principal Payments]]+down_payment_dollars</f>
        <v>602995.30794004421</v>
      </c>
      <c r="AD352" s="200">
        <f t="shared" si="36"/>
        <v>0</v>
      </c>
      <c r="AE35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52" s="187">
        <f t="shared" si="42"/>
        <v>75736.735486347185</v>
      </c>
      <c r="AG352" s="4">
        <f>IF(monthly_mortgage_schedule[[#This Row],[Loan Balance (BOY) Without Extra Principal Payments]]&gt;0,monthly_mortgage_schedule[[#This Row],[Loan Balance (BOY) Without Extra Principal Payments]]*monthly_interest_rate,0)</f>
        <v>353.43809893628691</v>
      </c>
      <c r="AH352" s="4">
        <f>IF(monthly_mortgage_schedule[[#This Row],[Loan Balance (BOY) Without Extra Principal Payments]]&gt;1,monthly_principal_and_interest-monthly_mortgage_schedule[[#This Row],[Interest Without Extra Principal Payments]],0)</f>
        <v>2746.5883965271214</v>
      </c>
      <c r="AI352" s="4">
        <f>AI351+monthly_mortgage_schedule[[#This Row],[Principal Without Extra Principal Payments]]</f>
        <v>467009.85291018017</v>
      </c>
      <c r="AJ352" s="4">
        <f>monthly_mortgage_schedule[[#This Row],[Cumulative Principal Without Extra Principal Payments]]+down_payment_dollars</f>
        <v>527009.85291018011</v>
      </c>
      <c r="AK352" s="200">
        <f t="shared" si="37"/>
        <v>0</v>
      </c>
      <c r="AL35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72990.147089820064</v>
      </c>
      <c r="AN352" s="196">
        <f>monthly_mortgage_schedule[[#This Row],[Extra Payments Towards Equity]]+AN351+IF(monthly_mortgage_schedule[[#This Row],[Interest With Extra Principal Payments]]&gt;0,monthly_mortgage_schedule[[#This Row],[Interest Without Extra Principal Payments]]-monthly_mortgage_schedule[[#This Row],[Interest With Extra Principal Payments]],0)</f>
        <v>100250.41040587741</v>
      </c>
      <c r="AO352" s="4">
        <f>AO351+IF(monthly_mortgage_schedule[[#This Row],[Interest With Extra Principal Payments]]&gt;0,monthly_mortgage_schedule[[#This Row],[Interest Without Extra Principal Payments]]-monthly_mortgage_schedule[[#This Row],[Interest With Extra Principal Payments]],0)</f>
        <v>61000.410405877403</v>
      </c>
      <c r="AP352" s="4">
        <f>AP351+monthly_mortgage_schedule[[#This Row],[PMI Without Extra Principal Payments]]-monthly_mortgage_schedule[[#This Row],[PMI with Additional Payments]]</f>
        <v>990</v>
      </c>
      <c r="AQ352" s="4">
        <f t="shared" si="40"/>
        <v>164735.24205119821</v>
      </c>
      <c r="AR352" s="4">
        <f>Table60[[#This Row],[Cumulative Investments]]-monthly_mortgage_schedule[[#This Row],[Cumulative Extra Payments Towards Equity]]</f>
        <v>125485.24205119821</v>
      </c>
    </row>
    <row r="353" spans="9:44" x14ac:dyDescent="0.25">
      <c r="I353">
        <v>336</v>
      </c>
      <c r="J353">
        <f>IF(MOD(ROWS($J$18:J352),12)=0,J352+1,J352)</f>
        <v>2049</v>
      </c>
      <c r="K353" s="198">
        <f>IF(M353="#N/A",NA(),monthly_mortgage_schedule[[#This Row],[Month]])</f>
        <v>336</v>
      </c>
      <c r="L353" s="198">
        <f>IF(monthly_mortgage_schedule[[#This Row],[Calendar Year]]&gt;=$C$7,monthly_mortgage_schedule[[#This Row],[Calendar Year]],NA())</f>
        <v>2049</v>
      </c>
      <c r="M353" s="199">
        <f>IF((monthly_mortgage_schedule[[#This Row],[Calendar Year]]&gt;=$C$7)*(monthly_mortgage_schedule[[#This Row],[Calendar Year]]&lt;=$C$9),monthly_mortgage_schedule[[#This Row],[Begin Year (Range)]],NA())</f>
        <v>2049</v>
      </c>
      <c r="N353" s="214">
        <f>IF((monthly_mortgage_schedule[[#This Row],[Year (Range)]]&gt;=$C$7)*(monthly_mortgage_schedule[[#This Row],[Year (Range)]]&lt;=$C$9),X353,NA())</f>
        <v>0</v>
      </c>
      <c r="O353" s="214">
        <f>IF((monthly_mortgage_schedule[[#This Row],[Year (Range)]]&gt;=$C$7)*(monthly_mortgage_schedule[[#This Row],[Year (Range)]]&lt;=$C$9),Y353,NA())</f>
        <v>0</v>
      </c>
      <c r="P353" s="214">
        <f>IF((monthly_mortgage_schedule[[#This Row],[Year (Range)]]&gt;=$C$7)*(monthly_mortgage_schedule[[#This Row],[Year (Range)]]&lt;=$C$9),AG353,NA())</f>
        <v>340.62068641916034</v>
      </c>
      <c r="Q353" s="214">
        <f>IF((monthly_mortgage_schedule[[#This Row],[Year (Range)]]&gt;=$C$7)*(monthly_mortgage_schedule[[#This Row],[Year (Range)]]&lt;=$C$9),AH353,NA())</f>
        <v>2759.4058090442477</v>
      </c>
      <c r="R353" s="214">
        <f>IF((monthly_mortgage_schedule[[#This Row],[Year (Range)]]&gt;=$C$7)*(monthly_mortgage_schedule[[#This Row],[Year (Range)]]&lt;=$C$9),AO353,NA())</f>
        <v>61000.410405877403</v>
      </c>
      <c r="S353" s="214">
        <f>IF((monthly_mortgage_schedule[[#This Row],[Year (Range)]]&gt;=$C$7)*(monthly_mortgage_schedule[[#This Row],[Year (Range)]]&lt;=$C$9),AP353,NA())</f>
        <v>990</v>
      </c>
      <c r="T353" s="214">
        <f>IF((monthly_mortgage_schedule[[#This Row],[Year (Range)]]&gt;=$C$7)*(monthly_mortgage_schedule[[#This Row],[Year (Range)]]&lt;=$C$9),AR353,NA())</f>
        <v>126583.47699820617</v>
      </c>
      <c r="U353" s="214">
        <f>IF((monthly_mortgage_schedule[[#This Row],[Year (Range)]]&gt;=$C$7)*(monthly_mortgage_schedule[[#This Row],[Year (Range)]]&lt;=$C$9),AB353,NA())</f>
        <v>542995.30794004421</v>
      </c>
      <c r="V353" s="214">
        <f>IF((monthly_mortgage_schedule[[#This Row],[Year (Range)]]&gt;=$C$7)*(monthly_mortgage_schedule[[#This Row],[Year (Range)]]&lt;=$C$9),AI353,NA())</f>
        <v>469769.25871922442</v>
      </c>
      <c r="W353" s="187">
        <f t="shared" si="38"/>
        <v>0</v>
      </c>
      <c r="X353" s="4">
        <f t="shared" si="41"/>
        <v>0</v>
      </c>
      <c r="Y353" s="4">
        <f t="shared" si="39"/>
        <v>0</v>
      </c>
      <c r="Z353" s="4">
        <f>_xlfn.IFNA(INDEX(additional_mortgage_payments[],MATCH(monthly_mortgage_schedule[[#This Row],[Month]],additional_mortgage_payments[Month],0),3),0)</f>
        <v>0</v>
      </c>
      <c r="AA353" s="4">
        <f>AA352+monthly_mortgage_schedule[[#This Row],[Extra Payments Towards Equity]]</f>
        <v>39250</v>
      </c>
      <c r="AB353" s="4">
        <f>AB352+monthly_mortgage_schedule[[#This Row],[Principal With Extra Principal Payments]]+monthly_mortgage_schedule[[#This Row],[Extra Payments Towards Equity]]</f>
        <v>542995.30794004421</v>
      </c>
      <c r="AC353" s="4">
        <f>monthly_mortgage_schedule[[#This Row],[Cumulative Principal With Extra Principal Payments]]+down_payment_dollars</f>
        <v>602995.30794004421</v>
      </c>
      <c r="AD353" s="200">
        <f t="shared" si="36"/>
        <v>0</v>
      </c>
      <c r="AE35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53" s="187">
        <f t="shared" si="42"/>
        <v>72990.147089820064</v>
      </c>
      <c r="AG353" s="4">
        <f>IF(monthly_mortgage_schedule[[#This Row],[Loan Balance (BOY) Without Extra Principal Payments]]&gt;0,monthly_mortgage_schedule[[#This Row],[Loan Balance (BOY) Without Extra Principal Payments]]*monthly_interest_rate,0)</f>
        <v>340.62068641916034</v>
      </c>
      <c r="AH353" s="4">
        <f>IF(monthly_mortgage_schedule[[#This Row],[Loan Balance (BOY) Without Extra Principal Payments]]&gt;1,monthly_principal_and_interest-monthly_mortgage_schedule[[#This Row],[Interest Without Extra Principal Payments]],0)</f>
        <v>2759.4058090442477</v>
      </c>
      <c r="AI353" s="4">
        <f>AI352+monthly_mortgage_schedule[[#This Row],[Principal Without Extra Principal Payments]]</f>
        <v>469769.25871922442</v>
      </c>
      <c r="AJ353" s="4">
        <f>monthly_mortgage_schedule[[#This Row],[Cumulative Principal Without Extra Principal Payments]]+down_payment_dollars</f>
        <v>529769.25871922448</v>
      </c>
      <c r="AK353" s="200">
        <f t="shared" si="37"/>
        <v>0</v>
      </c>
      <c r="AL35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70230.741280775823</v>
      </c>
      <c r="AN353" s="196">
        <f>monthly_mortgage_schedule[[#This Row],[Extra Payments Towards Equity]]+AN352+IF(monthly_mortgage_schedule[[#This Row],[Interest With Extra Principal Payments]]&gt;0,monthly_mortgage_schedule[[#This Row],[Interest Without Extra Principal Payments]]-monthly_mortgage_schedule[[#This Row],[Interest With Extra Principal Payments]],0)</f>
        <v>100250.41040587741</v>
      </c>
      <c r="AO353" s="4">
        <f>AO352+IF(monthly_mortgage_schedule[[#This Row],[Interest With Extra Principal Payments]]&gt;0,monthly_mortgage_schedule[[#This Row],[Interest Without Extra Principal Payments]]-monthly_mortgage_schedule[[#This Row],[Interest With Extra Principal Payments]],0)</f>
        <v>61000.410405877403</v>
      </c>
      <c r="AP353" s="4">
        <f>AP352+monthly_mortgage_schedule[[#This Row],[PMI Without Extra Principal Payments]]-monthly_mortgage_schedule[[#This Row],[PMI with Additional Payments]]</f>
        <v>990</v>
      </c>
      <c r="AQ353" s="4">
        <f t="shared" si="40"/>
        <v>165833.47699820617</v>
      </c>
      <c r="AR353" s="4">
        <f>Table60[[#This Row],[Cumulative Investments]]-monthly_mortgage_schedule[[#This Row],[Cumulative Extra Payments Towards Equity]]</f>
        <v>126583.47699820617</v>
      </c>
    </row>
    <row r="354" spans="9:44" x14ac:dyDescent="0.25">
      <c r="I354">
        <v>337</v>
      </c>
      <c r="J354">
        <f>IF(MOD(ROWS($J$18:J353),12)=0,J353+1,J353)</f>
        <v>2050</v>
      </c>
      <c r="K354" s="198">
        <f>IF(M354="#N/A",NA(),monthly_mortgage_schedule[[#This Row],[Month]])</f>
        <v>337</v>
      </c>
      <c r="L354" s="198">
        <f>IF(monthly_mortgage_schedule[[#This Row],[Calendar Year]]&gt;=$C$7,monthly_mortgage_schedule[[#This Row],[Calendar Year]],NA())</f>
        <v>2050</v>
      </c>
      <c r="M354" s="199">
        <f>IF((monthly_mortgage_schedule[[#This Row],[Calendar Year]]&gt;=$C$7)*(monthly_mortgage_schedule[[#This Row],[Calendar Year]]&lt;=$C$9),monthly_mortgage_schedule[[#This Row],[Begin Year (Range)]],NA())</f>
        <v>2050</v>
      </c>
      <c r="N354" s="214">
        <f>IF((monthly_mortgage_schedule[[#This Row],[Year (Range)]]&gt;=$C$7)*(monthly_mortgage_schedule[[#This Row],[Year (Range)]]&lt;=$C$9),X354,NA())</f>
        <v>0</v>
      </c>
      <c r="O354" s="214">
        <f>IF((monthly_mortgage_schedule[[#This Row],[Year (Range)]]&gt;=$C$7)*(monthly_mortgage_schedule[[#This Row],[Year (Range)]]&lt;=$C$9),Y354,NA())</f>
        <v>0</v>
      </c>
      <c r="P354" s="214">
        <f>IF((monthly_mortgage_schedule[[#This Row],[Year (Range)]]&gt;=$C$7)*(monthly_mortgage_schedule[[#This Row],[Year (Range)]]&lt;=$C$9),AG354,NA())</f>
        <v>327.74345931028722</v>
      </c>
      <c r="Q354" s="214">
        <f>IF((monthly_mortgage_schedule[[#This Row],[Year (Range)]]&gt;=$C$7)*(monthly_mortgage_schedule[[#This Row],[Year (Range)]]&lt;=$C$9),AH354,NA())</f>
        <v>2772.283036153121</v>
      </c>
      <c r="R354" s="214">
        <f>IF((monthly_mortgage_schedule[[#This Row],[Year (Range)]]&gt;=$C$7)*(monthly_mortgage_schedule[[#This Row],[Year (Range)]]&lt;=$C$9),AO354,NA())</f>
        <v>61000.410405877403</v>
      </c>
      <c r="S354" s="214">
        <f>IF((monthly_mortgage_schedule[[#This Row],[Year (Range)]]&gt;=$C$7)*(monthly_mortgage_schedule[[#This Row],[Year (Range)]]&lt;=$C$9),AP354,NA())</f>
        <v>990</v>
      </c>
      <c r="T354" s="214">
        <f>IF((monthly_mortgage_schedule[[#This Row],[Year (Range)]]&gt;=$C$7)*(monthly_mortgage_schedule[[#This Row],[Year (Range)]]&lt;=$C$9),AR354,NA())</f>
        <v>127689.03351152752</v>
      </c>
      <c r="U354" s="214">
        <f>IF((monthly_mortgage_schedule[[#This Row],[Year (Range)]]&gt;=$C$7)*(monthly_mortgage_schedule[[#This Row],[Year (Range)]]&lt;=$C$9),AB354,NA())</f>
        <v>542995.30794004421</v>
      </c>
      <c r="V354" s="214">
        <f>IF((monthly_mortgage_schedule[[#This Row],[Year (Range)]]&gt;=$C$7)*(monthly_mortgage_schedule[[#This Row],[Year (Range)]]&lt;=$C$9),AI354,NA())</f>
        <v>472541.54175537755</v>
      </c>
      <c r="W354" s="187">
        <f t="shared" si="38"/>
        <v>0</v>
      </c>
      <c r="X354" s="4">
        <f t="shared" si="41"/>
        <v>0</v>
      </c>
      <c r="Y354" s="4">
        <f t="shared" si="39"/>
        <v>0</v>
      </c>
      <c r="Z354" s="4">
        <f>_xlfn.IFNA(INDEX(additional_mortgage_payments[],MATCH(monthly_mortgage_schedule[[#This Row],[Month]],additional_mortgage_payments[Month],0),3),0)</f>
        <v>0</v>
      </c>
      <c r="AA354" s="4">
        <f>AA353+monthly_mortgage_schedule[[#This Row],[Extra Payments Towards Equity]]</f>
        <v>39250</v>
      </c>
      <c r="AB354" s="4">
        <f>AB353+monthly_mortgage_schedule[[#This Row],[Principal With Extra Principal Payments]]+monthly_mortgage_schedule[[#This Row],[Extra Payments Towards Equity]]</f>
        <v>542995.30794004421</v>
      </c>
      <c r="AC354" s="4">
        <f>monthly_mortgage_schedule[[#This Row],[Cumulative Principal With Extra Principal Payments]]+down_payment_dollars</f>
        <v>602995.30794004421</v>
      </c>
      <c r="AD354" s="200">
        <f t="shared" si="36"/>
        <v>0</v>
      </c>
      <c r="AE35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54" s="187">
        <f t="shared" si="42"/>
        <v>70230.741280775823</v>
      </c>
      <c r="AG354" s="4">
        <f>IF(monthly_mortgage_schedule[[#This Row],[Loan Balance (BOY) Without Extra Principal Payments]]&gt;0,monthly_mortgage_schedule[[#This Row],[Loan Balance (BOY) Without Extra Principal Payments]]*monthly_interest_rate,0)</f>
        <v>327.74345931028722</v>
      </c>
      <c r="AH354" s="4">
        <f>IF(monthly_mortgage_schedule[[#This Row],[Loan Balance (BOY) Without Extra Principal Payments]]&gt;1,monthly_principal_and_interest-monthly_mortgage_schedule[[#This Row],[Interest Without Extra Principal Payments]],0)</f>
        <v>2772.283036153121</v>
      </c>
      <c r="AI354" s="4">
        <f>AI353+monthly_mortgage_schedule[[#This Row],[Principal Without Extra Principal Payments]]</f>
        <v>472541.54175537755</v>
      </c>
      <c r="AJ354" s="4">
        <f>monthly_mortgage_schedule[[#This Row],[Cumulative Principal Without Extra Principal Payments]]+down_payment_dollars</f>
        <v>532541.54175537755</v>
      </c>
      <c r="AK354" s="200">
        <f t="shared" si="37"/>
        <v>0</v>
      </c>
      <c r="AL35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67458.4582446227</v>
      </c>
      <c r="AN354" s="196">
        <f>monthly_mortgage_schedule[[#This Row],[Extra Payments Towards Equity]]+AN353+IF(monthly_mortgage_schedule[[#This Row],[Interest With Extra Principal Payments]]&gt;0,monthly_mortgage_schedule[[#This Row],[Interest Without Extra Principal Payments]]-monthly_mortgage_schedule[[#This Row],[Interest With Extra Principal Payments]],0)</f>
        <v>100250.41040587741</v>
      </c>
      <c r="AO354" s="4">
        <f>AO353+IF(monthly_mortgage_schedule[[#This Row],[Interest With Extra Principal Payments]]&gt;0,monthly_mortgage_schedule[[#This Row],[Interest Without Extra Principal Payments]]-monthly_mortgage_schedule[[#This Row],[Interest With Extra Principal Payments]],0)</f>
        <v>61000.410405877403</v>
      </c>
      <c r="AP354" s="4">
        <f>AP353+monthly_mortgage_schedule[[#This Row],[PMI Without Extra Principal Payments]]-monthly_mortgage_schedule[[#This Row],[PMI with Additional Payments]]</f>
        <v>990</v>
      </c>
      <c r="AQ354" s="4">
        <f t="shared" si="40"/>
        <v>166939.03351152752</v>
      </c>
      <c r="AR354" s="4">
        <f>Table60[[#This Row],[Cumulative Investments]]-monthly_mortgage_schedule[[#This Row],[Cumulative Extra Payments Towards Equity]]</f>
        <v>127689.03351152752</v>
      </c>
    </row>
    <row r="355" spans="9:44" x14ac:dyDescent="0.25">
      <c r="I355">
        <v>338</v>
      </c>
      <c r="J355">
        <f>IF(MOD(ROWS($J$18:J354),12)=0,J354+1,J354)</f>
        <v>2050</v>
      </c>
      <c r="K355" s="198">
        <f>IF(M355="#N/A",NA(),monthly_mortgage_schedule[[#This Row],[Month]])</f>
        <v>338</v>
      </c>
      <c r="L355" s="198">
        <f>IF(monthly_mortgage_schedule[[#This Row],[Calendar Year]]&gt;=$C$7,monthly_mortgage_schedule[[#This Row],[Calendar Year]],NA())</f>
        <v>2050</v>
      </c>
      <c r="M355" s="199">
        <f>IF((monthly_mortgage_schedule[[#This Row],[Calendar Year]]&gt;=$C$7)*(monthly_mortgage_schedule[[#This Row],[Calendar Year]]&lt;=$C$9),monthly_mortgage_schedule[[#This Row],[Begin Year (Range)]],NA())</f>
        <v>2050</v>
      </c>
      <c r="N355" s="214">
        <f>IF((monthly_mortgage_schedule[[#This Row],[Year (Range)]]&gt;=$C$7)*(monthly_mortgage_schedule[[#This Row],[Year (Range)]]&lt;=$C$9),X355,NA())</f>
        <v>0</v>
      </c>
      <c r="O355" s="214">
        <f>IF((monthly_mortgage_schedule[[#This Row],[Year (Range)]]&gt;=$C$7)*(monthly_mortgage_schedule[[#This Row],[Year (Range)]]&lt;=$C$9),Y355,NA())</f>
        <v>0</v>
      </c>
      <c r="P355" s="214">
        <f>IF((monthly_mortgage_schedule[[#This Row],[Year (Range)]]&gt;=$C$7)*(monthly_mortgage_schedule[[#This Row],[Year (Range)]]&lt;=$C$9),AG355,NA())</f>
        <v>314.80613847490594</v>
      </c>
      <c r="Q355" s="214">
        <f>IF((monthly_mortgage_schedule[[#This Row],[Year (Range)]]&gt;=$C$7)*(monthly_mortgage_schedule[[#This Row],[Year (Range)]]&lt;=$C$9),AH355,NA())</f>
        <v>2785.2203569885023</v>
      </c>
      <c r="R355" s="214">
        <f>IF((monthly_mortgage_schedule[[#This Row],[Year (Range)]]&gt;=$C$7)*(monthly_mortgage_schedule[[#This Row],[Year (Range)]]&lt;=$C$9),AO355,NA())</f>
        <v>61000.410405877403</v>
      </c>
      <c r="S355" s="214">
        <f>IF((monthly_mortgage_schedule[[#This Row],[Year (Range)]]&gt;=$C$7)*(monthly_mortgage_schedule[[#This Row],[Year (Range)]]&lt;=$C$9),AP355,NA())</f>
        <v>990</v>
      </c>
      <c r="T355" s="214">
        <f>IF((monthly_mortgage_schedule[[#This Row],[Year (Range)]]&gt;=$C$7)*(monthly_mortgage_schedule[[#This Row],[Year (Range)]]&lt;=$C$9),AR355,NA())</f>
        <v>128801.96040160436</v>
      </c>
      <c r="U355" s="214">
        <f>IF((monthly_mortgage_schedule[[#This Row],[Year (Range)]]&gt;=$C$7)*(monthly_mortgage_schedule[[#This Row],[Year (Range)]]&lt;=$C$9),AB355,NA())</f>
        <v>542995.30794004421</v>
      </c>
      <c r="V355" s="214">
        <f>IF((monthly_mortgage_schedule[[#This Row],[Year (Range)]]&gt;=$C$7)*(monthly_mortgage_schedule[[#This Row],[Year (Range)]]&lt;=$C$9),AI355,NA())</f>
        <v>475326.76211236604</v>
      </c>
      <c r="W355" s="187">
        <f t="shared" si="38"/>
        <v>0</v>
      </c>
      <c r="X355" s="4">
        <f t="shared" si="41"/>
        <v>0</v>
      </c>
      <c r="Y355" s="4">
        <f t="shared" si="39"/>
        <v>0</v>
      </c>
      <c r="Z355" s="4">
        <f>_xlfn.IFNA(INDEX(additional_mortgage_payments[],MATCH(monthly_mortgage_schedule[[#This Row],[Month]],additional_mortgage_payments[Month],0),3),0)</f>
        <v>0</v>
      </c>
      <c r="AA355" s="4">
        <f>AA354+monthly_mortgage_schedule[[#This Row],[Extra Payments Towards Equity]]</f>
        <v>39250</v>
      </c>
      <c r="AB355" s="4">
        <f>AB354+monthly_mortgage_schedule[[#This Row],[Principal With Extra Principal Payments]]+monthly_mortgage_schedule[[#This Row],[Extra Payments Towards Equity]]</f>
        <v>542995.30794004421</v>
      </c>
      <c r="AC355" s="4">
        <f>monthly_mortgage_schedule[[#This Row],[Cumulative Principal With Extra Principal Payments]]+down_payment_dollars</f>
        <v>602995.30794004421</v>
      </c>
      <c r="AD355" s="200">
        <f t="shared" si="36"/>
        <v>0</v>
      </c>
      <c r="AE35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55" s="187">
        <f t="shared" si="42"/>
        <v>67458.4582446227</v>
      </c>
      <c r="AG355" s="4">
        <f>IF(monthly_mortgage_schedule[[#This Row],[Loan Balance (BOY) Without Extra Principal Payments]]&gt;0,monthly_mortgage_schedule[[#This Row],[Loan Balance (BOY) Without Extra Principal Payments]]*monthly_interest_rate,0)</f>
        <v>314.80613847490594</v>
      </c>
      <c r="AH355" s="4">
        <f>IF(monthly_mortgage_schedule[[#This Row],[Loan Balance (BOY) Without Extra Principal Payments]]&gt;1,monthly_principal_and_interest-monthly_mortgage_schedule[[#This Row],[Interest Without Extra Principal Payments]],0)</f>
        <v>2785.2203569885023</v>
      </c>
      <c r="AI355" s="4">
        <f>AI354+monthly_mortgage_schedule[[#This Row],[Principal Without Extra Principal Payments]]</f>
        <v>475326.76211236604</v>
      </c>
      <c r="AJ355" s="4">
        <f>monthly_mortgage_schedule[[#This Row],[Cumulative Principal Without Extra Principal Payments]]+down_payment_dollars</f>
        <v>535326.76211236604</v>
      </c>
      <c r="AK355" s="200">
        <f t="shared" si="37"/>
        <v>0</v>
      </c>
      <c r="AL35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64673.237887634197</v>
      </c>
      <c r="AN355" s="196">
        <f>monthly_mortgage_schedule[[#This Row],[Extra Payments Towards Equity]]+AN354+IF(monthly_mortgage_schedule[[#This Row],[Interest With Extra Principal Payments]]&gt;0,monthly_mortgage_schedule[[#This Row],[Interest Without Extra Principal Payments]]-monthly_mortgage_schedule[[#This Row],[Interest With Extra Principal Payments]],0)</f>
        <v>100250.41040587741</v>
      </c>
      <c r="AO355" s="4">
        <f>AO354+IF(monthly_mortgage_schedule[[#This Row],[Interest With Extra Principal Payments]]&gt;0,monthly_mortgage_schedule[[#This Row],[Interest Without Extra Principal Payments]]-monthly_mortgage_schedule[[#This Row],[Interest With Extra Principal Payments]],0)</f>
        <v>61000.410405877403</v>
      </c>
      <c r="AP355" s="4">
        <f>AP354+monthly_mortgage_schedule[[#This Row],[PMI Without Extra Principal Payments]]-monthly_mortgage_schedule[[#This Row],[PMI with Additional Payments]]</f>
        <v>990</v>
      </c>
      <c r="AQ355" s="4">
        <f t="shared" si="40"/>
        <v>168051.96040160436</v>
      </c>
      <c r="AR355" s="4">
        <f>Table60[[#This Row],[Cumulative Investments]]-monthly_mortgage_schedule[[#This Row],[Cumulative Extra Payments Towards Equity]]</f>
        <v>128801.96040160436</v>
      </c>
    </row>
    <row r="356" spans="9:44" x14ac:dyDescent="0.25">
      <c r="I356">
        <v>339</v>
      </c>
      <c r="J356">
        <f>IF(MOD(ROWS($J$18:J355),12)=0,J355+1,J355)</f>
        <v>2050</v>
      </c>
      <c r="K356" s="198">
        <f>IF(M356="#N/A",NA(),monthly_mortgage_schedule[[#This Row],[Month]])</f>
        <v>339</v>
      </c>
      <c r="L356" s="198">
        <f>IF(monthly_mortgage_schedule[[#This Row],[Calendar Year]]&gt;=$C$7,monthly_mortgage_schedule[[#This Row],[Calendar Year]],NA())</f>
        <v>2050</v>
      </c>
      <c r="M356" s="199">
        <f>IF((monthly_mortgage_schedule[[#This Row],[Calendar Year]]&gt;=$C$7)*(monthly_mortgage_schedule[[#This Row],[Calendar Year]]&lt;=$C$9),monthly_mortgage_schedule[[#This Row],[Begin Year (Range)]],NA())</f>
        <v>2050</v>
      </c>
      <c r="N356" s="214">
        <f>IF((monthly_mortgage_schedule[[#This Row],[Year (Range)]]&gt;=$C$7)*(monthly_mortgage_schedule[[#This Row],[Year (Range)]]&lt;=$C$9),X356,NA())</f>
        <v>0</v>
      </c>
      <c r="O356" s="214">
        <f>IF((monthly_mortgage_schedule[[#This Row],[Year (Range)]]&gt;=$C$7)*(monthly_mortgage_schedule[[#This Row],[Year (Range)]]&lt;=$C$9),Y356,NA())</f>
        <v>0</v>
      </c>
      <c r="P356" s="214">
        <f>IF((monthly_mortgage_schedule[[#This Row],[Year (Range)]]&gt;=$C$7)*(monthly_mortgage_schedule[[#This Row],[Year (Range)]]&lt;=$C$9),AG356,NA())</f>
        <v>301.80844347562629</v>
      </c>
      <c r="Q356" s="214">
        <f>IF((monthly_mortgage_schedule[[#This Row],[Year (Range)]]&gt;=$C$7)*(monthly_mortgage_schedule[[#This Row],[Year (Range)]]&lt;=$C$9),AH356,NA())</f>
        <v>2798.218051987782</v>
      </c>
      <c r="R356" s="214">
        <f>IF((monthly_mortgage_schedule[[#This Row],[Year (Range)]]&gt;=$C$7)*(monthly_mortgage_schedule[[#This Row],[Year (Range)]]&lt;=$C$9),AO356,NA())</f>
        <v>61000.410405877403</v>
      </c>
      <c r="S356" s="214">
        <f>IF((monthly_mortgage_schedule[[#This Row],[Year (Range)]]&gt;=$C$7)*(monthly_mortgage_schedule[[#This Row],[Year (Range)]]&lt;=$C$9),AP356,NA())</f>
        <v>990</v>
      </c>
      <c r="T356" s="214">
        <f>IF((monthly_mortgage_schedule[[#This Row],[Year (Range)]]&gt;=$C$7)*(monthly_mortgage_schedule[[#This Row],[Year (Range)]]&lt;=$C$9),AR356,NA())</f>
        <v>129922.30680428172</v>
      </c>
      <c r="U356" s="214">
        <f>IF((monthly_mortgage_schedule[[#This Row],[Year (Range)]]&gt;=$C$7)*(monthly_mortgage_schedule[[#This Row],[Year (Range)]]&lt;=$C$9),AB356,NA())</f>
        <v>542995.30794004421</v>
      </c>
      <c r="V356" s="214">
        <f>IF((monthly_mortgage_schedule[[#This Row],[Year (Range)]]&gt;=$C$7)*(monthly_mortgage_schedule[[#This Row],[Year (Range)]]&lt;=$C$9),AI356,NA())</f>
        <v>478124.98016435379</v>
      </c>
      <c r="W356" s="187">
        <f t="shared" si="38"/>
        <v>0</v>
      </c>
      <c r="X356" s="4">
        <f t="shared" si="41"/>
        <v>0</v>
      </c>
      <c r="Y356" s="4">
        <f t="shared" si="39"/>
        <v>0</v>
      </c>
      <c r="Z356" s="4">
        <f>_xlfn.IFNA(INDEX(additional_mortgage_payments[],MATCH(monthly_mortgage_schedule[[#This Row],[Month]],additional_mortgage_payments[Month],0),3),0)</f>
        <v>0</v>
      </c>
      <c r="AA356" s="4">
        <f>AA355+monthly_mortgage_schedule[[#This Row],[Extra Payments Towards Equity]]</f>
        <v>39250</v>
      </c>
      <c r="AB356" s="4">
        <f>AB355+monthly_mortgage_schedule[[#This Row],[Principal With Extra Principal Payments]]+monthly_mortgage_schedule[[#This Row],[Extra Payments Towards Equity]]</f>
        <v>542995.30794004421</v>
      </c>
      <c r="AC356" s="4">
        <f>monthly_mortgage_schedule[[#This Row],[Cumulative Principal With Extra Principal Payments]]+down_payment_dollars</f>
        <v>602995.30794004421</v>
      </c>
      <c r="AD356" s="200">
        <f t="shared" si="36"/>
        <v>0</v>
      </c>
      <c r="AE35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56" s="187">
        <f t="shared" si="42"/>
        <v>64673.237887634197</v>
      </c>
      <c r="AG356" s="4">
        <f>IF(monthly_mortgage_schedule[[#This Row],[Loan Balance (BOY) Without Extra Principal Payments]]&gt;0,monthly_mortgage_schedule[[#This Row],[Loan Balance (BOY) Without Extra Principal Payments]]*monthly_interest_rate,0)</f>
        <v>301.80844347562629</v>
      </c>
      <c r="AH356" s="4">
        <f>IF(monthly_mortgage_schedule[[#This Row],[Loan Balance (BOY) Without Extra Principal Payments]]&gt;1,monthly_principal_and_interest-monthly_mortgage_schedule[[#This Row],[Interest Without Extra Principal Payments]],0)</f>
        <v>2798.218051987782</v>
      </c>
      <c r="AI356" s="4">
        <f>AI355+monthly_mortgage_schedule[[#This Row],[Principal Without Extra Principal Payments]]</f>
        <v>478124.98016435379</v>
      </c>
      <c r="AJ356" s="4">
        <f>monthly_mortgage_schedule[[#This Row],[Cumulative Principal Without Extra Principal Payments]]+down_payment_dollars</f>
        <v>538124.98016435374</v>
      </c>
      <c r="AK356" s="200">
        <f t="shared" si="37"/>
        <v>0</v>
      </c>
      <c r="AL35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61875.019835646417</v>
      </c>
      <c r="AN356" s="196">
        <f>monthly_mortgage_schedule[[#This Row],[Extra Payments Towards Equity]]+AN355+IF(monthly_mortgage_schedule[[#This Row],[Interest With Extra Principal Payments]]&gt;0,monthly_mortgage_schedule[[#This Row],[Interest Without Extra Principal Payments]]-monthly_mortgage_schedule[[#This Row],[Interest With Extra Principal Payments]],0)</f>
        <v>100250.41040587741</v>
      </c>
      <c r="AO356" s="4">
        <f>AO355+IF(monthly_mortgage_schedule[[#This Row],[Interest With Extra Principal Payments]]&gt;0,monthly_mortgage_schedule[[#This Row],[Interest Without Extra Principal Payments]]-monthly_mortgage_schedule[[#This Row],[Interest With Extra Principal Payments]],0)</f>
        <v>61000.410405877403</v>
      </c>
      <c r="AP356" s="4">
        <f>AP355+monthly_mortgage_schedule[[#This Row],[PMI Without Extra Principal Payments]]-monthly_mortgage_schedule[[#This Row],[PMI with Additional Payments]]</f>
        <v>990</v>
      </c>
      <c r="AQ356" s="4">
        <f t="shared" si="40"/>
        <v>169172.30680428172</v>
      </c>
      <c r="AR356" s="4">
        <f>Table60[[#This Row],[Cumulative Investments]]-monthly_mortgage_schedule[[#This Row],[Cumulative Extra Payments Towards Equity]]</f>
        <v>129922.30680428172</v>
      </c>
    </row>
    <row r="357" spans="9:44" x14ac:dyDescent="0.25">
      <c r="I357">
        <v>340</v>
      </c>
      <c r="J357">
        <f>IF(MOD(ROWS($J$18:J356),12)=0,J356+1,J356)</f>
        <v>2050</v>
      </c>
      <c r="K357" s="198">
        <f>IF(M357="#N/A",NA(),monthly_mortgage_schedule[[#This Row],[Month]])</f>
        <v>340</v>
      </c>
      <c r="L357" s="198">
        <f>IF(monthly_mortgage_schedule[[#This Row],[Calendar Year]]&gt;=$C$7,monthly_mortgage_schedule[[#This Row],[Calendar Year]],NA())</f>
        <v>2050</v>
      </c>
      <c r="M357" s="199">
        <f>IF((monthly_mortgage_schedule[[#This Row],[Calendar Year]]&gt;=$C$7)*(monthly_mortgage_schedule[[#This Row],[Calendar Year]]&lt;=$C$9),monthly_mortgage_schedule[[#This Row],[Begin Year (Range)]],NA())</f>
        <v>2050</v>
      </c>
      <c r="N357" s="214">
        <f>IF((monthly_mortgage_schedule[[#This Row],[Year (Range)]]&gt;=$C$7)*(monthly_mortgage_schedule[[#This Row],[Year (Range)]]&lt;=$C$9),X357,NA())</f>
        <v>0</v>
      </c>
      <c r="O357" s="214">
        <f>IF((monthly_mortgage_schedule[[#This Row],[Year (Range)]]&gt;=$C$7)*(monthly_mortgage_schedule[[#This Row],[Year (Range)]]&lt;=$C$9),Y357,NA())</f>
        <v>0</v>
      </c>
      <c r="P357" s="214">
        <f>IF((monthly_mortgage_schedule[[#This Row],[Year (Range)]]&gt;=$C$7)*(monthly_mortgage_schedule[[#This Row],[Year (Range)]]&lt;=$C$9),AG357,NA())</f>
        <v>288.75009256634996</v>
      </c>
      <c r="Q357" s="214">
        <f>IF((monthly_mortgage_schedule[[#This Row],[Year (Range)]]&gt;=$C$7)*(monthly_mortgage_schedule[[#This Row],[Year (Range)]]&lt;=$C$9),AH357,NA())</f>
        <v>2811.2764028970582</v>
      </c>
      <c r="R357" s="214">
        <f>IF((monthly_mortgage_schedule[[#This Row],[Year (Range)]]&gt;=$C$7)*(monthly_mortgage_schedule[[#This Row],[Year (Range)]]&lt;=$C$9),AO357,NA())</f>
        <v>61000.410405877403</v>
      </c>
      <c r="S357" s="214">
        <f>IF((monthly_mortgage_schedule[[#This Row],[Year (Range)]]&gt;=$C$7)*(monthly_mortgage_schedule[[#This Row],[Year (Range)]]&lt;=$C$9),AP357,NA())</f>
        <v>990</v>
      </c>
      <c r="T357" s="214">
        <f>IF((monthly_mortgage_schedule[[#This Row],[Year (Range)]]&gt;=$C$7)*(monthly_mortgage_schedule[[#This Row],[Year (Range)]]&lt;=$C$9),AR357,NA())</f>
        <v>131050.12218297692</v>
      </c>
      <c r="U357" s="214">
        <f>IF((monthly_mortgage_schedule[[#This Row],[Year (Range)]]&gt;=$C$7)*(monthly_mortgage_schedule[[#This Row],[Year (Range)]]&lt;=$C$9),AB357,NA())</f>
        <v>542995.30794004421</v>
      </c>
      <c r="V357" s="214">
        <f>IF((monthly_mortgage_schedule[[#This Row],[Year (Range)]]&gt;=$C$7)*(monthly_mortgage_schedule[[#This Row],[Year (Range)]]&lt;=$C$9),AI357,NA())</f>
        <v>480936.25656725088</v>
      </c>
      <c r="W357" s="187">
        <f t="shared" si="38"/>
        <v>0</v>
      </c>
      <c r="X357" s="4">
        <f t="shared" si="41"/>
        <v>0</v>
      </c>
      <c r="Y357" s="4">
        <f t="shared" si="39"/>
        <v>0</v>
      </c>
      <c r="Z357" s="4">
        <f>_xlfn.IFNA(INDEX(additional_mortgage_payments[],MATCH(monthly_mortgage_schedule[[#This Row],[Month]],additional_mortgage_payments[Month],0),3),0)</f>
        <v>0</v>
      </c>
      <c r="AA357" s="4">
        <f>AA356+monthly_mortgage_schedule[[#This Row],[Extra Payments Towards Equity]]</f>
        <v>39250</v>
      </c>
      <c r="AB357" s="4">
        <f>AB356+monthly_mortgage_schedule[[#This Row],[Principal With Extra Principal Payments]]+monthly_mortgage_schedule[[#This Row],[Extra Payments Towards Equity]]</f>
        <v>542995.30794004421</v>
      </c>
      <c r="AC357" s="4">
        <f>monthly_mortgage_schedule[[#This Row],[Cumulative Principal With Extra Principal Payments]]+down_payment_dollars</f>
        <v>602995.30794004421</v>
      </c>
      <c r="AD357" s="200">
        <f t="shared" si="36"/>
        <v>0</v>
      </c>
      <c r="AE35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57" s="187">
        <f t="shared" si="42"/>
        <v>61875.019835646417</v>
      </c>
      <c r="AG357" s="4">
        <f>IF(monthly_mortgage_schedule[[#This Row],[Loan Balance (BOY) Without Extra Principal Payments]]&gt;0,monthly_mortgage_schedule[[#This Row],[Loan Balance (BOY) Without Extra Principal Payments]]*monthly_interest_rate,0)</f>
        <v>288.75009256634996</v>
      </c>
      <c r="AH357" s="4">
        <f>IF(monthly_mortgage_schedule[[#This Row],[Loan Balance (BOY) Without Extra Principal Payments]]&gt;1,monthly_principal_and_interest-monthly_mortgage_schedule[[#This Row],[Interest Without Extra Principal Payments]],0)</f>
        <v>2811.2764028970582</v>
      </c>
      <c r="AI357" s="4">
        <f>AI356+monthly_mortgage_schedule[[#This Row],[Principal Without Extra Principal Payments]]</f>
        <v>480936.25656725088</v>
      </c>
      <c r="AJ357" s="4">
        <f>monthly_mortgage_schedule[[#This Row],[Cumulative Principal Without Extra Principal Payments]]+down_payment_dollars</f>
        <v>540936.25656725094</v>
      </c>
      <c r="AK357" s="200">
        <f t="shared" si="37"/>
        <v>0</v>
      </c>
      <c r="AL35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59063.743432749361</v>
      </c>
      <c r="AN357" s="196">
        <f>monthly_mortgage_schedule[[#This Row],[Extra Payments Towards Equity]]+AN356+IF(monthly_mortgage_schedule[[#This Row],[Interest With Extra Principal Payments]]&gt;0,monthly_mortgage_schedule[[#This Row],[Interest Without Extra Principal Payments]]-monthly_mortgage_schedule[[#This Row],[Interest With Extra Principal Payments]],0)</f>
        <v>100250.41040587741</v>
      </c>
      <c r="AO357" s="4">
        <f>AO356+IF(monthly_mortgage_schedule[[#This Row],[Interest With Extra Principal Payments]]&gt;0,monthly_mortgage_schedule[[#This Row],[Interest Without Extra Principal Payments]]-monthly_mortgage_schedule[[#This Row],[Interest With Extra Principal Payments]],0)</f>
        <v>61000.410405877403</v>
      </c>
      <c r="AP357" s="4">
        <f>AP356+monthly_mortgage_schedule[[#This Row],[PMI Without Extra Principal Payments]]-monthly_mortgage_schedule[[#This Row],[PMI with Additional Payments]]</f>
        <v>990</v>
      </c>
      <c r="AQ357" s="4">
        <f t="shared" si="40"/>
        <v>170300.12218297692</v>
      </c>
      <c r="AR357" s="4">
        <f>Table60[[#This Row],[Cumulative Investments]]-monthly_mortgage_schedule[[#This Row],[Cumulative Extra Payments Towards Equity]]</f>
        <v>131050.12218297692</v>
      </c>
    </row>
    <row r="358" spans="9:44" x14ac:dyDescent="0.25">
      <c r="I358">
        <v>341</v>
      </c>
      <c r="J358">
        <f>IF(MOD(ROWS($J$18:J357),12)=0,J357+1,J357)</f>
        <v>2050</v>
      </c>
      <c r="K358" s="198">
        <f>IF(M358="#N/A",NA(),monthly_mortgage_schedule[[#This Row],[Month]])</f>
        <v>341</v>
      </c>
      <c r="L358" s="198">
        <f>IF(monthly_mortgage_schedule[[#This Row],[Calendar Year]]&gt;=$C$7,monthly_mortgage_schedule[[#This Row],[Calendar Year]],NA())</f>
        <v>2050</v>
      </c>
      <c r="M358" s="199">
        <f>IF((monthly_mortgage_schedule[[#This Row],[Calendar Year]]&gt;=$C$7)*(monthly_mortgage_schedule[[#This Row],[Calendar Year]]&lt;=$C$9),monthly_mortgage_schedule[[#This Row],[Begin Year (Range)]],NA())</f>
        <v>2050</v>
      </c>
      <c r="N358" s="214">
        <f>IF((monthly_mortgage_schedule[[#This Row],[Year (Range)]]&gt;=$C$7)*(monthly_mortgage_schedule[[#This Row],[Year (Range)]]&lt;=$C$9),X358,NA())</f>
        <v>0</v>
      </c>
      <c r="O358" s="214">
        <f>IF((monthly_mortgage_schedule[[#This Row],[Year (Range)]]&gt;=$C$7)*(monthly_mortgage_schedule[[#This Row],[Year (Range)]]&lt;=$C$9),Y358,NA())</f>
        <v>0</v>
      </c>
      <c r="P358" s="214">
        <f>IF((monthly_mortgage_schedule[[#This Row],[Year (Range)]]&gt;=$C$7)*(monthly_mortgage_schedule[[#This Row],[Year (Range)]]&lt;=$C$9),AG358,NA())</f>
        <v>275.63080268616369</v>
      </c>
      <c r="Q358" s="214">
        <f>IF((monthly_mortgage_schedule[[#This Row],[Year (Range)]]&gt;=$C$7)*(monthly_mortgage_schedule[[#This Row],[Year (Range)]]&lt;=$C$9),AH358,NA())</f>
        <v>2824.3956927772442</v>
      </c>
      <c r="R358" s="214">
        <f>IF((monthly_mortgage_schedule[[#This Row],[Year (Range)]]&gt;=$C$7)*(monthly_mortgage_schedule[[#This Row],[Year (Range)]]&lt;=$C$9),AO358,NA())</f>
        <v>61000.410405877403</v>
      </c>
      <c r="S358" s="214">
        <f>IF((monthly_mortgage_schedule[[#This Row],[Year (Range)]]&gt;=$C$7)*(monthly_mortgage_schedule[[#This Row],[Year (Range)]]&lt;=$C$9),AP358,NA())</f>
        <v>990</v>
      </c>
      <c r="T358" s="214">
        <f>IF((monthly_mortgage_schedule[[#This Row],[Year (Range)]]&gt;=$C$7)*(monthly_mortgage_schedule[[#This Row],[Year (Range)]]&lt;=$C$9),AR358,NA())</f>
        <v>132185.45633086341</v>
      </c>
      <c r="U358" s="214">
        <f>IF((monthly_mortgage_schedule[[#This Row],[Year (Range)]]&gt;=$C$7)*(monthly_mortgage_schedule[[#This Row],[Year (Range)]]&lt;=$C$9),AB358,NA())</f>
        <v>542995.30794004421</v>
      </c>
      <c r="V358" s="214">
        <f>IF((monthly_mortgage_schedule[[#This Row],[Year (Range)]]&gt;=$C$7)*(monthly_mortgage_schedule[[#This Row],[Year (Range)]]&lt;=$C$9),AI358,NA())</f>
        <v>483760.65226002812</v>
      </c>
      <c r="W358" s="187">
        <f t="shared" si="38"/>
        <v>0</v>
      </c>
      <c r="X358" s="4">
        <f t="shared" si="41"/>
        <v>0</v>
      </c>
      <c r="Y358" s="4">
        <f t="shared" si="39"/>
        <v>0</v>
      </c>
      <c r="Z358" s="4">
        <f>_xlfn.IFNA(INDEX(additional_mortgage_payments[],MATCH(monthly_mortgage_schedule[[#This Row],[Month]],additional_mortgage_payments[Month],0),3),0)</f>
        <v>0</v>
      </c>
      <c r="AA358" s="4">
        <f>AA357+monthly_mortgage_schedule[[#This Row],[Extra Payments Towards Equity]]</f>
        <v>39250</v>
      </c>
      <c r="AB358" s="4">
        <f>AB357+monthly_mortgage_schedule[[#This Row],[Principal With Extra Principal Payments]]+monthly_mortgage_schedule[[#This Row],[Extra Payments Towards Equity]]</f>
        <v>542995.30794004421</v>
      </c>
      <c r="AC358" s="4">
        <f>monthly_mortgage_schedule[[#This Row],[Cumulative Principal With Extra Principal Payments]]+down_payment_dollars</f>
        <v>602995.30794004421</v>
      </c>
      <c r="AD358" s="200">
        <f t="shared" si="36"/>
        <v>0</v>
      </c>
      <c r="AE35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58" s="187">
        <f t="shared" si="42"/>
        <v>59063.743432749361</v>
      </c>
      <c r="AG358" s="4">
        <f>IF(monthly_mortgage_schedule[[#This Row],[Loan Balance (BOY) Without Extra Principal Payments]]&gt;0,monthly_mortgage_schedule[[#This Row],[Loan Balance (BOY) Without Extra Principal Payments]]*monthly_interest_rate,0)</f>
        <v>275.63080268616369</v>
      </c>
      <c r="AH358" s="4">
        <f>IF(monthly_mortgage_schedule[[#This Row],[Loan Balance (BOY) Without Extra Principal Payments]]&gt;1,monthly_principal_and_interest-monthly_mortgage_schedule[[#This Row],[Interest Without Extra Principal Payments]],0)</f>
        <v>2824.3956927772442</v>
      </c>
      <c r="AI358" s="4">
        <f>AI357+monthly_mortgage_schedule[[#This Row],[Principal Without Extra Principal Payments]]</f>
        <v>483760.65226002812</v>
      </c>
      <c r="AJ358" s="4">
        <f>monthly_mortgage_schedule[[#This Row],[Cumulative Principal Without Extra Principal Payments]]+down_payment_dollars</f>
        <v>543760.65226002806</v>
      </c>
      <c r="AK358" s="200">
        <f t="shared" si="37"/>
        <v>0</v>
      </c>
      <c r="AL35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56239.347739972116</v>
      </c>
      <c r="AN358" s="196">
        <f>monthly_mortgage_schedule[[#This Row],[Extra Payments Towards Equity]]+AN357+IF(monthly_mortgage_schedule[[#This Row],[Interest With Extra Principal Payments]]&gt;0,monthly_mortgage_schedule[[#This Row],[Interest Without Extra Principal Payments]]-monthly_mortgage_schedule[[#This Row],[Interest With Extra Principal Payments]],0)</f>
        <v>100250.41040587741</v>
      </c>
      <c r="AO358" s="4">
        <f>AO357+IF(monthly_mortgage_schedule[[#This Row],[Interest With Extra Principal Payments]]&gt;0,monthly_mortgage_schedule[[#This Row],[Interest Without Extra Principal Payments]]-monthly_mortgage_schedule[[#This Row],[Interest With Extra Principal Payments]],0)</f>
        <v>61000.410405877403</v>
      </c>
      <c r="AP358" s="4">
        <f>AP357+monthly_mortgage_schedule[[#This Row],[PMI Without Extra Principal Payments]]-monthly_mortgage_schedule[[#This Row],[PMI with Additional Payments]]</f>
        <v>990</v>
      </c>
      <c r="AQ358" s="4">
        <f t="shared" si="40"/>
        <v>171435.45633086341</v>
      </c>
      <c r="AR358" s="4">
        <f>Table60[[#This Row],[Cumulative Investments]]-monthly_mortgage_schedule[[#This Row],[Cumulative Extra Payments Towards Equity]]</f>
        <v>132185.45633086341</v>
      </c>
    </row>
    <row r="359" spans="9:44" x14ac:dyDescent="0.25">
      <c r="I359">
        <v>342</v>
      </c>
      <c r="J359">
        <f>IF(MOD(ROWS($J$18:J358),12)=0,J358+1,J358)</f>
        <v>2050</v>
      </c>
      <c r="K359" s="198">
        <f>IF(M359="#N/A",NA(),monthly_mortgage_schedule[[#This Row],[Month]])</f>
        <v>342</v>
      </c>
      <c r="L359" s="198">
        <f>IF(monthly_mortgage_schedule[[#This Row],[Calendar Year]]&gt;=$C$7,monthly_mortgage_schedule[[#This Row],[Calendar Year]],NA())</f>
        <v>2050</v>
      </c>
      <c r="M359" s="199">
        <f>IF((monthly_mortgage_schedule[[#This Row],[Calendar Year]]&gt;=$C$7)*(monthly_mortgage_schedule[[#This Row],[Calendar Year]]&lt;=$C$9),monthly_mortgage_schedule[[#This Row],[Begin Year (Range)]],NA())</f>
        <v>2050</v>
      </c>
      <c r="N359" s="214">
        <f>IF((monthly_mortgage_schedule[[#This Row],[Year (Range)]]&gt;=$C$7)*(monthly_mortgage_schedule[[#This Row],[Year (Range)]]&lt;=$C$9),X359,NA())</f>
        <v>0</v>
      </c>
      <c r="O359" s="214">
        <f>IF((monthly_mortgage_schedule[[#This Row],[Year (Range)]]&gt;=$C$7)*(monthly_mortgage_schedule[[#This Row],[Year (Range)]]&lt;=$C$9),Y359,NA())</f>
        <v>0</v>
      </c>
      <c r="P359" s="214">
        <f>IF((monthly_mortgage_schedule[[#This Row],[Year (Range)]]&gt;=$C$7)*(monthly_mortgage_schedule[[#This Row],[Year (Range)]]&lt;=$C$9),AG359,NA())</f>
        <v>262.45028945320325</v>
      </c>
      <c r="Q359" s="214">
        <f>IF((monthly_mortgage_schedule[[#This Row],[Year (Range)]]&gt;=$C$7)*(monthly_mortgage_schedule[[#This Row],[Year (Range)]]&lt;=$C$9),AH359,NA())</f>
        <v>2837.5762060102047</v>
      </c>
      <c r="R359" s="214">
        <f>IF((monthly_mortgage_schedule[[#This Row],[Year (Range)]]&gt;=$C$7)*(monthly_mortgage_schedule[[#This Row],[Year (Range)]]&lt;=$C$9),AO359,NA())</f>
        <v>61000.410405877403</v>
      </c>
      <c r="S359" s="214">
        <f>IF((monthly_mortgage_schedule[[#This Row],[Year (Range)]]&gt;=$C$7)*(monthly_mortgage_schedule[[#This Row],[Year (Range)]]&lt;=$C$9),AP359,NA())</f>
        <v>990</v>
      </c>
      <c r="T359" s="214">
        <f>IF((monthly_mortgage_schedule[[#This Row],[Year (Range)]]&gt;=$C$7)*(monthly_mortgage_schedule[[#This Row],[Year (Range)]]&lt;=$C$9),AR359,NA())</f>
        <v>133328.35937306916</v>
      </c>
      <c r="U359" s="214">
        <f>IF((monthly_mortgage_schedule[[#This Row],[Year (Range)]]&gt;=$C$7)*(monthly_mortgage_schedule[[#This Row],[Year (Range)]]&lt;=$C$9),AB359,NA())</f>
        <v>542995.30794004421</v>
      </c>
      <c r="V359" s="214">
        <f>IF((monthly_mortgage_schedule[[#This Row],[Year (Range)]]&gt;=$C$7)*(monthly_mortgage_schedule[[#This Row],[Year (Range)]]&lt;=$C$9),AI359,NA())</f>
        <v>486598.2284660383</v>
      </c>
      <c r="W359" s="187">
        <f t="shared" si="38"/>
        <v>0</v>
      </c>
      <c r="X359" s="4">
        <f t="shared" si="41"/>
        <v>0</v>
      </c>
      <c r="Y359" s="4">
        <f t="shared" si="39"/>
        <v>0</v>
      </c>
      <c r="Z359" s="4">
        <f>_xlfn.IFNA(INDEX(additional_mortgage_payments[],MATCH(monthly_mortgage_schedule[[#This Row],[Month]],additional_mortgage_payments[Month],0),3),0)</f>
        <v>0</v>
      </c>
      <c r="AA359" s="4">
        <f>AA358+monthly_mortgage_schedule[[#This Row],[Extra Payments Towards Equity]]</f>
        <v>39250</v>
      </c>
      <c r="AB359" s="4">
        <f>AB358+monthly_mortgage_schedule[[#This Row],[Principal With Extra Principal Payments]]+monthly_mortgage_schedule[[#This Row],[Extra Payments Towards Equity]]</f>
        <v>542995.30794004421</v>
      </c>
      <c r="AC359" s="4">
        <f>monthly_mortgage_schedule[[#This Row],[Cumulative Principal With Extra Principal Payments]]+down_payment_dollars</f>
        <v>602995.30794004421</v>
      </c>
      <c r="AD359" s="200">
        <f t="shared" si="36"/>
        <v>0</v>
      </c>
      <c r="AE35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59" s="187">
        <f t="shared" si="42"/>
        <v>56239.347739972116</v>
      </c>
      <c r="AG359" s="4">
        <f>IF(monthly_mortgage_schedule[[#This Row],[Loan Balance (BOY) Without Extra Principal Payments]]&gt;0,monthly_mortgage_schedule[[#This Row],[Loan Balance (BOY) Without Extra Principal Payments]]*monthly_interest_rate,0)</f>
        <v>262.45028945320325</v>
      </c>
      <c r="AH359" s="4">
        <f>IF(monthly_mortgage_schedule[[#This Row],[Loan Balance (BOY) Without Extra Principal Payments]]&gt;1,monthly_principal_and_interest-monthly_mortgage_schedule[[#This Row],[Interest Without Extra Principal Payments]],0)</f>
        <v>2837.5762060102047</v>
      </c>
      <c r="AI359" s="4">
        <f>AI358+monthly_mortgage_schedule[[#This Row],[Principal Without Extra Principal Payments]]</f>
        <v>486598.2284660383</v>
      </c>
      <c r="AJ359" s="4">
        <f>monthly_mortgage_schedule[[#This Row],[Cumulative Principal Without Extra Principal Payments]]+down_payment_dollars</f>
        <v>546598.22846603836</v>
      </c>
      <c r="AK359" s="200">
        <f t="shared" si="37"/>
        <v>0</v>
      </c>
      <c r="AL35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53401.77153396191</v>
      </c>
      <c r="AN359" s="196">
        <f>monthly_mortgage_schedule[[#This Row],[Extra Payments Towards Equity]]+AN358+IF(monthly_mortgage_schedule[[#This Row],[Interest With Extra Principal Payments]]&gt;0,monthly_mortgage_schedule[[#This Row],[Interest Without Extra Principal Payments]]-monthly_mortgage_schedule[[#This Row],[Interest With Extra Principal Payments]],0)</f>
        <v>100250.41040587741</v>
      </c>
      <c r="AO359" s="4">
        <f>AO358+IF(monthly_mortgage_schedule[[#This Row],[Interest With Extra Principal Payments]]&gt;0,monthly_mortgage_schedule[[#This Row],[Interest Without Extra Principal Payments]]-monthly_mortgage_schedule[[#This Row],[Interest With Extra Principal Payments]],0)</f>
        <v>61000.410405877403</v>
      </c>
      <c r="AP359" s="4">
        <f>AP358+monthly_mortgage_schedule[[#This Row],[PMI Without Extra Principal Payments]]-monthly_mortgage_schedule[[#This Row],[PMI with Additional Payments]]</f>
        <v>990</v>
      </c>
      <c r="AQ359" s="4">
        <f t="shared" si="40"/>
        <v>172578.35937306916</v>
      </c>
      <c r="AR359" s="4">
        <f>Table60[[#This Row],[Cumulative Investments]]-monthly_mortgage_schedule[[#This Row],[Cumulative Extra Payments Towards Equity]]</f>
        <v>133328.35937306916</v>
      </c>
    </row>
    <row r="360" spans="9:44" x14ac:dyDescent="0.25">
      <c r="I360">
        <v>343</v>
      </c>
      <c r="J360">
        <f>IF(MOD(ROWS($J$18:J359),12)=0,J359+1,J359)</f>
        <v>2050</v>
      </c>
      <c r="K360" s="198">
        <f>IF(M360="#N/A",NA(),monthly_mortgage_schedule[[#This Row],[Month]])</f>
        <v>343</v>
      </c>
      <c r="L360" s="198">
        <f>IF(monthly_mortgage_schedule[[#This Row],[Calendar Year]]&gt;=$C$7,monthly_mortgage_schedule[[#This Row],[Calendar Year]],NA())</f>
        <v>2050</v>
      </c>
      <c r="M360" s="199">
        <f>IF((monthly_mortgage_schedule[[#This Row],[Calendar Year]]&gt;=$C$7)*(monthly_mortgage_schedule[[#This Row],[Calendar Year]]&lt;=$C$9),monthly_mortgage_schedule[[#This Row],[Begin Year (Range)]],NA())</f>
        <v>2050</v>
      </c>
      <c r="N360" s="214">
        <f>IF((monthly_mortgage_schedule[[#This Row],[Year (Range)]]&gt;=$C$7)*(monthly_mortgage_schedule[[#This Row],[Year (Range)]]&lt;=$C$9),X360,NA())</f>
        <v>0</v>
      </c>
      <c r="O360" s="214">
        <f>IF((monthly_mortgage_schedule[[#This Row],[Year (Range)]]&gt;=$C$7)*(monthly_mortgage_schedule[[#This Row],[Year (Range)]]&lt;=$C$9),Y360,NA())</f>
        <v>0</v>
      </c>
      <c r="P360" s="214">
        <f>IF((monthly_mortgage_schedule[[#This Row],[Year (Range)]]&gt;=$C$7)*(monthly_mortgage_schedule[[#This Row],[Year (Range)]]&lt;=$C$9),AG360,NA())</f>
        <v>249.20826715848892</v>
      </c>
      <c r="Q360" s="214">
        <f>IF((monthly_mortgage_schedule[[#This Row],[Year (Range)]]&gt;=$C$7)*(monthly_mortgage_schedule[[#This Row],[Year (Range)]]&lt;=$C$9),AH360,NA())</f>
        <v>2850.8182283049191</v>
      </c>
      <c r="R360" s="214">
        <f>IF((monthly_mortgage_schedule[[#This Row],[Year (Range)]]&gt;=$C$7)*(monthly_mortgage_schedule[[#This Row],[Year (Range)]]&lt;=$C$9),AO360,NA())</f>
        <v>61000.410405877403</v>
      </c>
      <c r="S360" s="214">
        <f>IF((monthly_mortgage_schedule[[#This Row],[Year (Range)]]&gt;=$C$7)*(monthly_mortgage_schedule[[#This Row],[Year (Range)]]&lt;=$C$9),AP360,NA())</f>
        <v>990</v>
      </c>
      <c r="T360" s="214">
        <f>IF((monthly_mortgage_schedule[[#This Row],[Year (Range)]]&gt;=$C$7)*(monthly_mortgage_schedule[[#This Row],[Year (Range)]]&lt;=$C$9),AR360,NA())</f>
        <v>134478.88176888961</v>
      </c>
      <c r="U360" s="214">
        <f>IF((monthly_mortgage_schedule[[#This Row],[Year (Range)]]&gt;=$C$7)*(monthly_mortgage_schedule[[#This Row],[Year (Range)]]&lt;=$C$9),AB360,NA())</f>
        <v>542995.30794004421</v>
      </c>
      <c r="V360" s="214">
        <f>IF((monthly_mortgage_schedule[[#This Row],[Year (Range)]]&gt;=$C$7)*(monthly_mortgage_schedule[[#This Row],[Year (Range)]]&lt;=$C$9),AI360,NA())</f>
        <v>489449.04669434321</v>
      </c>
      <c r="W360" s="187">
        <f t="shared" si="38"/>
        <v>0</v>
      </c>
      <c r="X360" s="4">
        <f t="shared" si="41"/>
        <v>0</v>
      </c>
      <c r="Y360" s="4">
        <f t="shared" si="39"/>
        <v>0</v>
      </c>
      <c r="Z360" s="4">
        <f>_xlfn.IFNA(INDEX(additional_mortgage_payments[],MATCH(monthly_mortgage_schedule[[#This Row],[Month]],additional_mortgage_payments[Month],0),3),0)</f>
        <v>0</v>
      </c>
      <c r="AA360" s="4">
        <f>AA359+monthly_mortgage_schedule[[#This Row],[Extra Payments Towards Equity]]</f>
        <v>39250</v>
      </c>
      <c r="AB360" s="4">
        <f>AB359+monthly_mortgage_schedule[[#This Row],[Principal With Extra Principal Payments]]+monthly_mortgage_schedule[[#This Row],[Extra Payments Towards Equity]]</f>
        <v>542995.30794004421</v>
      </c>
      <c r="AC360" s="4">
        <f>monthly_mortgage_schedule[[#This Row],[Cumulative Principal With Extra Principal Payments]]+down_payment_dollars</f>
        <v>602995.30794004421</v>
      </c>
      <c r="AD360" s="200">
        <f t="shared" si="36"/>
        <v>0</v>
      </c>
      <c r="AE36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60" s="187">
        <f t="shared" si="42"/>
        <v>53401.77153396191</v>
      </c>
      <c r="AG360" s="4">
        <f>IF(monthly_mortgage_schedule[[#This Row],[Loan Balance (BOY) Without Extra Principal Payments]]&gt;0,monthly_mortgage_schedule[[#This Row],[Loan Balance (BOY) Without Extra Principal Payments]]*monthly_interest_rate,0)</f>
        <v>249.20826715848892</v>
      </c>
      <c r="AH360" s="4">
        <f>IF(monthly_mortgage_schedule[[#This Row],[Loan Balance (BOY) Without Extra Principal Payments]]&gt;1,monthly_principal_and_interest-monthly_mortgage_schedule[[#This Row],[Interest Without Extra Principal Payments]],0)</f>
        <v>2850.8182283049191</v>
      </c>
      <c r="AI360" s="4">
        <f>AI359+monthly_mortgage_schedule[[#This Row],[Principal Without Extra Principal Payments]]</f>
        <v>489449.04669434321</v>
      </c>
      <c r="AJ360" s="4">
        <f>monthly_mortgage_schedule[[#This Row],[Cumulative Principal Without Extra Principal Payments]]+down_payment_dollars</f>
        <v>549449.04669434321</v>
      </c>
      <c r="AK360" s="200">
        <f t="shared" si="37"/>
        <v>0</v>
      </c>
      <c r="AL36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50550.953305656993</v>
      </c>
      <c r="AN360" s="196">
        <f>monthly_mortgage_schedule[[#This Row],[Extra Payments Towards Equity]]+AN359+IF(monthly_mortgage_schedule[[#This Row],[Interest With Extra Principal Payments]]&gt;0,monthly_mortgage_schedule[[#This Row],[Interest Without Extra Principal Payments]]-monthly_mortgage_schedule[[#This Row],[Interest With Extra Principal Payments]],0)</f>
        <v>100250.41040587741</v>
      </c>
      <c r="AO360" s="4">
        <f>AO359+IF(monthly_mortgage_schedule[[#This Row],[Interest With Extra Principal Payments]]&gt;0,monthly_mortgage_schedule[[#This Row],[Interest Without Extra Principal Payments]]-monthly_mortgage_schedule[[#This Row],[Interest With Extra Principal Payments]],0)</f>
        <v>61000.410405877403</v>
      </c>
      <c r="AP360" s="4">
        <f>AP359+monthly_mortgage_schedule[[#This Row],[PMI Without Extra Principal Payments]]-monthly_mortgage_schedule[[#This Row],[PMI with Additional Payments]]</f>
        <v>990</v>
      </c>
      <c r="AQ360" s="4">
        <f t="shared" si="40"/>
        <v>173728.88176888961</v>
      </c>
      <c r="AR360" s="4">
        <f>Table60[[#This Row],[Cumulative Investments]]-monthly_mortgage_schedule[[#This Row],[Cumulative Extra Payments Towards Equity]]</f>
        <v>134478.88176888961</v>
      </c>
    </row>
    <row r="361" spans="9:44" x14ac:dyDescent="0.25">
      <c r="I361">
        <v>344</v>
      </c>
      <c r="J361">
        <f>IF(MOD(ROWS($J$18:J360),12)=0,J360+1,J360)</f>
        <v>2050</v>
      </c>
      <c r="K361" s="198">
        <f>IF(M361="#N/A",NA(),monthly_mortgage_schedule[[#This Row],[Month]])</f>
        <v>344</v>
      </c>
      <c r="L361" s="198">
        <f>IF(monthly_mortgage_schedule[[#This Row],[Calendar Year]]&gt;=$C$7,monthly_mortgage_schedule[[#This Row],[Calendar Year]],NA())</f>
        <v>2050</v>
      </c>
      <c r="M361" s="199">
        <f>IF((monthly_mortgage_schedule[[#This Row],[Calendar Year]]&gt;=$C$7)*(monthly_mortgage_schedule[[#This Row],[Calendar Year]]&lt;=$C$9),monthly_mortgage_schedule[[#This Row],[Begin Year (Range)]],NA())</f>
        <v>2050</v>
      </c>
      <c r="N361" s="214">
        <f>IF((monthly_mortgage_schedule[[#This Row],[Year (Range)]]&gt;=$C$7)*(monthly_mortgage_schedule[[#This Row],[Year (Range)]]&lt;=$C$9),X361,NA())</f>
        <v>0</v>
      </c>
      <c r="O361" s="214">
        <f>IF((monthly_mortgage_schedule[[#This Row],[Year (Range)]]&gt;=$C$7)*(monthly_mortgage_schedule[[#This Row],[Year (Range)]]&lt;=$C$9),Y361,NA())</f>
        <v>0</v>
      </c>
      <c r="P361" s="214">
        <f>IF((monthly_mortgage_schedule[[#This Row],[Year (Range)]]&gt;=$C$7)*(monthly_mortgage_schedule[[#This Row],[Year (Range)]]&lt;=$C$9),AG361,NA())</f>
        <v>235.90444875973265</v>
      </c>
      <c r="Q361" s="214">
        <f>IF((monthly_mortgage_schedule[[#This Row],[Year (Range)]]&gt;=$C$7)*(monthly_mortgage_schedule[[#This Row],[Year (Range)]]&lt;=$C$9),AH361,NA())</f>
        <v>2864.1220467036756</v>
      </c>
      <c r="R361" s="214">
        <f>IF((monthly_mortgage_schedule[[#This Row],[Year (Range)]]&gt;=$C$7)*(monthly_mortgage_schedule[[#This Row],[Year (Range)]]&lt;=$C$9),AO361,NA())</f>
        <v>61000.410405877403</v>
      </c>
      <c r="S361" s="214">
        <f>IF((monthly_mortgage_schedule[[#This Row],[Year (Range)]]&gt;=$C$7)*(monthly_mortgage_schedule[[#This Row],[Year (Range)]]&lt;=$C$9),AP361,NA())</f>
        <v>990</v>
      </c>
      <c r="T361" s="214">
        <f>IF((monthly_mortgage_schedule[[#This Row],[Year (Range)]]&gt;=$C$7)*(monthly_mortgage_schedule[[#This Row],[Year (Range)]]&lt;=$C$9),AR361,NA())</f>
        <v>135637.07431401554</v>
      </c>
      <c r="U361" s="214">
        <f>IF((monthly_mortgage_schedule[[#This Row],[Year (Range)]]&gt;=$C$7)*(monthly_mortgage_schedule[[#This Row],[Year (Range)]]&lt;=$C$9),AB361,NA())</f>
        <v>542995.30794004421</v>
      </c>
      <c r="V361" s="214">
        <f>IF((monthly_mortgage_schedule[[#This Row],[Year (Range)]]&gt;=$C$7)*(monthly_mortgage_schedule[[#This Row],[Year (Range)]]&lt;=$C$9),AI361,NA())</f>
        <v>492313.16874104686</v>
      </c>
      <c r="W361" s="187">
        <f t="shared" si="38"/>
        <v>0</v>
      </c>
      <c r="X361" s="4">
        <f t="shared" si="41"/>
        <v>0</v>
      </c>
      <c r="Y361" s="4">
        <f t="shared" si="39"/>
        <v>0</v>
      </c>
      <c r="Z361" s="4">
        <f>_xlfn.IFNA(INDEX(additional_mortgage_payments[],MATCH(monthly_mortgage_schedule[[#This Row],[Month]],additional_mortgage_payments[Month],0),3),0)</f>
        <v>0</v>
      </c>
      <c r="AA361" s="4">
        <f>AA360+monthly_mortgage_schedule[[#This Row],[Extra Payments Towards Equity]]</f>
        <v>39250</v>
      </c>
      <c r="AB361" s="4">
        <f>AB360+monthly_mortgage_schedule[[#This Row],[Principal With Extra Principal Payments]]+monthly_mortgage_schedule[[#This Row],[Extra Payments Towards Equity]]</f>
        <v>542995.30794004421</v>
      </c>
      <c r="AC361" s="4">
        <f>monthly_mortgage_schedule[[#This Row],[Cumulative Principal With Extra Principal Payments]]+down_payment_dollars</f>
        <v>602995.30794004421</v>
      </c>
      <c r="AD361" s="200">
        <f t="shared" si="36"/>
        <v>0</v>
      </c>
      <c r="AE36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61" s="187">
        <f t="shared" si="42"/>
        <v>50550.953305656993</v>
      </c>
      <c r="AG361" s="4">
        <f>IF(monthly_mortgage_schedule[[#This Row],[Loan Balance (BOY) Without Extra Principal Payments]]&gt;0,monthly_mortgage_schedule[[#This Row],[Loan Balance (BOY) Without Extra Principal Payments]]*monthly_interest_rate,0)</f>
        <v>235.90444875973265</v>
      </c>
      <c r="AH361" s="4">
        <f>IF(monthly_mortgage_schedule[[#This Row],[Loan Balance (BOY) Without Extra Principal Payments]]&gt;1,monthly_principal_and_interest-monthly_mortgage_schedule[[#This Row],[Interest Without Extra Principal Payments]],0)</f>
        <v>2864.1220467036756</v>
      </c>
      <c r="AI361" s="4">
        <f>AI360+monthly_mortgage_schedule[[#This Row],[Principal Without Extra Principal Payments]]</f>
        <v>492313.16874104686</v>
      </c>
      <c r="AJ361" s="4">
        <f>monthly_mortgage_schedule[[#This Row],[Cumulative Principal Without Extra Principal Payments]]+down_payment_dollars</f>
        <v>552313.16874104692</v>
      </c>
      <c r="AK361" s="200">
        <f t="shared" si="37"/>
        <v>0</v>
      </c>
      <c r="AL36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47686.831258953316</v>
      </c>
      <c r="AN361" s="196">
        <f>monthly_mortgage_schedule[[#This Row],[Extra Payments Towards Equity]]+AN360+IF(monthly_mortgage_schedule[[#This Row],[Interest With Extra Principal Payments]]&gt;0,monthly_mortgage_schedule[[#This Row],[Interest Without Extra Principal Payments]]-monthly_mortgage_schedule[[#This Row],[Interest With Extra Principal Payments]],0)</f>
        <v>100250.41040587741</v>
      </c>
      <c r="AO361" s="4">
        <f>AO360+IF(monthly_mortgage_schedule[[#This Row],[Interest With Extra Principal Payments]]&gt;0,monthly_mortgage_schedule[[#This Row],[Interest Without Extra Principal Payments]]-monthly_mortgage_schedule[[#This Row],[Interest With Extra Principal Payments]],0)</f>
        <v>61000.410405877403</v>
      </c>
      <c r="AP361" s="4">
        <f>AP360+monthly_mortgage_schedule[[#This Row],[PMI Without Extra Principal Payments]]-monthly_mortgage_schedule[[#This Row],[PMI with Additional Payments]]</f>
        <v>990</v>
      </c>
      <c r="AQ361" s="4">
        <f t="shared" si="40"/>
        <v>174887.07431401554</v>
      </c>
      <c r="AR361" s="4">
        <f>Table60[[#This Row],[Cumulative Investments]]-monthly_mortgage_schedule[[#This Row],[Cumulative Extra Payments Towards Equity]]</f>
        <v>135637.07431401554</v>
      </c>
    </row>
    <row r="362" spans="9:44" x14ac:dyDescent="0.25">
      <c r="I362">
        <v>345</v>
      </c>
      <c r="J362">
        <f>IF(MOD(ROWS($J$18:J361),12)=0,J361+1,J361)</f>
        <v>2050</v>
      </c>
      <c r="K362" s="198">
        <f>IF(M362="#N/A",NA(),monthly_mortgage_schedule[[#This Row],[Month]])</f>
        <v>345</v>
      </c>
      <c r="L362" s="198">
        <f>IF(monthly_mortgage_schedule[[#This Row],[Calendar Year]]&gt;=$C$7,monthly_mortgage_schedule[[#This Row],[Calendar Year]],NA())</f>
        <v>2050</v>
      </c>
      <c r="M362" s="199">
        <f>IF((monthly_mortgage_schedule[[#This Row],[Calendar Year]]&gt;=$C$7)*(monthly_mortgage_schedule[[#This Row],[Calendar Year]]&lt;=$C$9),monthly_mortgage_schedule[[#This Row],[Begin Year (Range)]],NA())</f>
        <v>2050</v>
      </c>
      <c r="N362" s="214">
        <f>IF((monthly_mortgage_schedule[[#This Row],[Year (Range)]]&gt;=$C$7)*(monthly_mortgage_schedule[[#This Row],[Year (Range)]]&lt;=$C$9),X362,NA())</f>
        <v>0</v>
      </c>
      <c r="O362" s="214">
        <f>IF((monthly_mortgage_schedule[[#This Row],[Year (Range)]]&gt;=$C$7)*(monthly_mortgage_schedule[[#This Row],[Year (Range)]]&lt;=$C$9),Y362,NA())</f>
        <v>0</v>
      </c>
      <c r="P362" s="214">
        <f>IF((monthly_mortgage_schedule[[#This Row],[Year (Range)]]&gt;=$C$7)*(monthly_mortgage_schedule[[#This Row],[Year (Range)]]&lt;=$C$9),AG362,NA())</f>
        <v>222.53854587511549</v>
      </c>
      <c r="Q362" s="214">
        <f>IF((monthly_mortgage_schedule[[#This Row],[Year (Range)]]&gt;=$C$7)*(monthly_mortgage_schedule[[#This Row],[Year (Range)]]&lt;=$C$9),AH362,NA())</f>
        <v>2877.4879495882924</v>
      </c>
      <c r="R362" s="214">
        <f>IF((monthly_mortgage_schedule[[#This Row],[Year (Range)]]&gt;=$C$7)*(monthly_mortgage_schedule[[#This Row],[Year (Range)]]&lt;=$C$9),AO362,NA())</f>
        <v>61000.410405877403</v>
      </c>
      <c r="S362" s="214">
        <f>IF((monthly_mortgage_schedule[[#This Row],[Year (Range)]]&gt;=$C$7)*(monthly_mortgage_schedule[[#This Row],[Year (Range)]]&lt;=$C$9),AP362,NA())</f>
        <v>990</v>
      </c>
      <c r="T362" s="214">
        <f>IF((monthly_mortgage_schedule[[#This Row],[Year (Range)]]&gt;=$C$7)*(monthly_mortgage_schedule[[#This Row],[Year (Range)]]&lt;=$C$9),AR362,NA())</f>
        <v>136802.98814277563</v>
      </c>
      <c r="U362" s="214">
        <f>IF((monthly_mortgage_schedule[[#This Row],[Year (Range)]]&gt;=$C$7)*(monthly_mortgage_schedule[[#This Row],[Year (Range)]]&lt;=$C$9),AB362,NA())</f>
        <v>542995.30794004421</v>
      </c>
      <c r="V362" s="214">
        <f>IF((monthly_mortgage_schedule[[#This Row],[Year (Range)]]&gt;=$C$7)*(monthly_mortgage_schedule[[#This Row],[Year (Range)]]&lt;=$C$9),AI362,NA())</f>
        <v>495190.65669063514</v>
      </c>
      <c r="W362" s="187">
        <f t="shared" si="38"/>
        <v>0</v>
      </c>
      <c r="X362" s="4">
        <f t="shared" si="41"/>
        <v>0</v>
      </c>
      <c r="Y362" s="4">
        <f t="shared" si="39"/>
        <v>0</v>
      </c>
      <c r="Z362" s="4">
        <f>_xlfn.IFNA(INDEX(additional_mortgage_payments[],MATCH(monthly_mortgage_schedule[[#This Row],[Month]],additional_mortgage_payments[Month],0),3),0)</f>
        <v>0</v>
      </c>
      <c r="AA362" s="4">
        <f>AA361+monthly_mortgage_schedule[[#This Row],[Extra Payments Towards Equity]]</f>
        <v>39250</v>
      </c>
      <c r="AB362" s="4">
        <f>AB361+monthly_mortgage_schedule[[#This Row],[Principal With Extra Principal Payments]]+monthly_mortgage_schedule[[#This Row],[Extra Payments Towards Equity]]</f>
        <v>542995.30794004421</v>
      </c>
      <c r="AC362" s="4">
        <f>monthly_mortgage_schedule[[#This Row],[Cumulative Principal With Extra Principal Payments]]+down_payment_dollars</f>
        <v>602995.30794004421</v>
      </c>
      <c r="AD362" s="200">
        <f t="shared" si="36"/>
        <v>0</v>
      </c>
      <c r="AE36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62" s="187">
        <f t="shared" si="42"/>
        <v>47686.831258953316</v>
      </c>
      <c r="AG362" s="4">
        <f>IF(monthly_mortgage_schedule[[#This Row],[Loan Balance (BOY) Without Extra Principal Payments]]&gt;0,monthly_mortgage_schedule[[#This Row],[Loan Balance (BOY) Without Extra Principal Payments]]*monthly_interest_rate,0)</f>
        <v>222.53854587511549</v>
      </c>
      <c r="AH362" s="4">
        <f>IF(monthly_mortgage_schedule[[#This Row],[Loan Balance (BOY) Without Extra Principal Payments]]&gt;1,monthly_principal_and_interest-monthly_mortgage_schedule[[#This Row],[Interest Without Extra Principal Payments]],0)</f>
        <v>2877.4879495882924</v>
      </c>
      <c r="AI362" s="4">
        <f>AI361+monthly_mortgage_schedule[[#This Row],[Principal Without Extra Principal Payments]]</f>
        <v>495190.65669063514</v>
      </c>
      <c r="AJ362" s="4">
        <f>monthly_mortgage_schedule[[#This Row],[Cumulative Principal Without Extra Principal Payments]]+down_payment_dollars</f>
        <v>555190.65669063514</v>
      </c>
      <c r="AK362" s="200">
        <f t="shared" si="37"/>
        <v>0</v>
      </c>
      <c r="AL36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44809.343309365024</v>
      </c>
      <c r="AN362" s="196">
        <f>monthly_mortgage_schedule[[#This Row],[Extra Payments Towards Equity]]+AN361+IF(monthly_mortgage_schedule[[#This Row],[Interest With Extra Principal Payments]]&gt;0,monthly_mortgage_schedule[[#This Row],[Interest Without Extra Principal Payments]]-monthly_mortgage_schedule[[#This Row],[Interest With Extra Principal Payments]],0)</f>
        <v>100250.41040587741</v>
      </c>
      <c r="AO362" s="4">
        <f>AO361+IF(monthly_mortgage_schedule[[#This Row],[Interest With Extra Principal Payments]]&gt;0,monthly_mortgage_schedule[[#This Row],[Interest Without Extra Principal Payments]]-monthly_mortgage_schedule[[#This Row],[Interest With Extra Principal Payments]],0)</f>
        <v>61000.410405877403</v>
      </c>
      <c r="AP362" s="4">
        <f>AP361+monthly_mortgage_schedule[[#This Row],[PMI Without Extra Principal Payments]]-monthly_mortgage_schedule[[#This Row],[PMI with Additional Payments]]</f>
        <v>990</v>
      </c>
      <c r="AQ362" s="4">
        <f t="shared" si="40"/>
        <v>176052.98814277563</v>
      </c>
      <c r="AR362" s="4">
        <f>Table60[[#This Row],[Cumulative Investments]]-monthly_mortgage_schedule[[#This Row],[Cumulative Extra Payments Towards Equity]]</f>
        <v>136802.98814277563</v>
      </c>
    </row>
    <row r="363" spans="9:44" x14ac:dyDescent="0.25">
      <c r="I363">
        <v>346</v>
      </c>
      <c r="J363">
        <f>IF(MOD(ROWS($J$18:J362),12)=0,J362+1,J362)</f>
        <v>2050</v>
      </c>
      <c r="K363" s="198">
        <f>IF(M363="#N/A",NA(),monthly_mortgage_schedule[[#This Row],[Month]])</f>
        <v>346</v>
      </c>
      <c r="L363" s="198">
        <f>IF(monthly_mortgage_schedule[[#This Row],[Calendar Year]]&gt;=$C$7,monthly_mortgage_schedule[[#This Row],[Calendar Year]],NA())</f>
        <v>2050</v>
      </c>
      <c r="M363" s="199">
        <f>IF((monthly_mortgage_schedule[[#This Row],[Calendar Year]]&gt;=$C$7)*(monthly_mortgage_schedule[[#This Row],[Calendar Year]]&lt;=$C$9),monthly_mortgage_schedule[[#This Row],[Begin Year (Range)]],NA())</f>
        <v>2050</v>
      </c>
      <c r="N363" s="214">
        <f>IF((monthly_mortgage_schedule[[#This Row],[Year (Range)]]&gt;=$C$7)*(monthly_mortgage_schedule[[#This Row],[Year (Range)]]&lt;=$C$9),X363,NA())</f>
        <v>0</v>
      </c>
      <c r="O363" s="214">
        <f>IF((monthly_mortgage_schedule[[#This Row],[Year (Range)]]&gt;=$C$7)*(monthly_mortgage_schedule[[#This Row],[Year (Range)]]&lt;=$C$9),Y363,NA())</f>
        <v>0</v>
      </c>
      <c r="P363" s="214">
        <f>IF((monthly_mortgage_schedule[[#This Row],[Year (Range)]]&gt;=$C$7)*(monthly_mortgage_schedule[[#This Row],[Year (Range)]]&lt;=$C$9),AG363,NA())</f>
        <v>209.11026877703679</v>
      </c>
      <c r="Q363" s="214">
        <f>IF((monthly_mortgage_schedule[[#This Row],[Year (Range)]]&gt;=$C$7)*(monthly_mortgage_schedule[[#This Row],[Year (Range)]]&lt;=$C$9),AH363,NA())</f>
        <v>2890.9162266863714</v>
      </c>
      <c r="R363" s="214">
        <f>IF((monthly_mortgage_schedule[[#This Row],[Year (Range)]]&gt;=$C$7)*(monthly_mortgage_schedule[[#This Row],[Year (Range)]]&lt;=$C$9),AO363,NA())</f>
        <v>61000.410405877403</v>
      </c>
      <c r="S363" s="214">
        <f>IF((monthly_mortgage_schedule[[#This Row],[Year (Range)]]&gt;=$C$7)*(monthly_mortgage_schedule[[#This Row],[Year (Range)]]&lt;=$C$9),AP363,NA())</f>
        <v>990</v>
      </c>
      <c r="T363" s="214">
        <f>IF((monthly_mortgage_schedule[[#This Row],[Year (Range)]]&gt;=$C$7)*(monthly_mortgage_schedule[[#This Row],[Year (Range)]]&lt;=$C$9),AR363,NA())</f>
        <v>137976.67473039412</v>
      </c>
      <c r="U363" s="214">
        <f>IF((monthly_mortgage_schedule[[#This Row],[Year (Range)]]&gt;=$C$7)*(monthly_mortgage_schedule[[#This Row],[Year (Range)]]&lt;=$C$9),AB363,NA())</f>
        <v>542995.30794004421</v>
      </c>
      <c r="V363" s="214">
        <f>IF((monthly_mortgage_schedule[[#This Row],[Year (Range)]]&gt;=$C$7)*(monthly_mortgage_schedule[[#This Row],[Year (Range)]]&lt;=$C$9),AI363,NA())</f>
        <v>498081.57291732152</v>
      </c>
      <c r="W363" s="187">
        <f t="shared" si="38"/>
        <v>0</v>
      </c>
      <c r="X363" s="4">
        <f t="shared" si="41"/>
        <v>0</v>
      </c>
      <c r="Y363" s="4">
        <f t="shared" si="39"/>
        <v>0</v>
      </c>
      <c r="Z363" s="4">
        <f>_xlfn.IFNA(INDEX(additional_mortgage_payments[],MATCH(monthly_mortgage_schedule[[#This Row],[Month]],additional_mortgage_payments[Month],0),3),0)</f>
        <v>0</v>
      </c>
      <c r="AA363" s="4">
        <f>AA362+monthly_mortgage_schedule[[#This Row],[Extra Payments Towards Equity]]</f>
        <v>39250</v>
      </c>
      <c r="AB363" s="4">
        <f>AB362+monthly_mortgage_schedule[[#This Row],[Principal With Extra Principal Payments]]+monthly_mortgage_schedule[[#This Row],[Extra Payments Towards Equity]]</f>
        <v>542995.30794004421</v>
      </c>
      <c r="AC363" s="4">
        <f>monthly_mortgage_schedule[[#This Row],[Cumulative Principal With Extra Principal Payments]]+down_payment_dollars</f>
        <v>602995.30794004421</v>
      </c>
      <c r="AD363" s="200">
        <f t="shared" si="36"/>
        <v>0</v>
      </c>
      <c r="AE36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63" s="187">
        <f t="shared" si="42"/>
        <v>44809.343309365024</v>
      </c>
      <c r="AG363" s="4">
        <f>IF(monthly_mortgage_schedule[[#This Row],[Loan Balance (BOY) Without Extra Principal Payments]]&gt;0,monthly_mortgage_schedule[[#This Row],[Loan Balance (BOY) Without Extra Principal Payments]]*monthly_interest_rate,0)</f>
        <v>209.11026877703679</v>
      </c>
      <c r="AH363" s="4">
        <f>IF(monthly_mortgage_schedule[[#This Row],[Loan Balance (BOY) Without Extra Principal Payments]]&gt;1,monthly_principal_and_interest-monthly_mortgage_schedule[[#This Row],[Interest Without Extra Principal Payments]],0)</f>
        <v>2890.9162266863714</v>
      </c>
      <c r="AI363" s="4">
        <f>AI362+monthly_mortgage_schedule[[#This Row],[Principal Without Extra Principal Payments]]</f>
        <v>498081.57291732152</v>
      </c>
      <c r="AJ363" s="4">
        <f>monthly_mortgage_schedule[[#This Row],[Cumulative Principal Without Extra Principal Payments]]+down_payment_dollars</f>
        <v>558081.57291732146</v>
      </c>
      <c r="AK363" s="200">
        <f t="shared" si="37"/>
        <v>0</v>
      </c>
      <c r="AL36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41918.427082678652</v>
      </c>
      <c r="AN363" s="196">
        <f>monthly_mortgage_schedule[[#This Row],[Extra Payments Towards Equity]]+AN362+IF(monthly_mortgage_schedule[[#This Row],[Interest With Extra Principal Payments]]&gt;0,monthly_mortgage_schedule[[#This Row],[Interest Without Extra Principal Payments]]-monthly_mortgage_schedule[[#This Row],[Interest With Extra Principal Payments]],0)</f>
        <v>100250.41040587741</v>
      </c>
      <c r="AO363" s="4">
        <f>AO362+IF(monthly_mortgage_schedule[[#This Row],[Interest With Extra Principal Payments]]&gt;0,monthly_mortgage_schedule[[#This Row],[Interest Without Extra Principal Payments]]-monthly_mortgage_schedule[[#This Row],[Interest With Extra Principal Payments]],0)</f>
        <v>61000.410405877403</v>
      </c>
      <c r="AP363" s="4">
        <f>AP362+monthly_mortgage_schedule[[#This Row],[PMI Without Extra Principal Payments]]-monthly_mortgage_schedule[[#This Row],[PMI with Additional Payments]]</f>
        <v>990</v>
      </c>
      <c r="AQ363" s="4">
        <f t="shared" si="40"/>
        <v>177226.67473039412</v>
      </c>
      <c r="AR363" s="4">
        <f>Table60[[#This Row],[Cumulative Investments]]-monthly_mortgage_schedule[[#This Row],[Cumulative Extra Payments Towards Equity]]</f>
        <v>137976.67473039412</v>
      </c>
    </row>
    <row r="364" spans="9:44" x14ac:dyDescent="0.25">
      <c r="I364">
        <v>347</v>
      </c>
      <c r="J364">
        <f>IF(MOD(ROWS($J$18:J363),12)=0,J363+1,J363)</f>
        <v>2050</v>
      </c>
      <c r="K364" s="198">
        <f>IF(M364="#N/A",NA(),monthly_mortgage_schedule[[#This Row],[Month]])</f>
        <v>347</v>
      </c>
      <c r="L364" s="198">
        <f>IF(monthly_mortgage_schedule[[#This Row],[Calendar Year]]&gt;=$C$7,monthly_mortgage_schedule[[#This Row],[Calendar Year]],NA())</f>
        <v>2050</v>
      </c>
      <c r="M364" s="199">
        <f>IF((monthly_mortgage_schedule[[#This Row],[Calendar Year]]&gt;=$C$7)*(monthly_mortgage_schedule[[#This Row],[Calendar Year]]&lt;=$C$9),monthly_mortgage_schedule[[#This Row],[Begin Year (Range)]],NA())</f>
        <v>2050</v>
      </c>
      <c r="N364" s="214">
        <f>IF((monthly_mortgage_schedule[[#This Row],[Year (Range)]]&gt;=$C$7)*(monthly_mortgage_schedule[[#This Row],[Year (Range)]]&lt;=$C$9),X364,NA())</f>
        <v>0</v>
      </c>
      <c r="O364" s="214">
        <f>IF((monthly_mortgage_schedule[[#This Row],[Year (Range)]]&gt;=$C$7)*(monthly_mortgage_schedule[[#This Row],[Year (Range)]]&lt;=$C$9),Y364,NA())</f>
        <v>0</v>
      </c>
      <c r="P364" s="214">
        <f>IF((monthly_mortgage_schedule[[#This Row],[Year (Range)]]&gt;=$C$7)*(monthly_mortgage_schedule[[#This Row],[Year (Range)]]&lt;=$C$9),AG364,NA())</f>
        <v>195.61932638583372</v>
      </c>
      <c r="Q364" s="214">
        <f>IF((monthly_mortgage_schedule[[#This Row],[Year (Range)]]&gt;=$C$7)*(monthly_mortgage_schedule[[#This Row],[Year (Range)]]&lt;=$C$9),AH364,NA())</f>
        <v>2904.4071690775745</v>
      </c>
      <c r="R364" s="214">
        <f>IF((monthly_mortgage_schedule[[#This Row],[Year (Range)]]&gt;=$C$7)*(monthly_mortgage_schedule[[#This Row],[Year (Range)]]&lt;=$C$9),AO364,NA())</f>
        <v>61000.410405877403</v>
      </c>
      <c r="S364" s="214">
        <f>IF((monthly_mortgage_schedule[[#This Row],[Year (Range)]]&gt;=$C$7)*(monthly_mortgage_schedule[[#This Row],[Year (Range)]]&lt;=$C$9),AP364,NA())</f>
        <v>990</v>
      </c>
      <c r="T364" s="214">
        <f>IF((monthly_mortgage_schedule[[#This Row],[Year (Range)]]&gt;=$C$7)*(monthly_mortgage_schedule[[#This Row],[Year (Range)]]&lt;=$C$9),AR364,NA())</f>
        <v>139158.18589526339</v>
      </c>
      <c r="U364" s="214">
        <f>IF((monthly_mortgage_schedule[[#This Row],[Year (Range)]]&gt;=$C$7)*(monthly_mortgage_schedule[[#This Row],[Year (Range)]]&lt;=$C$9),AB364,NA())</f>
        <v>542995.30794004421</v>
      </c>
      <c r="V364" s="214">
        <f>IF((monthly_mortgage_schedule[[#This Row],[Year (Range)]]&gt;=$C$7)*(monthly_mortgage_schedule[[#This Row],[Year (Range)]]&lt;=$C$9),AI364,NA())</f>
        <v>500985.98008639913</v>
      </c>
      <c r="W364" s="187">
        <f t="shared" si="38"/>
        <v>0</v>
      </c>
      <c r="X364" s="4">
        <f t="shared" si="41"/>
        <v>0</v>
      </c>
      <c r="Y364" s="4">
        <f t="shared" si="39"/>
        <v>0</v>
      </c>
      <c r="Z364" s="4">
        <f>_xlfn.IFNA(INDEX(additional_mortgage_payments[],MATCH(monthly_mortgage_schedule[[#This Row],[Month]],additional_mortgage_payments[Month],0),3),0)</f>
        <v>0</v>
      </c>
      <c r="AA364" s="4">
        <f>AA363+monthly_mortgage_schedule[[#This Row],[Extra Payments Towards Equity]]</f>
        <v>39250</v>
      </c>
      <c r="AB364" s="4">
        <f>AB363+monthly_mortgage_schedule[[#This Row],[Principal With Extra Principal Payments]]+monthly_mortgage_schedule[[#This Row],[Extra Payments Towards Equity]]</f>
        <v>542995.30794004421</v>
      </c>
      <c r="AC364" s="4">
        <f>monthly_mortgage_schedule[[#This Row],[Cumulative Principal With Extra Principal Payments]]+down_payment_dollars</f>
        <v>602995.30794004421</v>
      </c>
      <c r="AD364" s="200">
        <f t="shared" si="36"/>
        <v>0</v>
      </c>
      <c r="AE36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64" s="187">
        <f t="shared" si="42"/>
        <v>41918.427082678652</v>
      </c>
      <c r="AG364" s="4">
        <f>IF(monthly_mortgage_schedule[[#This Row],[Loan Balance (BOY) Without Extra Principal Payments]]&gt;0,monthly_mortgage_schedule[[#This Row],[Loan Balance (BOY) Without Extra Principal Payments]]*monthly_interest_rate,0)</f>
        <v>195.61932638583372</v>
      </c>
      <c r="AH364" s="4">
        <f>IF(monthly_mortgage_schedule[[#This Row],[Loan Balance (BOY) Without Extra Principal Payments]]&gt;1,monthly_principal_and_interest-monthly_mortgage_schedule[[#This Row],[Interest Without Extra Principal Payments]],0)</f>
        <v>2904.4071690775745</v>
      </c>
      <c r="AI364" s="4">
        <f>AI363+monthly_mortgage_schedule[[#This Row],[Principal Without Extra Principal Payments]]</f>
        <v>500985.98008639913</v>
      </c>
      <c r="AJ364" s="4">
        <f>monthly_mortgage_schedule[[#This Row],[Cumulative Principal Without Extra Principal Payments]]+down_payment_dollars</f>
        <v>560985.98008639913</v>
      </c>
      <c r="AK364" s="200">
        <f t="shared" si="37"/>
        <v>0</v>
      </c>
      <c r="AL36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39014.019913601078</v>
      </c>
      <c r="AN364" s="196">
        <f>monthly_mortgage_schedule[[#This Row],[Extra Payments Towards Equity]]+AN363+IF(monthly_mortgage_schedule[[#This Row],[Interest With Extra Principal Payments]]&gt;0,monthly_mortgage_schedule[[#This Row],[Interest Without Extra Principal Payments]]-monthly_mortgage_schedule[[#This Row],[Interest With Extra Principal Payments]],0)</f>
        <v>100250.41040587741</v>
      </c>
      <c r="AO364" s="4">
        <f>AO363+IF(monthly_mortgage_schedule[[#This Row],[Interest With Extra Principal Payments]]&gt;0,monthly_mortgage_schedule[[#This Row],[Interest Without Extra Principal Payments]]-monthly_mortgage_schedule[[#This Row],[Interest With Extra Principal Payments]],0)</f>
        <v>61000.410405877403</v>
      </c>
      <c r="AP364" s="4">
        <f>AP363+monthly_mortgage_schedule[[#This Row],[PMI Without Extra Principal Payments]]-monthly_mortgage_schedule[[#This Row],[PMI with Additional Payments]]</f>
        <v>990</v>
      </c>
      <c r="AQ364" s="4">
        <f t="shared" si="40"/>
        <v>178408.18589526339</v>
      </c>
      <c r="AR364" s="4">
        <f>Table60[[#This Row],[Cumulative Investments]]-monthly_mortgage_schedule[[#This Row],[Cumulative Extra Payments Towards Equity]]</f>
        <v>139158.18589526339</v>
      </c>
    </row>
    <row r="365" spans="9:44" x14ac:dyDescent="0.25">
      <c r="I365">
        <v>348</v>
      </c>
      <c r="J365">
        <f>IF(MOD(ROWS($J$18:J364),12)=0,J364+1,J364)</f>
        <v>2050</v>
      </c>
      <c r="K365" s="198">
        <f>IF(M365="#N/A",NA(),monthly_mortgage_schedule[[#This Row],[Month]])</f>
        <v>348</v>
      </c>
      <c r="L365" s="198">
        <f>IF(monthly_mortgage_schedule[[#This Row],[Calendar Year]]&gt;=$C$7,monthly_mortgage_schedule[[#This Row],[Calendar Year]],NA())</f>
        <v>2050</v>
      </c>
      <c r="M365" s="199">
        <f>IF((monthly_mortgage_schedule[[#This Row],[Calendar Year]]&gt;=$C$7)*(monthly_mortgage_schedule[[#This Row],[Calendar Year]]&lt;=$C$9),monthly_mortgage_schedule[[#This Row],[Begin Year (Range)]],NA())</f>
        <v>2050</v>
      </c>
      <c r="N365" s="214">
        <f>IF((monthly_mortgage_schedule[[#This Row],[Year (Range)]]&gt;=$C$7)*(monthly_mortgage_schedule[[#This Row],[Year (Range)]]&lt;=$C$9),X365,NA())</f>
        <v>0</v>
      </c>
      <c r="O365" s="214">
        <f>IF((monthly_mortgage_schedule[[#This Row],[Year (Range)]]&gt;=$C$7)*(monthly_mortgage_schedule[[#This Row],[Year (Range)]]&lt;=$C$9),Y365,NA())</f>
        <v>0</v>
      </c>
      <c r="P365" s="214">
        <f>IF((monthly_mortgage_schedule[[#This Row],[Year (Range)]]&gt;=$C$7)*(monthly_mortgage_schedule[[#This Row],[Year (Range)]]&lt;=$C$9),AG365,NA())</f>
        <v>182.06542626347172</v>
      </c>
      <c r="Q365" s="214">
        <f>IF((monthly_mortgage_schedule[[#This Row],[Year (Range)]]&gt;=$C$7)*(monthly_mortgage_schedule[[#This Row],[Year (Range)]]&lt;=$C$9),AH365,NA())</f>
        <v>2917.9610691999364</v>
      </c>
      <c r="R365" s="214">
        <f>IF((monthly_mortgage_schedule[[#This Row],[Year (Range)]]&gt;=$C$7)*(monthly_mortgage_schedule[[#This Row],[Year (Range)]]&lt;=$C$9),AO365,NA())</f>
        <v>61000.410405877403</v>
      </c>
      <c r="S365" s="214">
        <f>IF((monthly_mortgage_schedule[[#This Row],[Year (Range)]]&gt;=$C$7)*(monthly_mortgage_schedule[[#This Row],[Year (Range)]]&lt;=$C$9),AP365,NA())</f>
        <v>990</v>
      </c>
      <c r="T365" s="214">
        <f>IF((monthly_mortgage_schedule[[#This Row],[Year (Range)]]&gt;=$C$7)*(monthly_mortgage_schedule[[#This Row],[Year (Range)]]&lt;=$C$9),AR365,NA())</f>
        <v>140347.5738012318</v>
      </c>
      <c r="U365" s="214">
        <f>IF((monthly_mortgage_schedule[[#This Row],[Year (Range)]]&gt;=$C$7)*(monthly_mortgage_schedule[[#This Row],[Year (Range)]]&lt;=$C$9),AB365,NA())</f>
        <v>542995.30794004421</v>
      </c>
      <c r="V365" s="214">
        <f>IF((monthly_mortgage_schedule[[#This Row],[Year (Range)]]&gt;=$C$7)*(monthly_mortgage_schedule[[#This Row],[Year (Range)]]&lt;=$C$9),AI365,NA())</f>
        <v>503903.94115559908</v>
      </c>
      <c r="W365" s="187">
        <f t="shared" si="38"/>
        <v>0</v>
      </c>
      <c r="X365" s="4">
        <f t="shared" si="41"/>
        <v>0</v>
      </c>
      <c r="Y365" s="4">
        <f t="shared" si="39"/>
        <v>0</v>
      </c>
      <c r="Z365" s="4">
        <f>_xlfn.IFNA(INDEX(additional_mortgage_payments[],MATCH(monthly_mortgage_schedule[[#This Row],[Month]],additional_mortgage_payments[Month],0),3),0)</f>
        <v>0</v>
      </c>
      <c r="AA365" s="4">
        <f>AA364+monthly_mortgage_schedule[[#This Row],[Extra Payments Towards Equity]]</f>
        <v>39250</v>
      </c>
      <c r="AB365" s="4">
        <f>AB364+monthly_mortgage_schedule[[#This Row],[Principal With Extra Principal Payments]]+monthly_mortgage_schedule[[#This Row],[Extra Payments Towards Equity]]</f>
        <v>542995.30794004421</v>
      </c>
      <c r="AC365" s="4">
        <f>monthly_mortgage_schedule[[#This Row],[Cumulative Principal With Extra Principal Payments]]+down_payment_dollars</f>
        <v>602995.30794004421</v>
      </c>
      <c r="AD365" s="200">
        <f t="shared" si="36"/>
        <v>0</v>
      </c>
      <c r="AE36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65" s="187">
        <f t="shared" si="42"/>
        <v>39014.019913601078</v>
      </c>
      <c r="AG365" s="4">
        <f>IF(monthly_mortgage_schedule[[#This Row],[Loan Balance (BOY) Without Extra Principal Payments]]&gt;0,monthly_mortgage_schedule[[#This Row],[Loan Balance (BOY) Without Extra Principal Payments]]*monthly_interest_rate,0)</f>
        <v>182.06542626347172</v>
      </c>
      <c r="AH365" s="4">
        <f>IF(monthly_mortgage_schedule[[#This Row],[Loan Balance (BOY) Without Extra Principal Payments]]&gt;1,monthly_principal_and_interest-monthly_mortgage_schedule[[#This Row],[Interest Without Extra Principal Payments]],0)</f>
        <v>2917.9610691999364</v>
      </c>
      <c r="AI365" s="4">
        <f>AI364+monthly_mortgage_schedule[[#This Row],[Principal Without Extra Principal Payments]]</f>
        <v>503903.94115559908</v>
      </c>
      <c r="AJ365" s="4">
        <f>monthly_mortgage_schedule[[#This Row],[Cumulative Principal Without Extra Principal Payments]]+down_payment_dollars</f>
        <v>563903.94115559908</v>
      </c>
      <c r="AK365" s="200">
        <f t="shared" si="37"/>
        <v>0</v>
      </c>
      <c r="AL36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36096.058844401145</v>
      </c>
      <c r="AN365" s="196">
        <f>monthly_mortgage_schedule[[#This Row],[Extra Payments Towards Equity]]+AN364+IF(monthly_mortgage_schedule[[#This Row],[Interest With Extra Principal Payments]]&gt;0,monthly_mortgage_schedule[[#This Row],[Interest Without Extra Principal Payments]]-monthly_mortgage_schedule[[#This Row],[Interest With Extra Principal Payments]],0)</f>
        <v>100250.41040587741</v>
      </c>
      <c r="AO365" s="4">
        <f>AO364+IF(monthly_mortgage_schedule[[#This Row],[Interest With Extra Principal Payments]]&gt;0,monthly_mortgage_schedule[[#This Row],[Interest Without Extra Principal Payments]]-monthly_mortgage_schedule[[#This Row],[Interest With Extra Principal Payments]],0)</f>
        <v>61000.410405877403</v>
      </c>
      <c r="AP365" s="4">
        <f>AP364+monthly_mortgage_schedule[[#This Row],[PMI Without Extra Principal Payments]]-monthly_mortgage_schedule[[#This Row],[PMI with Additional Payments]]</f>
        <v>990</v>
      </c>
      <c r="AQ365" s="4">
        <f t="shared" si="40"/>
        <v>179597.5738012318</v>
      </c>
      <c r="AR365" s="4">
        <f>Table60[[#This Row],[Cumulative Investments]]-monthly_mortgage_schedule[[#This Row],[Cumulative Extra Payments Towards Equity]]</f>
        <v>140347.5738012318</v>
      </c>
    </row>
    <row r="366" spans="9:44" x14ac:dyDescent="0.25">
      <c r="I366">
        <v>349</v>
      </c>
      <c r="J366">
        <f>IF(MOD(ROWS($J$18:J365),12)=0,J365+1,J365)</f>
        <v>2051</v>
      </c>
      <c r="K366" s="198">
        <f>IF(M366="#N/A",NA(),monthly_mortgage_schedule[[#This Row],[Month]])</f>
        <v>349</v>
      </c>
      <c r="L366" s="198">
        <f>IF(monthly_mortgage_schedule[[#This Row],[Calendar Year]]&gt;=$C$7,monthly_mortgage_schedule[[#This Row],[Calendar Year]],NA())</f>
        <v>2051</v>
      </c>
      <c r="M366" s="199">
        <f>IF((monthly_mortgage_schedule[[#This Row],[Calendar Year]]&gt;=$C$7)*(monthly_mortgage_schedule[[#This Row],[Calendar Year]]&lt;=$C$9),monthly_mortgage_schedule[[#This Row],[Begin Year (Range)]],NA())</f>
        <v>2051</v>
      </c>
      <c r="N366" s="214">
        <f>IF((monthly_mortgage_schedule[[#This Row],[Year (Range)]]&gt;=$C$7)*(monthly_mortgage_schedule[[#This Row],[Year (Range)]]&lt;=$C$9),X366,NA())</f>
        <v>0</v>
      </c>
      <c r="O366" s="214">
        <f>IF((monthly_mortgage_schedule[[#This Row],[Year (Range)]]&gt;=$C$7)*(monthly_mortgage_schedule[[#This Row],[Year (Range)]]&lt;=$C$9),Y366,NA())</f>
        <v>0</v>
      </c>
      <c r="P366" s="214">
        <f>IF((monthly_mortgage_schedule[[#This Row],[Year (Range)]]&gt;=$C$7)*(monthly_mortgage_schedule[[#This Row],[Year (Range)]]&lt;=$C$9),AG366,NA())</f>
        <v>168.44827460720535</v>
      </c>
      <c r="Q366" s="214">
        <f>IF((monthly_mortgage_schedule[[#This Row],[Year (Range)]]&gt;=$C$7)*(monthly_mortgage_schedule[[#This Row],[Year (Range)]]&lt;=$C$9),AH366,NA())</f>
        <v>2931.5782208562027</v>
      </c>
      <c r="R366" s="214">
        <f>IF((monthly_mortgage_schedule[[#This Row],[Year (Range)]]&gt;=$C$7)*(monthly_mortgage_schedule[[#This Row],[Year (Range)]]&lt;=$C$9),AO366,NA())</f>
        <v>61000.410405877403</v>
      </c>
      <c r="S366" s="214">
        <f>IF((monthly_mortgage_schedule[[#This Row],[Year (Range)]]&gt;=$C$7)*(monthly_mortgage_schedule[[#This Row],[Year (Range)]]&lt;=$C$9),AP366,NA())</f>
        <v>990</v>
      </c>
      <c r="T366" s="214">
        <f>IF((monthly_mortgage_schedule[[#This Row],[Year (Range)]]&gt;=$C$7)*(monthly_mortgage_schedule[[#This Row],[Year (Range)]]&lt;=$C$9),AR366,NA())</f>
        <v>141544.89095990668</v>
      </c>
      <c r="U366" s="214">
        <f>IF((monthly_mortgage_schedule[[#This Row],[Year (Range)]]&gt;=$C$7)*(monthly_mortgage_schedule[[#This Row],[Year (Range)]]&lt;=$C$9),AB366,NA())</f>
        <v>542995.30794004421</v>
      </c>
      <c r="V366" s="214">
        <f>IF((monthly_mortgage_schedule[[#This Row],[Year (Range)]]&gt;=$C$7)*(monthly_mortgage_schedule[[#This Row],[Year (Range)]]&lt;=$C$9),AI366,NA())</f>
        <v>506835.51937645528</v>
      </c>
      <c r="W366" s="187">
        <f t="shared" si="38"/>
        <v>0</v>
      </c>
      <c r="X366" s="4">
        <f t="shared" si="41"/>
        <v>0</v>
      </c>
      <c r="Y366" s="4">
        <f t="shared" si="39"/>
        <v>0</v>
      </c>
      <c r="Z366" s="4">
        <f>_xlfn.IFNA(INDEX(additional_mortgage_payments[],MATCH(monthly_mortgage_schedule[[#This Row],[Month]],additional_mortgage_payments[Month],0),3),0)</f>
        <v>0</v>
      </c>
      <c r="AA366" s="4">
        <f>AA365+monthly_mortgage_schedule[[#This Row],[Extra Payments Towards Equity]]</f>
        <v>39250</v>
      </c>
      <c r="AB366" s="4">
        <f>AB365+monthly_mortgage_schedule[[#This Row],[Principal With Extra Principal Payments]]+monthly_mortgage_schedule[[#This Row],[Extra Payments Towards Equity]]</f>
        <v>542995.30794004421</v>
      </c>
      <c r="AC366" s="4">
        <f>monthly_mortgage_schedule[[#This Row],[Cumulative Principal With Extra Principal Payments]]+down_payment_dollars</f>
        <v>602995.30794004421</v>
      </c>
      <c r="AD366" s="200">
        <f t="shared" si="36"/>
        <v>0</v>
      </c>
      <c r="AE36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66" s="187">
        <f t="shared" si="42"/>
        <v>36096.058844401145</v>
      </c>
      <c r="AG366" s="4">
        <f>IF(monthly_mortgage_schedule[[#This Row],[Loan Balance (BOY) Without Extra Principal Payments]]&gt;0,monthly_mortgage_schedule[[#This Row],[Loan Balance (BOY) Without Extra Principal Payments]]*monthly_interest_rate,0)</f>
        <v>168.44827460720535</v>
      </c>
      <c r="AH366" s="4">
        <f>IF(monthly_mortgage_schedule[[#This Row],[Loan Balance (BOY) Without Extra Principal Payments]]&gt;1,monthly_principal_and_interest-monthly_mortgage_schedule[[#This Row],[Interest Without Extra Principal Payments]],0)</f>
        <v>2931.5782208562027</v>
      </c>
      <c r="AI366" s="4">
        <f>AI365+monthly_mortgage_schedule[[#This Row],[Principal Without Extra Principal Payments]]</f>
        <v>506835.51937645528</v>
      </c>
      <c r="AJ366" s="4">
        <f>monthly_mortgage_schedule[[#This Row],[Cumulative Principal Without Extra Principal Payments]]+down_payment_dollars</f>
        <v>566835.51937645534</v>
      </c>
      <c r="AK366" s="200">
        <f t="shared" si="37"/>
        <v>0</v>
      </c>
      <c r="AL36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33164.480623544943</v>
      </c>
      <c r="AN366" s="196">
        <f>monthly_mortgage_schedule[[#This Row],[Extra Payments Towards Equity]]+AN365+IF(monthly_mortgage_schedule[[#This Row],[Interest With Extra Principal Payments]]&gt;0,monthly_mortgage_schedule[[#This Row],[Interest Without Extra Principal Payments]]-monthly_mortgage_schedule[[#This Row],[Interest With Extra Principal Payments]],0)</f>
        <v>100250.41040587741</v>
      </c>
      <c r="AO366" s="4">
        <f>AO365+IF(monthly_mortgage_schedule[[#This Row],[Interest With Extra Principal Payments]]&gt;0,monthly_mortgage_schedule[[#This Row],[Interest Without Extra Principal Payments]]-monthly_mortgage_schedule[[#This Row],[Interest With Extra Principal Payments]],0)</f>
        <v>61000.410405877403</v>
      </c>
      <c r="AP366" s="4">
        <f>AP365+monthly_mortgage_schedule[[#This Row],[PMI Without Extra Principal Payments]]-monthly_mortgage_schedule[[#This Row],[PMI with Additional Payments]]</f>
        <v>990</v>
      </c>
      <c r="AQ366" s="4">
        <f t="shared" si="40"/>
        <v>180794.89095990668</v>
      </c>
      <c r="AR366" s="4">
        <f>Table60[[#This Row],[Cumulative Investments]]-monthly_mortgage_schedule[[#This Row],[Cumulative Extra Payments Towards Equity]]</f>
        <v>141544.89095990668</v>
      </c>
    </row>
    <row r="367" spans="9:44" x14ac:dyDescent="0.25">
      <c r="I367">
        <v>350</v>
      </c>
      <c r="J367">
        <f>IF(MOD(ROWS($J$18:J366),12)=0,J366+1,J366)</f>
        <v>2051</v>
      </c>
      <c r="K367" s="198">
        <f>IF(M367="#N/A",NA(),monthly_mortgage_schedule[[#This Row],[Month]])</f>
        <v>350</v>
      </c>
      <c r="L367" s="198">
        <f>IF(monthly_mortgage_schedule[[#This Row],[Calendar Year]]&gt;=$C$7,monthly_mortgage_schedule[[#This Row],[Calendar Year]],NA())</f>
        <v>2051</v>
      </c>
      <c r="M367" s="199">
        <f>IF((monthly_mortgage_schedule[[#This Row],[Calendar Year]]&gt;=$C$7)*(monthly_mortgage_schedule[[#This Row],[Calendar Year]]&lt;=$C$9),monthly_mortgage_schedule[[#This Row],[Begin Year (Range)]],NA())</f>
        <v>2051</v>
      </c>
      <c r="N367" s="214">
        <f>IF((monthly_mortgage_schedule[[#This Row],[Year (Range)]]&gt;=$C$7)*(monthly_mortgage_schedule[[#This Row],[Year (Range)]]&lt;=$C$9),X367,NA())</f>
        <v>0</v>
      </c>
      <c r="O367" s="214">
        <f>IF((monthly_mortgage_schedule[[#This Row],[Year (Range)]]&gt;=$C$7)*(monthly_mortgage_schedule[[#This Row],[Year (Range)]]&lt;=$C$9),Y367,NA())</f>
        <v>0</v>
      </c>
      <c r="P367" s="214">
        <f>IF((monthly_mortgage_schedule[[#This Row],[Year (Range)]]&gt;=$C$7)*(monthly_mortgage_schedule[[#This Row],[Year (Range)]]&lt;=$C$9),AG367,NA())</f>
        <v>154.76757624320976</v>
      </c>
      <c r="Q367" s="214">
        <f>IF((monthly_mortgage_schedule[[#This Row],[Year (Range)]]&gt;=$C$7)*(monthly_mortgage_schedule[[#This Row],[Year (Range)]]&lt;=$C$9),AH367,NA())</f>
        <v>2945.2589192201985</v>
      </c>
      <c r="R367" s="214">
        <f>IF((monthly_mortgage_schedule[[#This Row],[Year (Range)]]&gt;=$C$7)*(monthly_mortgage_schedule[[#This Row],[Year (Range)]]&lt;=$C$9),AO367,NA())</f>
        <v>61000.410405877403</v>
      </c>
      <c r="S367" s="214">
        <f>IF((monthly_mortgage_schedule[[#This Row],[Year (Range)]]&gt;=$C$7)*(monthly_mortgage_schedule[[#This Row],[Year (Range)]]&lt;=$C$9),AP367,NA())</f>
        <v>990</v>
      </c>
      <c r="T367" s="214">
        <f>IF((monthly_mortgage_schedule[[#This Row],[Year (Range)]]&gt;=$C$7)*(monthly_mortgage_schedule[[#This Row],[Year (Range)]]&lt;=$C$9),AR367,NA())</f>
        <v>142750.1902329727</v>
      </c>
      <c r="U367" s="214">
        <f>IF((monthly_mortgage_schedule[[#This Row],[Year (Range)]]&gt;=$C$7)*(monthly_mortgage_schedule[[#This Row],[Year (Range)]]&lt;=$C$9),AB367,NA())</f>
        <v>542995.30794004421</v>
      </c>
      <c r="V367" s="214">
        <f>IF((monthly_mortgage_schedule[[#This Row],[Year (Range)]]&gt;=$C$7)*(monthly_mortgage_schedule[[#This Row],[Year (Range)]]&lt;=$C$9),AI367,NA())</f>
        <v>509780.77829567547</v>
      </c>
      <c r="W367" s="187">
        <f t="shared" si="38"/>
        <v>0</v>
      </c>
      <c r="X367" s="4">
        <f t="shared" si="41"/>
        <v>0</v>
      </c>
      <c r="Y367" s="4">
        <f t="shared" si="39"/>
        <v>0</v>
      </c>
      <c r="Z367" s="4">
        <f>_xlfn.IFNA(INDEX(additional_mortgage_payments[],MATCH(monthly_mortgage_schedule[[#This Row],[Month]],additional_mortgage_payments[Month],0),3),0)</f>
        <v>0</v>
      </c>
      <c r="AA367" s="4">
        <f>AA366+monthly_mortgage_schedule[[#This Row],[Extra Payments Towards Equity]]</f>
        <v>39250</v>
      </c>
      <c r="AB367" s="4">
        <f>AB366+monthly_mortgage_schedule[[#This Row],[Principal With Extra Principal Payments]]+monthly_mortgage_schedule[[#This Row],[Extra Payments Towards Equity]]</f>
        <v>542995.30794004421</v>
      </c>
      <c r="AC367" s="4">
        <f>monthly_mortgage_schedule[[#This Row],[Cumulative Principal With Extra Principal Payments]]+down_payment_dollars</f>
        <v>602995.30794004421</v>
      </c>
      <c r="AD367" s="200">
        <f t="shared" si="36"/>
        <v>0</v>
      </c>
      <c r="AE36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67" s="187">
        <f t="shared" si="42"/>
        <v>33164.480623544943</v>
      </c>
      <c r="AG367" s="4">
        <f>IF(monthly_mortgage_schedule[[#This Row],[Loan Balance (BOY) Without Extra Principal Payments]]&gt;0,monthly_mortgage_schedule[[#This Row],[Loan Balance (BOY) Without Extra Principal Payments]]*monthly_interest_rate,0)</f>
        <v>154.76757624320976</v>
      </c>
      <c r="AH367" s="4">
        <f>IF(monthly_mortgage_schedule[[#This Row],[Loan Balance (BOY) Without Extra Principal Payments]]&gt;1,monthly_principal_and_interest-monthly_mortgage_schedule[[#This Row],[Interest Without Extra Principal Payments]],0)</f>
        <v>2945.2589192201985</v>
      </c>
      <c r="AI367" s="4">
        <f>AI366+monthly_mortgage_schedule[[#This Row],[Principal Without Extra Principal Payments]]</f>
        <v>509780.77829567547</v>
      </c>
      <c r="AJ367" s="4">
        <f>monthly_mortgage_schedule[[#This Row],[Cumulative Principal Without Extra Principal Payments]]+down_payment_dollars</f>
        <v>569780.77829567553</v>
      </c>
      <c r="AK367" s="200">
        <f t="shared" si="37"/>
        <v>0</v>
      </c>
      <c r="AL36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30219.221704324744</v>
      </c>
      <c r="AN367" s="196">
        <f>monthly_mortgage_schedule[[#This Row],[Extra Payments Towards Equity]]+AN366+IF(monthly_mortgage_schedule[[#This Row],[Interest With Extra Principal Payments]]&gt;0,monthly_mortgage_schedule[[#This Row],[Interest Without Extra Principal Payments]]-monthly_mortgage_schedule[[#This Row],[Interest With Extra Principal Payments]],0)</f>
        <v>100250.41040587741</v>
      </c>
      <c r="AO367" s="4">
        <f>AO366+IF(monthly_mortgage_schedule[[#This Row],[Interest With Extra Principal Payments]]&gt;0,monthly_mortgage_schedule[[#This Row],[Interest Without Extra Principal Payments]]-monthly_mortgage_schedule[[#This Row],[Interest With Extra Principal Payments]],0)</f>
        <v>61000.410405877403</v>
      </c>
      <c r="AP367" s="4">
        <f>AP366+monthly_mortgage_schedule[[#This Row],[PMI Without Extra Principal Payments]]-monthly_mortgage_schedule[[#This Row],[PMI with Additional Payments]]</f>
        <v>990</v>
      </c>
      <c r="AQ367" s="4">
        <f t="shared" si="40"/>
        <v>182000.1902329727</v>
      </c>
      <c r="AR367" s="4">
        <f>Table60[[#This Row],[Cumulative Investments]]-monthly_mortgage_schedule[[#This Row],[Cumulative Extra Payments Towards Equity]]</f>
        <v>142750.1902329727</v>
      </c>
    </row>
    <row r="368" spans="9:44" x14ac:dyDescent="0.25">
      <c r="I368">
        <v>351</v>
      </c>
      <c r="J368">
        <f>IF(MOD(ROWS($J$18:J367),12)=0,J367+1,J367)</f>
        <v>2051</v>
      </c>
      <c r="K368" s="198">
        <f>IF(M368="#N/A",NA(),monthly_mortgage_schedule[[#This Row],[Month]])</f>
        <v>351</v>
      </c>
      <c r="L368" s="198">
        <f>IF(monthly_mortgage_schedule[[#This Row],[Calendar Year]]&gt;=$C$7,monthly_mortgage_schedule[[#This Row],[Calendar Year]],NA())</f>
        <v>2051</v>
      </c>
      <c r="M368" s="199">
        <f>IF((monthly_mortgage_schedule[[#This Row],[Calendar Year]]&gt;=$C$7)*(monthly_mortgage_schedule[[#This Row],[Calendar Year]]&lt;=$C$9),monthly_mortgage_schedule[[#This Row],[Begin Year (Range)]],NA())</f>
        <v>2051</v>
      </c>
      <c r="N368" s="214">
        <f>IF((monthly_mortgage_schedule[[#This Row],[Year (Range)]]&gt;=$C$7)*(monthly_mortgage_schedule[[#This Row],[Year (Range)]]&lt;=$C$9),X368,NA())</f>
        <v>0</v>
      </c>
      <c r="O368" s="214">
        <f>IF((monthly_mortgage_schedule[[#This Row],[Year (Range)]]&gt;=$C$7)*(monthly_mortgage_schedule[[#This Row],[Year (Range)]]&lt;=$C$9),Y368,NA())</f>
        <v>0</v>
      </c>
      <c r="P368" s="214">
        <f>IF((monthly_mortgage_schedule[[#This Row],[Year (Range)]]&gt;=$C$7)*(monthly_mortgage_schedule[[#This Row],[Year (Range)]]&lt;=$C$9),AG368,NA())</f>
        <v>141.02303462018216</v>
      </c>
      <c r="Q368" s="214">
        <f>IF((monthly_mortgage_schedule[[#This Row],[Year (Range)]]&gt;=$C$7)*(monthly_mortgage_schedule[[#This Row],[Year (Range)]]&lt;=$C$9),AH368,NA())</f>
        <v>2959.0034608432261</v>
      </c>
      <c r="R368" s="214">
        <f>IF((monthly_mortgage_schedule[[#This Row],[Year (Range)]]&gt;=$C$7)*(monthly_mortgage_schedule[[#This Row],[Year (Range)]]&lt;=$C$9),AO368,NA())</f>
        <v>61000.410405877403</v>
      </c>
      <c r="S368" s="214">
        <f>IF((monthly_mortgage_schedule[[#This Row],[Year (Range)]]&gt;=$C$7)*(monthly_mortgage_schedule[[#This Row],[Year (Range)]]&lt;=$C$9),AP368,NA())</f>
        <v>990</v>
      </c>
      <c r="T368" s="214">
        <f>IF((monthly_mortgage_schedule[[#This Row],[Year (Range)]]&gt;=$C$7)*(monthly_mortgage_schedule[[#This Row],[Year (Range)]]&lt;=$C$9),AR368,NA())</f>
        <v>143963.52483452583</v>
      </c>
      <c r="U368" s="214">
        <f>IF((monthly_mortgage_schedule[[#This Row],[Year (Range)]]&gt;=$C$7)*(monthly_mortgage_schedule[[#This Row],[Year (Range)]]&lt;=$C$9),AB368,NA())</f>
        <v>542995.30794004421</v>
      </c>
      <c r="V368" s="214">
        <f>IF((monthly_mortgage_schedule[[#This Row],[Year (Range)]]&gt;=$C$7)*(monthly_mortgage_schedule[[#This Row],[Year (Range)]]&lt;=$C$9),AI368,NA())</f>
        <v>512739.7817565187</v>
      </c>
      <c r="W368" s="187">
        <f t="shared" si="38"/>
        <v>0</v>
      </c>
      <c r="X368" s="4">
        <f t="shared" si="41"/>
        <v>0</v>
      </c>
      <c r="Y368" s="4">
        <f t="shared" si="39"/>
        <v>0</v>
      </c>
      <c r="Z368" s="4">
        <f>_xlfn.IFNA(INDEX(additional_mortgage_payments[],MATCH(monthly_mortgage_schedule[[#This Row],[Month]],additional_mortgage_payments[Month],0),3),0)</f>
        <v>0</v>
      </c>
      <c r="AA368" s="4">
        <f>AA367+monthly_mortgage_schedule[[#This Row],[Extra Payments Towards Equity]]</f>
        <v>39250</v>
      </c>
      <c r="AB368" s="4">
        <f>AB367+monthly_mortgage_schedule[[#This Row],[Principal With Extra Principal Payments]]+monthly_mortgage_schedule[[#This Row],[Extra Payments Towards Equity]]</f>
        <v>542995.30794004421</v>
      </c>
      <c r="AC368" s="4">
        <f>monthly_mortgage_schedule[[#This Row],[Cumulative Principal With Extra Principal Payments]]+down_payment_dollars</f>
        <v>602995.30794004421</v>
      </c>
      <c r="AD368" s="200">
        <f t="shared" si="36"/>
        <v>0</v>
      </c>
      <c r="AE368"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68" s="187">
        <f t="shared" si="42"/>
        <v>30219.221704324744</v>
      </c>
      <c r="AG368" s="4">
        <f>IF(monthly_mortgage_schedule[[#This Row],[Loan Balance (BOY) Without Extra Principal Payments]]&gt;0,monthly_mortgage_schedule[[#This Row],[Loan Balance (BOY) Without Extra Principal Payments]]*monthly_interest_rate,0)</f>
        <v>141.02303462018216</v>
      </c>
      <c r="AH368" s="4">
        <f>IF(monthly_mortgage_schedule[[#This Row],[Loan Balance (BOY) Without Extra Principal Payments]]&gt;1,monthly_principal_and_interest-monthly_mortgage_schedule[[#This Row],[Interest Without Extra Principal Payments]],0)</f>
        <v>2959.0034608432261</v>
      </c>
      <c r="AI368" s="4">
        <f>AI367+monthly_mortgage_schedule[[#This Row],[Principal Without Extra Principal Payments]]</f>
        <v>512739.7817565187</v>
      </c>
      <c r="AJ368" s="4">
        <f>monthly_mortgage_schedule[[#This Row],[Cumulative Principal Without Extra Principal Payments]]+down_payment_dollars</f>
        <v>572739.78175651864</v>
      </c>
      <c r="AK368" s="200">
        <f t="shared" si="37"/>
        <v>0</v>
      </c>
      <c r="AL36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27260.218243481519</v>
      </c>
      <c r="AN368" s="196">
        <f>monthly_mortgage_schedule[[#This Row],[Extra Payments Towards Equity]]+AN367+IF(monthly_mortgage_schedule[[#This Row],[Interest With Extra Principal Payments]]&gt;0,monthly_mortgage_schedule[[#This Row],[Interest Without Extra Principal Payments]]-monthly_mortgage_schedule[[#This Row],[Interest With Extra Principal Payments]],0)</f>
        <v>100250.41040587741</v>
      </c>
      <c r="AO368" s="4">
        <f>AO367+IF(monthly_mortgage_schedule[[#This Row],[Interest With Extra Principal Payments]]&gt;0,monthly_mortgage_schedule[[#This Row],[Interest Without Extra Principal Payments]]-monthly_mortgage_schedule[[#This Row],[Interest With Extra Principal Payments]],0)</f>
        <v>61000.410405877403</v>
      </c>
      <c r="AP368" s="4">
        <f>AP367+monthly_mortgage_schedule[[#This Row],[PMI Without Extra Principal Payments]]-monthly_mortgage_schedule[[#This Row],[PMI with Additional Payments]]</f>
        <v>990</v>
      </c>
      <c r="AQ368" s="4">
        <f t="shared" si="40"/>
        <v>183213.52483452583</v>
      </c>
      <c r="AR368" s="4">
        <f>Table60[[#This Row],[Cumulative Investments]]-monthly_mortgage_schedule[[#This Row],[Cumulative Extra Payments Towards Equity]]</f>
        <v>143963.52483452583</v>
      </c>
    </row>
    <row r="369" spans="9:44" x14ac:dyDescent="0.25">
      <c r="I369">
        <v>352</v>
      </c>
      <c r="J369">
        <f>IF(MOD(ROWS($J$18:J368),12)=0,J368+1,J368)</f>
        <v>2051</v>
      </c>
      <c r="K369" s="198">
        <f>IF(M369="#N/A",NA(),monthly_mortgage_schedule[[#This Row],[Month]])</f>
        <v>352</v>
      </c>
      <c r="L369" s="198">
        <f>IF(monthly_mortgage_schedule[[#This Row],[Calendar Year]]&gt;=$C$7,monthly_mortgage_schedule[[#This Row],[Calendar Year]],NA())</f>
        <v>2051</v>
      </c>
      <c r="M369" s="199">
        <f>IF((monthly_mortgage_schedule[[#This Row],[Calendar Year]]&gt;=$C$7)*(monthly_mortgage_schedule[[#This Row],[Calendar Year]]&lt;=$C$9),monthly_mortgage_schedule[[#This Row],[Begin Year (Range)]],NA())</f>
        <v>2051</v>
      </c>
      <c r="N369" s="214">
        <f>IF((monthly_mortgage_schedule[[#This Row],[Year (Range)]]&gt;=$C$7)*(monthly_mortgage_schedule[[#This Row],[Year (Range)]]&lt;=$C$9),X369,NA())</f>
        <v>0</v>
      </c>
      <c r="O369" s="214">
        <f>IF((monthly_mortgage_schedule[[#This Row],[Year (Range)]]&gt;=$C$7)*(monthly_mortgage_schedule[[#This Row],[Year (Range)]]&lt;=$C$9),Y369,NA())</f>
        <v>0</v>
      </c>
      <c r="P369" s="214">
        <f>IF((monthly_mortgage_schedule[[#This Row],[Year (Range)]]&gt;=$C$7)*(monthly_mortgage_schedule[[#This Row],[Year (Range)]]&lt;=$C$9),AG369,NA())</f>
        <v>127.21435180291377</v>
      </c>
      <c r="Q369" s="214">
        <f>IF((monthly_mortgage_schedule[[#This Row],[Year (Range)]]&gt;=$C$7)*(monthly_mortgage_schedule[[#This Row],[Year (Range)]]&lt;=$C$9),AH369,NA())</f>
        <v>2972.8121436604943</v>
      </c>
      <c r="R369" s="214">
        <f>IF((monthly_mortgage_schedule[[#This Row],[Year (Range)]]&gt;=$C$7)*(monthly_mortgage_schedule[[#This Row],[Year (Range)]]&lt;=$C$9),AO369,NA())</f>
        <v>61000.410405877403</v>
      </c>
      <c r="S369" s="214">
        <f>IF((monthly_mortgage_schedule[[#This Row],[Year (Range)]]&gt;=$C$7)*(monthly_mortgage_schedule[[#This Row],[Year (Range)]]&lt;=$C$9),AP369,NA())</f>
        <v>990</v>
      </c>
      <c r="T369" s="214">
        <f>IF((monthly_mortgage_schedule[[#This Row],[Year (Range)]]&gt;=$C$7)*(monthly_mortgage_schedule[[#This Row],[Year (Range)]]&lt;=$C$9),AR369,NA())</f>
        <v>145184.94833342265</v>
      </c>
      <c r="U369" s="214">
        <f>IF((monthly_mortgage_schedule[[#This Row],[Year (Range)]]&gt;=$C$7)*(monthly_mortgage_schedule[[#This Row],[Year (Range)]]&lt;=$C$9),AB369,NA())</f>
        <v>542995.30794004421</v>
      </c>
      <c r="V369" s="214">
        <f>IF((monthly_mortgage_schedule[[#This Row],[Year (Range)]]&gt;=$C$7)*(monthly_mortgage_schedule[[#This Row],[Year (Range)]]&lt;=$C$9),AI369,NA())</f>
        <v>515712.5939001792</v>
      </c>
      <c r="W369" s="187">
        <f t="shared" si="38"/>
        <v>0</v>
      </c>
      <c r="X369" s="4">
        <f t="shared" si="41"/>
        <v>0</v>
      </c>
      <c r="Y369" s="4">
        <f t="shared" si="39"/>
        <v>0</v>
      </c>
      <c r="Z369" s="4">
        <f>_xlfn.IFNA(INDEX(additional_mortgage_payments[],MATCH(monthly_mortgage_schedule[[#This Row],[Month]],additional_mortgage_payments[Month],0),3),0)</f>
        <v>0</v>
      </c>
      <c r="AA369" s="4">
        <f>AA368+monthly_mortgage_schedule[[#This Row],[Extra Payments Towards Equity]]</f>
        <v>39250</v>
      </c>
      <c r="AB369" s="4">
        <f>AB368+monthly_mortgage_schedule[[#This Row],[Principal With Extra Principal Payments]]+monthly_mortgage_schedule[[#This Row],[Extra Payments Towards Equity]]</f>
        <v>542995.30794004421</v>
      </c>
      <c r="AC369" s="4">
        <f>monthly_mortgage_schedule[[#This Row],[Cumulative Principal With Extra Principal Payments]]+down_payment_dollars</f>
        <v>602995.30794004421</v>
      </c>
      <c r="AD369" s="200">
        <f t="shared" si="36"/>
        <v>0</v>
      </c>
      <c r="AE369"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69" s="187">
        <f t="shared" si="42"/>
        <v>27260.218243481519</v>
      </c>
      <c r="AG369" s="4">
        <f>IF(monthly_mortgage_schedule[[#This Row],[Loan Balance (BOY) Without Extra Principal Payments]]&gt;0,monthly_mortgage_schedule[[#This Row],[Loan Balance (BOY) Without Extra Principal Payments]]*monthly_interest_rate,0)</f>
        <v>127.21435180291377</v>
      </c>
      <c r="AH369" s="4">
        <f>IF(monthly_mortgage_schedule[[#This Row],[Loan Balance (BOY) Without Extra Principal Payments]]&gt;1,monthly_principal_and_interest-monthly_mortgage_schedule[[#This Row],[Interest Without Extra Principal Payments]],0)</f>
        <v>2972.8121436604943</v>
      </c>
      <c r="AI369" s="4">
        <f>AI368+monthly_mortgage_schedule[[#This Row],[Principal Without Extra Principal Payments]]</f>
        <v>515712.5939001792</v>
      </c>
      <c r="AJ369" s="4">
        <f>monthly_mortgage_schedule[[#This Row],[Cumulative Principal Without Extra Principal Payments]]+down_payment_dollars</f>
        <v>575712.59390017926</v>
      </c>
      <c r="AK369" s="200">
        <f t="shared" si="37"/>
        <v>0</v>
      </c>
      <c r="AL369"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24287.406099821026</v>
      </c>
      <c r="AN369" s="196">
        <f>monthly_mortgage_schedule[[#This Row],[Extra Payments Towards Equity]]+AN368+IF(monthly_mortgage_schedule[[#This Row],[Interest With Extra Principal Payments]]&gt;0,monthly_mortgage_schedule[[#This Row],[Interest Without Extra Principal Payments]]-monthly_mortgage_schedule[[#This Row],[Interest With Extra Principal Payments]],0)</f>
        <v>100250.41040587741</v>
      </c>
      <c r="AO369" s="4">
        <f>AO368+IF(monthly_mortgage_schedule[[#This Row],[Interest With Extra Principal Payments]]&gt;0,monthly_mortgage_schedule[[#This Row],[Interest Without Extra Principal Payments]]-monthly_mortgage_schedule[[#This Row],[Interest With Extra Principal Payments]],0)</f>
        <v>61000.410405877403</v>
      </c>
      <c r="AP369" s="4">
        <f>AP368+monthly_mortgage_schedule[[#This Row],[PMI Without Extra Principal Payments]]-monthly_mortgage_schedule[[#This Row],[PMI with Additional Payments]]</f>
        <v>990</v>
      </c>
      <c r="AQ369" s="4">
        <f t="shared" si="40"/>
        <v>184434.94833342265</v>
      </c>
      <c r="AR369" s="4">
        <f>Table60[[#This Row],[Cumulative Investments]]-monthly_mortgage_schedule[[#This Row],[Cumulative Extra Payments Towards Equity]]</f>
        <v>145184.94833342265</v>
      </c>
    </row>
    <row r="370" spans="9:44" x14ac:dyDescent="0.25">
      <c r="I370">
        <v>353</v>
      </c>
      <c r="J370">
        <f>IF(MOD(ROWS($J$18:J369),12)=0,J369+1,J369)</f>
        <v>2051</v>
      </c>
      <c r="K370" s="198">
        <f>IF(M370="#N/A",NA(),monthly_mortgage_schedule[[#This Row],[Month]])</f>
        <v>353</v>
      </c>
      <c r="L370" s="198">
        <f>IF(monthly_mortgage_schedule[[#This Row],[Calendar Year]]&gt;=$C$7,monthly_mortgage_schedule[[#This Row],[Calendar Year]],NA())</f>
        <v>2051</v>
      </c>
      <c r="M370" s="199">
        <f>IF((monthly_mortgage_schedule[[#This Row],[Calendar Year]]&gt;=$C$7)*(monthly_mortgage_schedule[[#This Row],[Calendar Year]]&lt;=$C$9),monthly_mortgage_schedule[[#This Row],[Begin Year (Range)]],NA())</f>
        <v>2051</v>
      </c>
      <c r="N370" s="214">
        <f>IF((monthly_mortgage_schedule[[#This Row],[Year (Range)]]&gt;=$C$7)*(monthly_mortgage_schedule[[#This Row],[Year (Range)]]&lt;=$C$9),X370,NA())</f>
        <v>0</v>
      </c>
      <c r="O370" s="214">
        <f>IF((monthly_mortgage_schedule[[#This Row],[Year (Range)]]&gt;=$C$7)*(monthly_mortgage_schedule[[#This Row],[Year (Range)]]&lt;=$C$9),Y370,NA())</f>
        <v>0</v>
      </c>
      <c r="P370" s="214">
        <f>IF((monthly_mortgage_schedule[[#This Row],[Year (Range)]]&gt;=$C$7)*(monthly_mortgage_schedule[[#This Row],[Year (Range)]]&lt;=$C$9),AG370,NA())</f>
        <v>113.34122846583146</v>
      </c>
      <c r="Q370" s="214">
        <f>IF((monthly_mortgage_schedule[[#This Row],[Year (Range)]]&gt;=$C$7)*(monthly_mortgage_schedule[[#This Row],[Year (Range)]]&lt;=$C$9),AH370,NA())</f>
        <v>2986.6852669975765</v>
      </c>
      <c r="R370" s="214">
        <f>IF((monthly_mortgage_schedule[[#This Row],[Year (Range)]]&gt;=$C$7)*(monthly_mortgage_schedule[[#This Row],[Year (Range)]]&lt;=$C$9),AO370,NA())</f>
        <v>61000.410405877403</v>
      </c>
      <c r="S370" s="214">
        <f>IF((monthly_mortgage_schedule[[#This Row],[Year (Range)]]&gt;=$C$7)*(monthly_mortgage_schedule[[#This Row],[Year (Range)]]&lt;=$C$9),AP370,NA())</f>
        <v>990</v>
      </c>
      <c r="T370" s="214">
        <f>IF((monthly_mortgage_schedule[[#This Row],[Year (Range)]]&gt;=$C$7)*(monthly_mortgage_schedule[[#This Row],[Year (Range)]]&lt;=$C$9),AR370,NA())</f>
        <v>146414.51465564547</v>
      </c>
      <c r="U370" s="214">
        <f>IF((monthly_mortgage_schedule[[#This Row],[Year (Range)]]&gt;=$C$7)*(monthly_mortgage_schedule[[#This Row],[Year (Range)]]&lt;=$C$9),AB370,NA())</f>
        <v>542995.30794004421</v>
      </c>
      <c r="V370" s="214">
        <f>IF((monthly_mortgage_schedule[[#This Row],[Year (Range)]]&gt;=$C$7)*(monthly_mortgage_schedule[[#This Row],[Year (Range)]]&lt;=$C$9),AI370,NA())</f>
        <v>518699.27916717675</v>
      </c>
      <c r="W370" s="187">
        <f t="shared" si="38"/>
        <v>0</v>
      </c>
      <c r="X370" s="4">
        <f t="shared" si="41"/>
        <v>0</v>
      </c>
      <c r="Y370" s="4">
        <f t="shared" si="39"/>
        <v>0</v>
      </c>
      <c r="Z370" s="4">
        <f>_xlfn.IFNA(INDEX(additional_mortgage_payments[],MATCH(monthly_mortgage_schedule[[#This Row],[Month]],additional_mortgage_payments[Month],0),3),0)</f>
        <v>0</v>
      </c>
      <c r="AA370" s="4">
        <f>AA369+monthly_mortgage_schedule[[#This Row],[Extra Payments Towards Equity]]</f>
        <v>39250</v>
      </c>
      <c r="AB370" s="4">
        <f>AB369+monthly_mortgage_schedule[[#This Row],[Principal With Extra Principal Payments]]+monthly_mortgage_schedule[[#This Row],[Extra Payments Towards Equity]]</f>
        <v>542995.30794004421</v>
      </c>
      <c r="AC370" s="4">
        <f>monthly_mortgage_schedule[[#This Row],[Cumulative Principal With Extra Principal Payments]]+down_payment_dollars</f>
        <v>602995.30794004421</v>
      </c>
      <c r="AD370" s="200">
        <f t="shared" si="36"/>
        <v>0</v>
      </c>
      <c r="AE370"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70" s="187">
        <f t="shared" si="42"/>
        <v>24287.406099821026</v>
      </c>
      <c r="AG370" s="4">
        <f>IF(monthly_mortgage_schedule[[#This Row],[Loan Balance (BOY) Without Extra Principal Payments]]&gt;0,monthly_mortgage_schedule[[#This Row],[Loan Balance (BOY) Without Extra Principal Payments]]*monthly_interest_rate,0)</f>
        <v>113.34122846583146</v>
      </c>
      <c r="AH370" s="4">
        <f>IF(monthly_mortgage_schedule[[#This Row],[Loan Balance (BOY) Without Extra Principal Payments]]&gt;1,monthly_principal_and_interest-monthly_mortgage_schedule[[#This Row],[Interest Without Extra Principal Payments]],0)</f>
        <v>2986.6852669975765</v>
      </c>
      <c r="AI370" s="4">
        <f>AI369+monthly_mortgage_schedule[[#This Row],[Principal Without Extra Principal Payments]]</f>
        <v>518699.27916717675</v>
      </c>
      <c r="AJ370" s="4">
        <f>monthly_mortgage_schedule[[#This Row],[Cumulative Principal Without Extra Principal Payments]]+down_payment_dollars</f>
        <v>578699.27916717669</v>
      </c>
      <c r="AK370" s="200">
        <f t="shared" si="37"/>
        <v>0</v>
      </c>
      <c r="AL370"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21300.720832823448</v>
      </c>
      <c r="AN370" s="196">
        <f>monthly_mortgage_schedule[[#This Row],[Extra Payments Towards Equity]]+AN369+IF(monthly_mortgage_schedule[[#This Row],[Interest With Extra Principal Payments]]&gt;0,monthly_mortgage_schedule[[#This Row],[Interest Without Extra Principal Payments]]-monthly_mortgage_schedule[[#This Row],[Interest With Extra Principal Payments]],0)</f>
        <v>100250.41040587741</v>
      </c>
      <c r="AO370" s="4">
        <f>AO369+IF(monthly_mortgage_schedule[[#This Row],[Interest With Extra Principal Payments]]&gt;0,monthly_mortgage_schedule[[#This Row],[Interest Without Extra Principal Payments]]-monthly_mortgage_schedule[[#This Row],[Interest With Extra Principal Payments]],0)</f>
        <v>61000.410405877403</v>
      </c>
      <c r="AP370" s="4">
        <f>AP369+monthly_mortgage_schedule[[#This Row],[PMI Without Extra Principal Payments]]-monthly_mortgage_schedule[[#This Row],[PMI with Additional Payments]]</f>
        <v>990</v>
      </c>
      <c r="AQ370" s="4">
        <f t="shared" si="40"/>
        <v>185664.51465564547</v>
      </c>
      <c r="AR370" s="4">
        <f>Table60[[#This Row],[Cumulative Investments]]-monthly_mortgage_schedule[[#This Row],[Cumulative Extra Payments Towards Equity]]</f>
        <v>146414.51465564547</v>
      </c>
    </row>
    <row r="371" spans="9:44" x14ac:dyDescent="0.25">
      <c r="I371">
        <v>354</v>
      </c>
      <c r="J371">
        <f>IF(MOD(ROWS($J$18:J370),12)=0,J370+1,J370)</f>
        <v>2051</v>
      </c>
      <c r="K371" s="198">
        <f>IF(M371="#N/A",NA(),monthly_mortgage_schedule[[#This Row],[Month]])</f>
        <v>354</v>
      </c>
      <c r="L371" s="198">
        <f>IF(monthly_mortgage_schedule[[#This Row],[Calendar Year]]&gt;=$C$7,monthly_mortgage_schedule[[#This Row],[Calendar Year]],NA())</f>
        <v>2051</v>
      </c>
      <c r="M371" s="199">
        <f>IF((monthly_mortgage_schedule[[#This Row],[Calendar Year]]&gt;=$C$7)*(monthly_mortgage_schedule[[#This Row],[Calendar Year]]&lt;=$C$9),monthly_mortgage_schedule[[#This Row],[Begin Year (Range)]],NA())</f>
        <v>2051</v>
      </c>
      <c r="N371" s="214">
        <f>IF((monthly_mortgage_schedule[[#This Row],[Year (Range)]]&gt;=$C$7)*(monthly_mortgage_schedule[[#This Row],[Year (Range)]]&lt;=$C$9),X371,NA())</f>
        <v>0</v>
      </c>
      <c r="O371" s="214">
        <f>IF((monthly_mortgage_schedule[[#This Row],[Year (Range)]]&gt;=$C$7)*(monthly_mortgage_schedule[[#This Row],[Year (Range)]]&lt;=$C$9),Y371,NA())</f>
        <v>0</v>
      </c>
      <c r="P371" s="214">
        <f>IF((monthly_mortgage_schedule[[#This Row],[Year (Range)]]&gt;=$C$7)*(monthly_mortgage_schedule[[#This Row],[Year (Range)]]&lt;=$C$9),AG371,NA())</f>
        <v>99.403363886509439</v>
      </c>
      <c r="Q371" s="214">
        <f>IF((monthly_mortgage_schedule[[#This Row],[Year (Range)]]&gt;=$C$7)*(monthly_mortgage_schedule[[#This Row],[Year (Range)]]&lt;=$C$9),AH371,NA())</f>
        <v>3000.6231315768987</v>
      </c>
      <c r="R371" s="214">
        <f>IF((monthly_mortgage_schedule[[#This Row],[Year (Range)]]&gt;=$C$7)*(monthly_mortgage_schedule[[#This Row],[Year (Range)]]&lt;=$C$9),AO371,NA())</f>
        <v>61000.410405877403</v>
      </c>
      <c r="S371" s="214">
        <f>IF((monthly_mortgage_schedule[[#This Row],[Year (Range)]]&gt;=$C$7)*(monthly_mortgage_schedule[[#This Row],[Year (Range)]]&lt;=$C$9),AP371,NA())</f>
        <v>990</v>
      </c>
      <c r="T371" s="214">
        <f>IF((monthly_mortgage_schedule[[#This Row],[Year (Range)]]&gt;=$C$7)*(monthly_mortgage_schedule[[#This Row],[Year (Range)]]&lt;=$C$9),AR371,NA())</f>
        <v>147652.2780866831</v>
      </c>
      <c r="U371" s="214">
        <f>IF((monthly_mortgage_schedule[[#This Row],[Year (Range)]]&gt;=$C$7)*(monthly_mortgage_schedule[[#This Row],[Year (Range)]]&lt;=$C$9),AB371,NA())</f>
        <v>542995.30794004421</v>
      </c>
      <c r="V371" s="214">
        <f>IF((monthly_mortgage_schedule[[#This Row],[Year (Range)]]&gt;=$C$7)*(monthly_mortgage_schedule[[#This Row],[Year (Range)]]&lt;=$C$9),AI371,NA())</f>
        <v>521699.90229875367</v>
      </c>
      <c r="W371" s="187">
        <f t="shared" si="38"/>
        <v>0</v>
      </c>
      <c r="X371" s="4">
        <f t="shared" si="41"/>
        <v>0</v>
      </c>
      <c r="Y371" s="4">
        <f t="shared" si="39"/>
        <v>0</v>
      </c>
      <c r="Z371" s="4">
        <f>_xlfn.IFNA(INDEX(additional_mortgage_payments[],MATCH(monthly_mortgage_schedule[[#This Row],[Month]],additional_mortgage_payments[Month],0),3),0)</f>
        <v>0</v>
      </c>
      <c r="AA371" s="4">
        <f>AA370+monthly_mortgage_schedule[[#This Row],[Extra Payments Towards Equity]]</f>
        <v>39250</v>
      </c>
      <c r="AB371" s="4">
        <f>AB370+monthly_mortgage_schedule[[#This Row],[Principal With Extra Principal Payments]]+monthly_mortgage_schedule[[#This Row],[Extra Payments Towards Equity]]</f>
        <v>542995.30794004421</v>
      </c>
      <c r="AC371" s="4">
        <f>monthly_mortgage_schedule[[#This Row],[Cumulative Principal With Extra Principal Payments]]+down_payment_dollars</f>
        <v>602995.30794004421</v>
      </c>
      <c r="AD371" s="200">
        <f t="shared" si="36"/>
        <v>0</v>
      </c>
      <c r="AE371"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71" s="187">
        <f t="shared" si="42"/>
        <v>21300.720832823448</v>
      </c>
      <c r="AG371" s="4">
        <f>IF(monthly_mortgage_schedule[[#This Row],[Loan Balance (BOY) Without Extra Principal Payments]]&gt;0,monthly_mortgage_schedule[[#This Row],[Loan Balance (BOY) Without Extra Principal Payments]]*monthly_interest_rate,0)</f>
        <v>99.403363886509439</v>
      </c>
      <c r="AH371" s="4">
        <f>IF(monthly_mortgage_schedule[[#This Row],[Loan Balance (BOY) Without Extra Principal Payments]]&gt;1,monthly_principal_and_interest-monthly_mortgage_schedule[[#This Row],[Interest Without Extra Principal Payments]],0)</f>
        <v>3000.6231315768987</v>
      </c>
      <c r="AI371" s="4">
        <f>AI370+monthly_mortgage_schedule[[#This Row],[Principal Without Extra Principal Payments]]</f>
        <v>521699.90229875367</v>
      </c>
      <c r="AJ371" s="4">
        <f>monthly_mortgage_schedule[[#This Row],[Cumulative Principal Without Extra Principal Payments]]+down_payment_dollars</f>
        <v>581699.90229875362</v>
      </c>
      <c r="AK371" s="200">
        <f t="shared" si="37"/>
        <v>0</v>
      </c>
      <c r="AL371"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18300.097701246548</v>
      </c>
      <c r="AN371" s="196">
        <f>monthly_mortgage_schedule[[#This Row],[Extra Payments Towards Equity]]+AN370+IF(monthly_mortgage_schedule[[#This Row],[Interest With Extra Principal Payments]]&gt;0,monthly_mortgage_schedule[[#This Row],[Interest Without Extra Principal Payments]]-monthly_mortgage_schedule[[#This Row],[Interest With Extra Principal Payments]],0)</f>
        <v>100250.41040587741</v>
      </c>
      <c r="AO371" s="4">
        <f>AO370+IF(monthly_mortgage_schedule[[#This Row],[Interest With Extra Principal Payments]]&gt;0,monthly_mortgage_schedule[[#This Row],[Interest Without Extra Principal Payments]]-monthly_mortgage_schedule[[#This Row],[Interest With Extra Principal Payments]],0)</f>
        <v>61000.410405877403</v>
      </c>
      <c r="AP371" s="4">
        <f>AP370+monthly_mortgage_schedule[[#This Row],[PMI Without Extra Principal Payments]]-monthly_mortgage_schedule[[#This Row],[PMI with Additional Payments]]</f>
        <v>990</v>
      </c>
      <c r="AQ371" s="4">
        <f t="shared" si="40"/>
        <v>186902.2780866831</v>
      </c>
      <c r="AR371" s="4">
        <f>Table60[[#This Row],[Cumulative Investments]]-monthly_mortgage_schedule[[#This Row],[Cumulative Extra Payments Towards Equity]]</f>
        <v>147652.2780866831</v>
      </c>
    </row>
    <row r="372" spans="9:44" x14ac:dyDescent="0.25">
      <c r="I372">
        <v>355</v>
      </c>
      <c r="J372">
        <f>IF(MOD(ROWS($J$18:J371),12)=0,J371+1,J371)</f>
        <v>2051</v>
      </c>
      <c r="K372" s="198">
        <f>IF(M372="#N/A",NA(),monthly_mortgage_schedule[[#This Row],[Month]])</f>
        <v>355</v>
      </c>
      <c r="L372" s="198">
        <f>IF(monthly_mortgage_schedule[[#This Row],[Calendar Year]]&gt;=$C$7,monthly_mortgage_schedule[[#This Row],[Calendar Year]],NA())</f>
        <v>2051</v>
      </c>
      <c r="M372" s="199">
        <f>IF((monthly_mortgage_schedule[[#This Row],[Calendar Year]]&gt;=$C$7)*(monthly_mortgage_schedule[[#This Row],[Calendar Year]]&lt;=$C$9),monthly_mortgage_schedule[[#This Row],[Begin Year (Range)]],NA())</f>
        <v>2051</v>
      </c>
      <c r="N372" s="214">
        <f>IF((monthly_mortgage_schedule[[#This Row],[Year (Range)]]&gt;=$C$7)*(monthly_mortgage_schedule[[#This Row],[Year (Range)]]&lt;=$C$9),X372,NA())</f>
        <v>0</v>
      </c>
      <c r="O372" s="214">
        <f>IF((monthly_mortgage_schedule[[#This Row],[Year (Range)]]&gt;=$C$7)*(monthly_mortgage_schedule[[#This Row],[Year (Range)]]&lt;=$C$9),Y372,NA())</f>
        <v>0</v>
      </c>
      <c r="P372" s="214">
        <f>IF((monthly_mortgage_schedule[[#This Row],[Year (Range)]]&gt;=$C$7)*(monthly_mortgage_schedule[[#This Row],[Year (Range)]]&lt;=$C$9),AG372,NA())</f>
        <v>85.400455939150561</v>
      </c>
      <c r="Q372" s="214">
        <f>IF((monthly_mortgage_schedule[[#This Row],[Year (Range)]]&gt;=$C$7)*(monthly_mortgage_schedule[[#This Row],[Year (Range)]]&lt;=$C$9),AH372,NA())</f>
        <v>3014.6260395242575</v>
      </c>
      <c r="R372" s="214">
        <f>IF((monthly_mortgage_schedule[[#This Row],[Year (Range)]]&gt;=$C$7)*(monthly_mortgage_schedule[[#This Row],[Year (Range)]]&lt;=$C$9),AO372,NA())</f>
        <v>61000.410405877403</v>
      </c>
      <c r="S372" s="214">
        <f>IF((monthly_mortgage_schedule[[#This Row],[Year (Range)]]&gt;=$C$7)*(monthly_mortgage_schedule[[#This Row],[Year (Range)]]&lt;=$C$9),AP372,NA())</f>
        <v>990</v>
      </c>
      <c r="T372" s="214">
        <f>IF((monthly_mortgage_schedule[[#This Row],[Year (Range)]]&gt;=$C$7)*(monthly_mortgage_schedule[[#This Row],[Year (Range)]]&lt;=$C$9),AR372,NA())</f>
        <v>148898.29327392764</v>
      </c>
      <c r="U372" s="214">
        <f>IF((monthly_mortgage_schedule[[#This Row],[Year (Range)]]&gt;=$C$7)*(monthly_mortgage_schedule[[#This Row],[Year (Range)]]&lt;=$C$9),AB372,NA())</f>
        <v>542995.30794004421</v>
      </c>
      <c r="V372" s="214">
        <f>IF((monthly_mortgage_schedule[[#This Row],[Year (Range)]]&gt;=$C$7)*(monthly_mortgage_schedule[[#This Row],[Year (Range)]]&lt;=$C$9),AI372,NA())</f>
        <v>524714.52833827795</v>
      </c>
      <c r="W372" s="187">
        <f t="shared" si="38"/>
        <v>0</v>
      </c>
      <c r="X372" s="4">
        <f t="shared" si="41"/>
        <v>0</v>
      </c>
      <c r="Y372" s="4">
        <f t="shared" si="39"/>
        <v>0</v>
      </c>
      <c r="Z372" s="4">
        <f>_xlfn.IFNA(INDEX(additional_mortgage_payments[],MATCH(monthly_mortgage_schedule[[#This Row],[Month]],additional_mortgage_payments[Month],0),3),0)</f>
        <v>0</v>
      </c>
      <c r="AA372" s="4">
        <f>AA371+monthly_mortgage_schedule[[#This Row],[Extra Payments Towards Equity]]</f>
        <v>39250</v>
      </c>
      <c r="AB372" s="4">
        <f>AB371+monthly_mortgage_schedule[[#This Row],[Principal With Extra Principal Payments]]+monthly_mortgage_schedule[[#This Row],[Extra Payments Towards Equity]]</f>
        <v>542995.30794004421</v>
      </c>
      <c r="AC372" s="4">
        <f>monthly_mortgage_schedule[[#This Row],[Cumulative Principal With Extra Principal Payments]]+down_payment_dollars</f>
        <v>602995.30794004421</v>
      </c>
      <c r="AD372" s="200">
        <f t="shared" si="36"/>
        <v>0</v>
      </c>
      <c r="AE372"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72" s="187">
        <f t="shared" si="42"/>
        <v>18300.097701246548</v>
      </c>
      <c r="AG372" s="4">
        <f>IF(monthly_mortgage_schedule[[#This Row],[Loan Balance (BOY) Without Extra Principal Payments]]&gt;0,monthly_mortgage_schedule[[#This Row],[Loan Balance (BOY) Without Extra Principal Payments]]*monthly_interest_rate,0)</f>
        <v>85.400455939150561</v>
      </c>
      <c r="AH372" s="4">
        <f>IF(monthly_mortgage_schedule[[#This Row],[Loan Balance (BOY) Without Extra Principal Payments]]&gt;1,monthly_principal_and_interest-monthly_mortgage_schedule[[#This Row],[Interest Without Extra Principal Payments]],0)</f>
        <v>3014.6260395242575</v>
      </c>
      <c r="AI372" s="4">
        <f>AI371+monthly_mortgage_schedule[[#This Row],[Principal Without Extra Principal Payments]]</f>
        <v>524714.52833827795</v>
      </c>
      <c r="AJ372" s="4">
        <f>monthly_mortgage_schedule[[#This Row],[Cumulative Principal Without Extra Principal Payments]]+down_payment_dollars</f>
        <v>584714.52833827795</v>
      </c>
      <c r="AK372" s="200">
        <f t="shared" si="37"/>
        <v>0</v>
      </c>
      <c r="AL372"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15285.471661722291</v>
      </c>
      <c r="AN372" s="196">
        <f>monthly_mortgage_schedule[[#This Row],[Extra Payments Towards Equity]]+AN371+IF(monthly_mortgage_schedule[[#This Row],[Interest With Extra Principal Payments]]&gt;0,monthly_mortgage_schedule[[#This Row],[Interest Without Extra Principal Payments]]-monthly_mortgage_schedule[[#This Row],[Interest With Extra Principal Payments]],0)</f>
        <v>100250.41040587741</v>
      </c>
      <c r="AO372" s="4">
        <f>AO371+IF(monthly_mortgage_schedule[[#This Row],[Interest With Extra Principal Payments]]&gt;0,monthly_mortgage_schedule[[#This Row],[Interest Without Extra Principal Payments]]-monthly_mortgage_schedule[[#This Row],[Interest With Extra Principal Payments]],0)</f>
        <v>61000.410405877403</v>
      </c>
      <c r="AP372" s="4">
        <f>AP371+monthly_mortgage_schedule[[#This Row],[PMI Without Extra Principal Payments]]-monthly_mortgage_schedule[[#This Row],[PMI with Additional Payments]]</f>
        <v>990</v>
      </c>
      <c r="AQ372" s="4">
        <f t="shared" si="40"/>
        <v>188148.29327392764</v>
      </c>
      <c r="AR372" s="4">
        <f>Table60[[#This Row],[Cumulative Investments]]-monthly_mortgage_schedule[[#This Row],[Cumulative Extra Payments Towards Equity]]</f>
        <v>148898.29327392764</v>
      </c>
    </row>
    <row r="373" spans="9:44" x14ac:dyDescent="0.25">
      <c r="I373">
        <v>356</v>
      </c>
      <c r="J373">
        <f>IF(MOD(ROWS($J$18:J372),12)=0,J372+1,J372)</f>
        <v>2051</v>
      </c>
      <c r="K373" s="198">
        <f>IF(M373="#N/A",NA(),monthly_mortgage_schedule[[#This Row],[Month]])</f>
        <v>356</v>
      </c>
      <c r="L373" s="198">
        <f>IF(monthly_mortgage_schedule[[#This Row],[Calendar Year]]&gt;=$C$7,monthly_mortgage_schedule[[#This Row],[Calendar Year]],NA())</f>
        <v>2051</v>
      </c>
      <c r="M373" s="199">
        <f>IF((monthly_mortgage_schedule[[#This Row],[Calendar Year]]&gt;=$C$7)*(monthly_mortgage_schedule[[#This Row],[Calendar Year]]&lt;=$C$9),monthly_mortgage_schedule[[#This Row],[Begin Year (Range)]],NA())</f>
        <v>2051</v>
      </c>
      <c r="N373" s="214">
        <f>IF((monthly_mortgage_schedule[[#This Row],[Year (Range)]]&gt;=$C$7)*(monthly_mortgage_schedule[[#This Row],[Year (Range)]]&lt;=$C$9),X373,NA())</f>
        <v>0</v>
      </c>
      <c r="O373" s="214">
        <f>IF((monthly_mortgage_schedule[[#This Row],[Year (Range)]]&gt;=$C$7)*(monthly_mortgage_schedule[[#This Row],[Year (Range)]]&lt;=$C$9),Y373,NA())</f>
        <v>0</v>
      </c>
      <c r="P373" s="214">
        <f>IF((monthly_mortgage_schedule[[#This Row],[Year (Range)]]&gt;=$C$7)*(monthly_mortgage_schedule[[#This Row],[Year (Range)]]&lt;=$C$9),AG373,NA())</f>
        <v>71.332201088037365</v>
      </c>
      <c r="Q373" s="214">
        <f>IF((monthly_mortgage_schedule[[#This Row],[Year (Range)]]&gt;=$C$7)*(monthly_mortgage_schedule[[#This Row],[Year (Range)]]&lt;=$C$9),AH373,NA())</f>
        <v>3028.6942943753706</v>
      </c>
      <c r="R373" s="214">
        <f>IF((monthly_mortgage_schedule[[#This Row],[Year (Range)]]&gt;=$C$7)*(monthly_mortgage_schedule[[#This Row],[Year (Range)]]&lt;=$C$9),AO373,NA())</f>
        <v>61000.410405877403</v>
      </c>
      <c r="S373" s="214">
        <f>IF((monthly_mortgage_schedule[[#This Row],[Year (Range)]]&gt;=$C$7)*(monthly_mortgage_schedule[[#This Row],[Year (Range)]]&lt;=$C$9),AP373,NA())</f>
        <v>990</v>
      </c>
      <c r="T373" s="214">
        <f>IF((monthly_mortgage_schedule[[#This Row],[Year (Range)]]&gt;=$C$7)*(monthly_mortgage_schedule[[#This Row],[Year (Range)]]&lt;=$C$9),AR373,NA())</f>
        <v>150152.61522908715</v>
      </c>
      <c r="U373" s="214">
        <f>IF((monthly_mortgage_schedule[[#This Row],[Year (Range)]]&gt;=$C$7)*(monthly_mortgage_schedule[[#This Row],[Year (Range)]]&lt;=$C$9),AB373,NA())</f>
        <v>542995.30794004421</v>
      </c>
      <c r="V373" s="214">
        <f>IF((monthly_mortgage_schedule[[#This Row],[Year (Range)]]&gt;=$C$7)*(monthly_mortgage_schedule[[#This Row],[Year (Range)]]&lt;=$C$9),AI373,NA())</f>
        <v>527743.22263265331</v>
      </c>
      <c r="W373" s="187">
        <f t="shared" si="38"/>
        <v>0</v>
      </c>
      <c r="X373" s="4">
        <f t="shared" si="41"/>
        <v>0</v>
      </c>
      <c r="Y373" s="4">
        <f t="shared" si="39"/>
        <v>0</v>
      </c>
      <c r="Z373" s="4">
        <f>_xlfn.IFNA(INDEX(additional_mortgage_payments[],MATCH(monthly_mortgage_schedule[[#This Row],[Month]],additional_mortgage_payments[Month],0),3),0)</f>
        <v>0</v>
      </c>
      <c r="AA373" s="4">
        <f>AA372+monthly_mortgage_schedule[[#This Row],[Extra Payments Towards Equity]]</f>
        <v>39250</v>
      </c>
      <c r="AB373" s="4">
        <f>AB372+monthly_mortgage_schedule[[#This Row],[Principal With Extra Principal Payments]]+monthly_mortgage_schedule[[#This Row],[Extra Payments Towards Equity]]</f>
        <v>542995.30794004421</v>
      </c>
      <c r="AC373" s="4">
        <f>monthly_mortgage_schedule[[#This Row],[Cumulative Principal With Extra Principal Payments]]+down_payment_dollars</f>
        <v>602995.30794004421</v>
      </c>
      <c r="AD373" s="200">
        <f t="shared" si="36"/>
        <v>0</v>
      </c>
      <c r="AE373"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73" s="187">
        <f t="shared" si="42"/>
        <v>15285.471661722291</v>
      </c>
      <c r="AG373" s="4">
        <f>IF(monthly_mortgage_schedule[[#This Row],[Loan Balance (BOY) Without Extra Principal Payments]]&gt;0,monthly_mortgage_schedule[[#This Row],[Loan Balance (BOY) Without Extra Principal Payments]]*monthly_interest_rate,0)</f>
        <v>71.332201088037365</v>
      </c>
      <c r="AH373" s="4">
        <f>IF(monthly_mortgage_schedule[[#This Row],[Loan Balance (BOY) Without Extra Principal Payments]]&gt;1,monthly_principal_and_interest-monthly_mortgage_schedule[[#This Row],[Interest Without Extra Principal Payments]],0)</f>
        <v>3028.6942943753706</v>
      </c>
      <c r="AI373" s="4">
        <f>AI372+monthly_mortgage_schedule[[#This Row],[Principal Without Extra Principal Payments]]</f>
        <v>527743.22263265331</v>
      </c>
      <c r="AJ373" s="4">
        <f>monthly_mortgage_schedule[[#This Row],[Cumulative Principal Without Extra Principal Payments]]+down_payment_dollars</f>
        <v>587743.22263265331</v>
      </c>
      <c r="AK373" s="200">
        <f t="shared" si="37"/>
        <v>0</v>
      </c>
      <c r="AL373"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12256.77736734692</v>
      </c>
      <c r="AN373" s="196">
        <f>monthly_mortgage_schedule[[#This Row],[Extra Payments Towards Equity]]+AN372+IF(monthly_mortgage_schedule[[#This Row],[Interest With Extra Principal Payments]]&gt;0,monthly_mortgage_schedule[[#This Row],[Interest Without Extra Principal Payments]]-monthly_mortgage_schedule[[#This Row],[Interest With Extra Principal Payments]],0)</f>
        <v>100250.41040587741</v>
      </c>
      <c r="AO373" s="4">
        <f>AO372+IF(monthly_mortgage_schedule[[#This Row],[Interest With Extra Principal Payments]]&gt;0,monthly_mortgage_schedule[[#This Row],[Interest Without Extra Principal Payments]]-monthly_mortgage_schedule[[#This Row],[Interest With Extra Principal Payments]],0)</f>
        <v>61000.410405877403</v>
      </c>
      <c r="AP373" s="4">
        <f>AP372+monthly_mortgage_schedule[[#This Row],[PMI Without Extra Principal Payments]]-monthly_mortgage_schedule[[#This Row],[PMI with Additional Payments]]</f>
        <v>990</v>
      </c>
      <c r="AQ373" s="4">
        <f t="shared" si="40"/>
        <v>189402.61522908715</v>
      </c>
      <c r="AR373" s="4">
        <f>Table60[[#This Row],[Cumulative Investments]]-monthly_mortgage_schedule[[#This Row],[Cumulative Extra Payments Towards Equity]]</f>
        <v>150152.61522908715</v>
      </c>
    </row>
    <row r="374" spans="9:44" x14ac:dyDescent="0.25">
      <c r="I374">
        <v>357</v>
      </c>
      <c r="J374">
        <f>IF(MOD(ROWS($J$18:J373),12)=0,J373+1,J373)</f>
        <v>2051</v>
      </c>
      <c r="K374" s="198">
        <f>IF(M374="#N/A",NA(),monthly_mortgage_schedule[[#This Row],[Month]])</f>
        <v>357</v>
      </c>
      <c r="L374" s="198">
        <f>IF(monthly_mortgage_schedule[[#This Row],[Calendar Year]]&gt;=$C$7,monthly_mortgage_schedule[[#This Row],[Calendar Year]],NA())</f>
        <v>2051</v>
      </c>
      <c r="M374" s="199">
        <f>IF((monthly_mortgage_schedule[[#This Row],[Calendar Year]]&gt;=$C$7)*(monthly_mortgage_schedule[[#This Row],[Calendar Year]]&lt;=$C$9),monthly_mortgage_schedule[[#This Row],[Begin Year (Range)]],NA())</f>
        <v>2051</v>
      </c>
      <c r="N374" s="214">
        <f>IF((monthly_mortgage_schedule[[#This Row],[Year (Range)]]&gt;=$C$7)*(monthly_mortgage_schedule[[#This Row],[Year (Range)]]&lt;=$C$9),X374,NA())</f>
        <v>0</v>
      </c>
      <c r="O374" s="214">
        <f>IF((monthly_mortgage_schedule[[#This Row],[Year (Range)]]&gt;=$C$7)*(monthly_mortgage_schedule[[#This Row],[Year (Range)]]&lt;=$C$9),Y374,NA())</f>
        <v>0</v>
      </c>
      <c r="P374" s="214">
        <f>IF((monthly_mortgage_schedule[[#This Row],[Year (Range)]]&gt;=$C$7)*(monthly_mortgage_schedule[[#This Row],[Year (Range)]]&lt;=$C$9),AG374,NA())</f>
        <v>57.198294380952298</v>
      </c>
      <c r="Q374" s="214">
        <f>IF((monthly_mortgage_schedule[[#This Row],[Year (Range)]]&gt;=$C$7)*(monthly_mortgage_schedule[[#This Row],[Year (Range)]]&lt;=$C$9),AH374,NA())</f>
        <v>3042.828201082456</v>
      </c>
      <c r="R374" s="214">
        <f>IF((monthly_mortgage_schedule[[#This Row],[Year (Range)]]&gt;=$C$7)*(monthly_mortgage_schedule[[#This Row],[Year (Range)]]&lt;=$C$9),AO374,NA())</f>
        <v>61000.410405877403</v>
      </c>
      <c r="S374" s="214">
        <f>IF((monthly_mortgage_schedule[[#This Row],[Year (Range)]]&gt;=$C$7)*(monthly_mortgage_schedule[[#This Row],[Year (Range)]]&lt;=$C$9),AP374,NA())</f>
        <v>990</v>
      </c>
      <c r="T374" s="214">
        <f>IF((monthly_mortgage_schedule[[#This Row],[Year (Range)]]&gt;=$C$7)*(monthly_mortgage_schedule[[#This Row],[Year (Range)]]&lt;=$C$9),AR374,NA())</f>
        <v>151415.29933061439</v>
      </c>
      <c r="U374" s="214">
        <f>IF((monthly_mortgage_schedule[[#This Row],[Year (Range)]]&gt;=$C$7)*(monthly_mortgage_schedule[[#This Row],[Year (Range)]]&lt;=$C$9),AB374,NA())</f>
        <v>542995.30794004421</v>
      </c>
      <c r="V374" s="214">
        <f>IF((monthly_mortgage_schedule[[#This Row],[Year (Range)]]&gt;=$C$7)*(monthly_mortgage_schedule[[#This Row],[Year (Range)]]&lt;=$C$9),AI374,NA())</f>
        <v>530786.05083373573</v>
      </c>
      <c r="W374" s="187">
        <f t="shared" si="38"/>
        <v>0</v>
      </c>
      <c r="X374" s="4">
        <f t="shared" si="41"/>
        <v>0</v>
      </c>
      <c r="Y374" s="4">
        <f t="shared" si="39"/>
        <v>0</v>
      </c>
      <c r="Z374" s="4">
        <f>_xlfn.IFNA(INDEX(additional_mortgage_payments[],MATCH(monthly_mortgage_schedule[[#This Row],[Month]],additional_mortgage_payments[Month],0),3),0)</f>
        <v>0</v>
      </c>
      <c r="AA374" s="4">
        <f>AA373+monthly_mortgage_schedule[[#This Row],[Extra Payments Towards Equity]]</f>
        <v>39250</v>
      </c>
      <c r="AB374" s="4">
        <f>AB373+monthly_mortgage_schedule[[#This Row],[Principal With Extra Principal Payments]]+monthly_mortgage_schedule[[#This Row],[Extra Payments Towards Equity]]</f>
        <v>542995.30794004421</v>
      </c>
      <c r="AC374" s="4">
        <f>monthly_mortgage_schedule[[#This Row],[Cumulative Principal With Extra Principal Payments]]+down_payment_dollars</f>
        <v>602995.30794004421</v>
      </c>
      <c r="AD374" s="200">
        <f t="shared" si="36"/>
        <v>0</v>
      </c>
      <c r="AE374"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74" s="187">
        <f t="shared" si="42"/>
        <v>12256.77736734692</v>
      </c>
      <c r="AG374" s="4">
        <f>IF(monthly_mortgage_schedule[[#This Row],[Loan Balance (BOY) Without Extra Principal Payments]]&gt;0,monthly_mortgage_schedule[[#This Row],[Loan Balance (BOY) Without Extra Principal Payments]]*monthly_interest_rate,0)</f>
        <v>57.198294380952298</v>
      </c>
      <c r="AH374" s="4">
        <f>IF(monthly_mortgage_schedule[[#This Row],[Loan Balance (BOY) Without Extra Principal Payments]]&gt;1,monthly_principal_and_interest-monthly_mortgage_schedule[[#This Row],[Interest Without Extra Principal Payments]],0)</f>
        <v>3042.828201082456</v>
      </c>
      <c r="AI374" s="4">
        <f>AI373+monthly_mortgage_schedule[[#This Row],[Principal Without Extra Principal Payments]]</f>
        <v>530786.05083373573</v>
      </c>
      <c r="AJ374" s="4">
        <f>monthly_mortgage_schedule[[#This Row],[Cumulative Principal Without Extra Principal Payments]]+down_payment_dollars</f>
        <v>590786.05083373573</v>
      </c>
      <c r="AK374" s="200">
        <f t="shared" si="37"/>
        <v>0</v>
      </c>
      <c r="AL374"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9213.949166264465</v>
      </c>
      <c r="AN374" s="196">
        <f>monthly_mortgage_schedule[[#This Row],[Extra Payments Towards Equity]]+AN373+IF(monthly_mortgage_schedule[[#This Row],[Interest With Extra Principal Payments]]&gt;0,monthly_mortgage_schedule[[#This Row],[Interest Without Extra Principal Payments]]-monthly_mortgage_schedule[[#This Row],[Interest With Extra Principal Payments]],0)</f>
        <v>100250.41040587741</v>
      </c>
      <c r="AO374" s="4">
        <f>AO373+IF(monthly_mortgage_schedule[[#This Row],[Interest With Extra Principal Payments]]&gt;0,monthly_mortgage_schedule[[#This Row],[Interest Without Extra Principal Payments]]-monthly_mortgage_schedule[[#This Row],[Interest With Extra Principal Payments]],0)</f>
        <v>61000.410405877403</v>
      </c>
      <c r="AP374" s="4">
        <f>AP373+monthly_mortgage_schedule[[#This Row],[PMI Without Extra Principal Payments]]-monthly_mortgage_schedule[[#This Row],[PMI with Additional Payments]]</f>
        <v>990</v>
      </c>
      <c r="AQ374" s="4">
        <f t="shared" si="40"/>
        <v>190665.29933061439</v>
      </c>
      <c r="AR374" s="4">
        <f>Table60[[#This Row],[Cumulative Investments]]-monthly_mortgage_schedule[[#This Row],[Cumulative Extra Payments Towards Equity]]</f>
        <v>151415.29933061439</v>
      </c>
    </row>
    <row r="375" spans="9:44" x14ac:dyDescent="0.25">
      <c r="I375">
        <v>358</v>
      </c>
      <c r="J375">
        <f>IF(MOD(ROWS($J$18:J374),12)=0,J374+1,J374)</f>
        <v>2051</v>
      </c>
      <c r="K375" s="198">
        <f>IF(M375="#N/A",NA(),monthly_mortgage_schedule[[#This Row],[Month]])</f>
        <v>358</v>
      </c>
      <c r="L375" s="198">
        <f>IF(monthly_mortgage_schedule[[#This Row],[Calendar Year]]&gt;=$C$7,monthly_mortgage_schedule[[#This Row],[Calendar Year]],NA())</f>
        <v>2051</v>
      </c>
      <c r="M375" s="199">
        <f>IF((monthly_mortgage_schedule[[#This Row],[Calendar Year]]&gt;=$C$7)*(monthly_mortgage_schedule[[#This Row],[Calendar Year]]&lt;=$C$9),monthly_mortgage_schedule[[#This Row],[Begin Year (Range)]],NA())</f>
        <v>2051</v>
      </c>
      <c r="N375" s="214">
        <f>IF((monthly_mortgage_schedule[[#This Row],[Year (Range)]]&gt;=$C$7)*(monthly_mortgage_schedule[[#This Row],[Year (Range)]]&lt;=$C$9),X375,NA())</f>
        <v>0</v>
      </c>
      <c r="O375" s="214">
        <f>IF((monthly_mortgage_schedule[[#This Row],[Year (Range)]]&gt;=$C$7)*(monthly_mortgage_schedule[[#This Row],[Year (Range)]]&lt;=$C$9),Y375,NA())</f>
        <v>0</v>
      </c>
      <c r="P375" s="214">
        <f>IF((monthly_mortgage_schedule[[#This Row],[Year (Range)]]&gt;=$C$7)*(monthly_mortgage_schedule[[#This Row],[Year (Range)]]&lt;=$C$9),AG375,NA())</f>
        <v>42.998429442567506</v>
      </c>
      <c r="Q375" s="214">
        <f>IF((monthly_mortgage_schedule[[#This Row],[Year (Range)]]&gt;=$C$7)*(monthly_mortgage_schedule[[#This Row],[Year (Range)]]&lt;=$C$9),AH375,NA())</f>
        <v>3057.0280660208405</v>
      </c>
      <c r="R375" s="214">
        <f>IF((monthly_mortgage_schedule[[#This Row],[Year (Range)]]&gt;=$C$7)*(monthly_mortgage_schedule[[#This Row],[Year (Range)]]&lt;=$C$9),AO375,NA())</f>
        <v>61000.410405877403</v>
      </c>
      <c r="S375" s="214">
        <f>IF((monthly_mortgage_schedule[[#This Row],[Year (Range)]]&gt;=$C$7)*(monthly_mortgage_schedule[[#This Row],[Year (Range)]]&lt;=$C$9),AP375,NA())</f>
        <v>990</v>
      </c>
      <c r="T375" s="214">
        <f>IF((monthly_mortgage_schedule[[#This Row],[Year (Range)]]&gt;=$C$7)*(monthly_mortgage_schedule[[#This Row],[Year (Range)]]&lt;=$C$9),AR375,NA())</f>
        <v>152686.4013261518</v>
      </c>
      <c r="U375" s="214">
        <f>IF((monthly_mortgage_schedule[[#This Row],[Year (Range)]]&gt;=$C$7)*(monthly_mortgage_schedule[[#This Row],[Year (Range)]]&lt;=$C$9),AB375,NA())</f>
        <v>542995.30794004421</v>
      </c>
      <c r="V375" s="214">
        <f>IF((monthly_mortgage_schedule[[#This Row],[Year (Range)]]&gt;=$C$7)*(monthly_mortgage_schedule[[#This Row],[Year (Range)]]&lt;=$C$9),AI375,NA())</f>
        <v>533843.07889975654</v>
      </c>
      <c r="W375" s="187">
        <f t="shared" si="38"/>
        <v>0</v>
      </c>
      <c r="X375" s="4">
        <f t="shared" si="41"/>
        <v>0</v>
      </c>
      <c r="Y375" s="4">
        <f t="shared" si="39"/>
        <v>0</v>
      </c>
      <c r="Z375" s="4">
        <f>_xlfn.IFNA(INDEX(additional_mortgage_payments[],MATCH(monthly_mortgage_schedule[[#This Row],[Month]],additional_mortgage_payments[Month],0),3),0)</f>
        <v>0</v>
      </c>
      <c r="AA375" s="4">
        <f>AA374+monthly_mortgage_schedule[[#This Row],[Extra Payments Towards Equity]]</f>
        <v>39250</v>
      </c>
      <c r="AB375" s="4">
        <f>AB374+monthly_mortgage_schedule[[#This Row],[Principal With Extra Principal Payments]]+monthly_mortgage_schedule[[#This Row],[Extra Payments Towards Equity]]</f>
        <v>542995.30794004421</v>
      </c>
      <c r="AC375" s="4">
        <f>monthly_mortgage_schedule[[#This Row],[Cumulative Principal With Extra Principal Payments]]+down_payment_dollars</f>
        <v>602995.30794004421</v>
      </c>
      <c r="AD375" s="200">
        <f t="shared" si="36"/>
        <v>0</v>
      </c>
      <c r="AE375"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75" s="187">
        <f t="shared" si="42"/>
        <v>9213.949166264465</v>
      </c>
      <c r="AG375" s="4">
        <f>IF(monthly_mortgage_schedule[[#This Row],[Loan Balance (BOY) Without Extra Principal Payments]]&gt;0,monthly_mortgage_schedule[[#This Row],[Loan Balance (BOY) Without Extra Principal Payments]]*monthly_interest_rate,0)</f>
        <v>42.998429442567506</v>
      </c>
      <c r="AH375" s="4">
        <f>IF(monthly_mortgage_schedule[[#This Row],[Loan Balance (BOY) Without Extra Principal Payments]]&gt;1,monthly_principal_and_interest-monthly_mortgage_schedule[[#This Row],[Interest Without Extra Principal Payments]],0)</f>
        <v>3057.0280660208405</v>
      </c>
      <c r="AI375" s="4">
        <f>AI374+monthly_mortgage_schedule[[#This Row],[Principal Without Extra Principal Payments]]</f>
        <v>533843.07889975654</v>
      </c>
      <c r="AJ375" s="4">
        <f>monthly_mortgage_schedule[[#This Row],[Cumulative Principal Without Extra Principal Payments]]+down_payment_dollars</f>
        <v>593843.07889975654</v>
      </c>
      <c r="AK375" s="200">
        <f t="shared" si="37"/>
        <v>0</v>
      </c>
      <c r="AL375"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6156.9211002436241</v>
      </c>
      <c r="AN375" s="196">
        <f>monthly_mortgage_schedule[[#This Row],[Extra Payments Towards Equity]]+AN374+IF(monthly_mortgage_schedule[[#This Row],[Interest With Extra Principal Payments]]&gt;0,monthly_mortgage_schedule[[#This Row],[Interest Without Extra Principal Payments]]-monthly_mortgage_schedule[[#This Row],[Interest With Extra Principal Payments]],0)</f>
        <v>100250.41040587741</v>
      </c>
      <c r="AO375" s="4">
        <f>AO374+IF(monthly_mortgage_schedule[[#This Row],[Interest With Extra Principal Payments]]&gt;0,monthly_mortgage_schedule[[#This Row],[Interest Without Extra Principal Payments]]-monthly_mortgage_schedule[[#This Row],[Interest With Extra Principal Payments]],0)</f>
        <v>61000.410405877403</v>
      </c>
      <c r="AP375" s="4">
        <f>AP374+monthly_mortgage_schedule[[#This Row],[PMI Without Extra Principal Payments]]-monthly_mortgage_schedule[[#This Row],[PMI with Additional Payments]]</f>
        <v>990</v>
      </c>
      <c r="AQ375" s="4">
        <f t="shared" si="40"/>
        <v>191936.4013261518</v>
      </c>
      <c r="AR375" s="4">
        <f>Table60[[#This Row],[Cumulative Investments]]-monthly_mortgage_schedule[[#This Row],[Cumulative Extra Payments Towards Equity]]</f>
        <v>152686.4013261518</v>
      </c>
    </row>
    <row r="376" spans="9:44" x14ac:dyDescent="0.25">
      <c r="I376">
        <v>359</v>
      </c>
      <c r="J376">
        <f>IF(MOD(ROWS($J$18:J375),12)=0,J375+1,J375)</f>
        <v>2051</v>
      </c>
      <c r="K376" s="198">
        <f>IF(M376="#N/A",NA(),monthly_mortgage_schedule[[#This Row],[Month]])</f>
        <v>359</v>
      </c>
      <c r="L376" s="198">
        <f>IF(monthly_mortgage_schedule[[#This Row],[Calendar Year]]&gt;=$C$7,monthly_mortgage_schedule[[#This Row],[Calendar Year]],NA())</f>
        <v>2051</v>
      </c>
      <c r="M376" s="199">
        <f>IF((monthly_mortgage_schedule[[#This Row],[Calendar Year]]&gt;=$C$7)*(monthly_mortgage_schedule[[#This Row],[Calendar Year]]&lt;=$C$9),monthly_mortgage_schedule[[#This Row],[Begin Year (Range)]],NA())</f>
        <v>2051</v>
      </c>
      <c r="N376" s="214">
        <f>IF((monthly_mortgage_schedule[[#This Row],[Year (Range)]]&gt;=$C$7)*(monthly_mortgage_schedule[[#This Row],[Year (Range)]]&lt;=$C$9),X376,NA())</f>
        <v>0</v>
      </c>
      <c r="O376" s="214">
        <f>IF((monthly_mortgage_schedule[[#This Row],[Year (Range)]]&gt;=$C$7)*(monthly_mortgage_schedule[[#This Row],[Year (Range)]]&lt;=$C$9),Y376,NA())</f>
        <v>0</v>
      </c>
      <c r="P376" s="214">
        <f>IF((monthly_mortgage_schedule[[#This Row],[Year (Range)]]&gt;=$C$7)*(monthly_mortgage_schedule[[#This Row],[Year (Range)]]&lt;=$C$9),AG376,NA())</f>
        <v>28.732298467803581</v>
      </c>
      <c r="Q376" s="214">
        <f>IF((monthly_mortgage_schedule[[#This Row],[Year (Range)]]&gt;=$C$7)*(monthly_mortgage_schedule[[#This Row],[Year (Range)]]&lt;=$C$9),AH376,NA())</f>
        <v>3071.2941969956046</v>
      </c>
      <c r="R376" s="214">
        <f>IF((monthly_mortgage_schedule[[#This Row],[Year (Range)]]&gt;=$C$7)*(monthly_mortgage_schedule[[#This Row],[Year (Range)]]&lt;=$C$9),AO376,NA())</f>
        <v>61000.410405877403</v>
      </c>
      <c r="S376" s="214">
        <f>IF((monthly_mortgage_schedule[[#This Row],[Year (Range)]]&gt;=$C$7)*(monthly_mortgage_schedule[[#This Row],[Year (Range)]]&lt;=$C$9),AP376,NA())</f>
        <v>990</v>
      </c>
      <c r="T376" s="214">
        <f>IF((monthly_mortgage_schedule[[#This Row],[Year (Range)]]&gt;=$C$7)*(monthly_mortgage_schedule[[#This Row],[Year (Range)]]&lt;=$C$9),AR376,NA())</f>
        <v>153965.97733499279</v>
      </c>
      <c r="U376" s="214">
        <f>IF((monthly_mortgage_schedule[[#This Row],[Year (Range)]]&gt;=$C$7)*(monthly_mortgage_schedule[[#This Row],[Year (Range)]]&lt;=$C$9),AB376,NA())</f>
        <v>542995.30794004421</v>
      </c>
      <c r="V376" s="214">
        <f>IF((monthly_mortgage_schedule[[#This Row],[Year (Range)]]&gt;=$C$7)*(monthly_mortgage_schedule[[#This Row],[Year (Range)]]&lt;=$C$9),AI376,NA())</f>
        <v>536914.3730967521</v>
      </c>
      <c r="W376" s="187">
        <f t="shared" si="38"/>
        <v>0</v>
      </c>
      <c r="X376" s="4">
        <f t="shared" si="41"/>
        <v>0</v>
      </c>
      <c r="Y376" s="4">
        <f t="shared" si="39"/>
        <v>0</v>
      </c>
      <c r="Z376" s="4">
        <f>_xlfn.IFNA(INDEX(additional_mortgage_payments[],MATCH(monthly_mortgage_schedule[[#This Row],[Month]],additional_mortgage_payments[Month],0),3),0)</f>
        <v>0</v>
      </c>
      <c r="AA376" s="4">
        <f>AA375+monthly_mortgage_schedule[[#This Row],[Extra Payments Towards Equity]]</f>
        <v>39250</v>
      </c>
      <c r="AB376" s="4">
        <f>AB375+monthly_mortgage_schedule[[#This Row],[Principal With Extra Principal Payments]]+monthly_mortgage_schedule[[#This Row],[Extra Payments Towards Equity]]</f>
        <v>542995.30794004421</v>
      </c>
      <c r="AC376" s="4">
        <f>monthly_mortgage_schedule[[#This Row],[Cumulative Principal With Extra Principal Payments]]+down_payment_dollars</f>
        <v>602995.30794004421</v>
      </c>
      <c r="AD376" s="200">
        <f t="shared" si="36"/>
        <v>0</v>
      </c>
      <c r="AE376"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76" s="187">
        <f t="shared" si="42"/>
        <v>6156.9211002436241</v>
      </c>
      <c r="AG376" s="4">
        <f>IF(monthly_mortgage_schedule[[#This Row],[Loan Balance (BOY) Without Extra Principal Payments]]&gt;0,monthly_mortgage_schedule[[#This Row],[Loan Balance (BOY) Without Extra Principal Payments]]*monthly_interest_rate,0)</f>
        <v>28.732298467803581</v>
      </c>
      <c r="AH376" s="4">
        <f>IF(monthly_mortgage_schedule[[#This Row],[Loan Balance (BOY) Without Extra Principal Payments]]&gt;1,monthly_principal_and_interest-monthly_mortgage_schedule[[#This Row],[Interest Without Extra Principal Payments]],0)</f>
        <v>3071.2941969956046</v>
      </c>
      <c r="AI376" s="4">
        <f>AI375+monthly_mortgage_schedule[[#This Row],[Principal Without Extra Principal Payments]]</f>
        <v>536914.3730967521</v>
      </c>
      <c r="AJ376" s="4">
        <f>monthly_mortgage_schedule[[#This Row],[Cumulative Principal Without Extra Principal Payments]]+down_payment_dollars</f>
        <v>596914.3730967521</v>
      </c>
      <c r="AK376" s="200">
        <f t="shared" si="37"/>
        <v>0</v>
      </c>
      <c r="AL376"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3085.6269032480195</v>
      </c>
      <c r="AN376" s="196">
        <f>monthly_mortgage_schedule[[#This Row],[Extra Payments Towards Equity]]+AN375+IF(monthly_mortgage_schedule[[#This Row],[Interest With Extra Principal Payments]]&gt;0,monthly_mortgage_schedule[[#This Row],[Interest Without Extra Principal Payments]]-monthly_mortgage_schedule[[#This Row],[Interest With Extra Principal Payments]],0)</f>
        <v>100250.41040587741</v>
      </c>
      <c r="AO376" s="4">
        <f>AO375+IF(monthly_mortgage_schedule[[#This Row],[Interest With Extra Principal Payments]]&gt;0,monthly_mortgage_schedule[[#This Row],[Interest Without Extra Principal Payments]]-monthly_mortgage_schedule[[#This Row],[Interest With Extra Principal Payments]],0)</f>
        <v>61000.410405877403</v>
      </c>
      <c r="AP376" s="4">
        <f>AP375+monthly_mortgage_schedule[[#This Row],[PMI Without Extra Principal Payments]]-monthly_mortgage_schedule[[#This Row],[PMI with Additional Payments]]</f>
        <v>990</v>
      </c>
      <c r="AQ376" s="4">
        <f t="shared" si="40"/>
        <v>193215.97733499279</v>
      </c>
      <c r="AR376" s="4">
        <f>Table60[[#This Row],[Cumulative Investments]]-monthly_mortgage_schedule[[#This Row],[Cumulative Extra Payments Towards Equity]]</f>
        <v>153965.97733499279</v>
      </c>
    </row>
    <row r="377" spans="9:44" x14ac:dyDescent="0.25">
      <c r="I377">
        <v>360</v>
      </c>
      <c r="J377">
        <f>IF(MOD(ROWS($J$18:J376),12)=0,J376+1,J376)</f>
        <v>2051</v>
      </c>
      <c r="K377" s="198">
        <f>IF(M377="#N/A",NA(),monthly_mortgage_schedule[[#This Row],[Month]])</f>
        <v>360</v>
      </c>
      <c r="L377" s="198">
        <f>IF(monthly_mortgage_schedule[[#This Row],[Calendar Year]]&gt;=$C$7,monthly_mortgage_schedule[[#This Row],[Calendar Year]],NA())</f>
        <v>2051</v>
      </c>
      <c r="M377" s="199">
        <f>IF((monthly_mortgage_schedule[[#This Row],[Calendar Year]]&gt;=$C$7)*(monthly_mortgage_schedule[[#This Row],[Calendar Year]]&lt;=$C$9),monthly_mortgage_schedule[[#This Row],[Begin Year (Range)]],NA())</f>
        <v>2051</v>
      </c>
      <c r="N377" s="214">
        <f>IF((monthly_mortgage_schedule[[#This Row],[Year (Range)]]&gt;=$C$7)*(monthly_mortgage_schedule[[#This Row],[Year (Range)]]&lt;=$C$9),X377,NA())</f>
        <v>0</v>
      </c>
      <c r="O377" s="214">
        <f>IF((monthly_mortgage_schedule[[#This Row],[Year (Range)]]&gt;=$C$7)*(monthly_mortgage_schedule[[#This Row],[Year (Range)]]&lt;=$C$9),Y377,NA())</f>
        <v>0</v>
      </c>
      <c r="P377" s="214">
        <f>IF((monthly_mortgage_schedule[[#This Row],[Year (Range)]]&gt;=$C$7)*(monthly_mortgage_schedule[[#This Row],[Year (Range)]]&lt;=$C$9),AG377,NA())</f>
        <v>14.399592215157426</v>
      </c>
      <c r="Q377" s="214">
        <f>IF((monthly_mortgage_schedule[[#This Row],[Year (Range)]]&gt;=$C$7)*(monthly_mortgage_schedule[[#This Row],[Year (Range)]]&lt;=$C$9),AH377,NA())</f>
        <v>3085.6269032482505</v>
      </c>
      <c r="R377" s="214">
        <f>IF((monthly_mortgage_schedule[[#This Row],[Year (Range)]]&gt;=$C$7)*(monthly_mortgage_schedule[[#This Row],[Year (Range)]]&lt;=$C$9),AO377,NA())</f>
        <v>61000.410405877403</v>
      </c>
      <c r="S377" s="214">
        <f>IF((monthly_mortgage_schedule[[#This Row],[Year (Range)]]&gt;=$C$7)*(monthly_mortgage_schedule[[#This Row],[Year (Range)]]&lt;=$C$9),AP377,NA())</f>
        <v>990</v>
      </c>
      <c r="T377" s="214">
        <f>IF((monthly_mortgage_schedule[[#This Row],[Year (Range)]]&gt;=$C$7)*(monthly_mortgage_schedule[[#This Row],[Year (Range)]]&lt;=$C$9),AR377,NA())</f>
        <v>155254.0838505594</v>
      </c>
      <c r="U377" s="214">
        <f>IF((monthly_mortgage_schedule[[#This Row],[Year (Range)]]&gt;=$C$7)*(monthly_mortgage_schedule[[#This Row],[Year (Range)]]&lt;=$C$9),AB377,NA())</f>
        <v>542995.30794004421</v>
      </c>
      <c r="V377" s="214">
        <f>IF((monthly_mortgage_schedule[[#This Row],[Year (Range)]]&gt;=$C$7)*(monthly_mortgage_schedule[[#This Row],[Year (Range)]]&lt;=$C$9),AI377,NA())</f>
        <v>540000.00000000035</v>
      </c>
      <c r="W377" s="187">
        <f t="shared" si="38"/>
        <v>0</v>
      </c>
      <c r="X377" s="4">
        <f t="shared" si="41"/>
        <v>0</v>
      </c>
      <c r="Y377" s="4">
        <f t="shared" si="39"/>
        <v>0</v>
      </c>
      <c r="Z377" s="4">
        <f>_xlfn.IFNA(INDEX(additional_mortgage_payments[],MATCH(monthly_mortgage_schedule[[#This Row],[Month]],additional_mortgage_payments[Month],0),3),0)</f>
        <v>0</v>
      </c>
      <c r="AA377" s="4">
        <f>AA376+monthly_mortgage_schedule[[#This Row],[Extra Payments Towards Equity]]</f>
        <v>39250</v>
      </c>
      <c r="AB377" s="4">
        <f>AB376+monthly_mortgage_schedule[[#This Row],[Principal With Extra Principal Payments]]+monthly_mortgage_schedule[[#This Row],[Extra Payments Towards Equity]]</f>
        <v>542995.30794004421</v>
      </c>
      <c r="AC377" s="4">
        <f>monthly_mortgage_schedule[[#This Row],[Cumulative Principal With Extra Principal Payments]]+down_payment_dollars</f>
        <v>602995.30794004421</v>
      </c>
      <c r="AD377" s="200">
        <f t="shared" si="36"/>
        <v>0</v>
      </c>
      <c r="AE377" s="188">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77" s="187">
        <f t="shared" si="42"/>
        <v>3085.6269032480195</v>
      </c>
      <c r="AG377" s="4">
        <f>IF(monthly_mortgage_schedule[[#This Row],[Loan Balance (BOY) Without Extra Principal Payments]]&gt;0,monthly_mortgage_schedule[[#This Row],[Loan Balance (BOY) Without Extra Principal Payments]]*monthly_interest_rate,0)</f>
        <v>14.399592215157426</v>
      </c>
      <c r="AH377" s="4">
        <f>IF(monthly_mortgage_schedule[[#This Row],[Loan Balance (BOY) Without Extra Principal Payments]]&gt;1,monthly_principal_and_interest-monthly_mortgage_schedule[[#This Row],[Interest Without Extra Principal Payments]],0)</f>
        <v>3085.6269032482505</v>
      </c>
      <c r="AI377" s="4">
        <f>AI376+monthly_mortgage_schedule[[#This Row],[Principal Without Extra Principal Payments]]</f>
        <v>540000.00000000035</v>
      </c>
      <c r="AJ377" s="4">
        <f>monthly_mortgage_schedule[[#This Row],[Cumulative Principal Without Extra Principal Payments]]+down_payment_dollars</f>
        <v>600000.00000000035</v>
      </c>
      <c r="AK377" s="200">
        <f t="shared" si="37"/>
        <v>0</v>
      </c>
      <c r="AL377"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0</v>
      </c>
      <c r="AN377" s="196">
        <f>monthly_mortgage_schedule[[#This Row],[Extra Payments Towards Equity]]+AN376+IF(monthly_mortgage_schedule[[#This Row],[Interest With Extra Principal Payments]]&gt;0,monthly_mortgage_schedule[[#This Row],[Interest Without Extra Principal Payments]]-monthly_mortgage_schedule[[#This Row],[Interest With Extra Principal Payments]],0)</f>
        <v>100250.41040587741</v>
      </c>
      <c r="AO377" s="4">
        <f>AO376+IF(monthly_mortgage_schedule[[#This Row],[Interest With Extra Principal Payments]]&gt;0,monthly_mortgage_schedule[[#This Row],[Interest Without Extra Principal Payments]]-monthly_mortgage_schedule[[#This Row],[Interest With Extra Principal Payments]],0)</f>
        <v>61000.410405877403</v>
      </c>
      <c r="AP377" s="4">
        <f>AP376+monthly_mortgage_schedule[[#This Row],[PMI Without Extra Principal Payments]]-monthly_mortgage_schedule[[#This Row],[PMI with Additional Payments]]</f>
        <v>990</v>
      </c>
      <c r="AQ377" s="4">
        <f t="shared" si="40"/>
        <v>194504.0838505594</v>
      </c>
      <c r="AR377" s="4">
        <f>Table60[[#This Row],[Cumulative Investments]]-monthly_mortgage_schedule[[#This Row],[Cumulative Extra Payments Towards Equity]]</f>
        <v>155254.0838505594</v>
      </c>
    </row>
    <row r="378" spans="9:44" ht="13.8" hidden="1" thickBot="1" x14ac:dyDescent="0.3">
      <c r="I378">
        <v>361</v>
      </c>
      <c r="J378">
        <f>IF(MOD(ROWS($J$18:J377),12)=0,J377+1,J377)</f>
        <v>2052</v>
      </c>
      <c r="K378">
        <f>IF(M378="#N/A",NA(),monthly_mortgage_schedule[[#This Row],[Month]])</f>
        <v>361</v>
      </c>
      <c r="L378" s="198">
        <f>IF(monthly_mortgage_schedule[[#This Row],[Calendar Year]]&gt;=$C$7,monthly_mortgage_schedule[[#This Row],[Calendar Year]],NA())</f>
        <v>2052</v>
      </c>
      <c r="M378" s="199">
        <f>IF((monthly_mortgage_schedule[[#This Row],[Calendar Year]]&gt;=$C$7)*(monthly_mortgage_schedule[[#This Row],[Calendar Year]]&lt;=$C$9),monthly_mortgage_schedule[[#This Row],[Begin Year (Range)]],NA())</f>
        <v>2052</v>
      </c>
      <c r="N378" s="214">
        <f>IF((monthly_mortgage_schedule[[#This Row],[Year (Range)]]&gt;=$C$7)*(monthly_mortgage_schedule[[#This Row],[Year (Range)]]&lt;=$C$9),X378,NA())</f>
        <v>0</v>
      </c>
      <c r="O378" s="214">
        <f>IF((monthly_mortgage_schedule[[#This Row],[Year (Range)]]&gt;=$C$7)*(monthly_mortgage_schedule[[#This Row],[Year (Range)]]&lt;=$C$9),Y378,NA())</f>
        <v>0</v>
      </c>
      <c r="P378" s="214">
        <f>IF((monthly_mortgage_schedule[[#This Row],[Year (Range)]]&gt;=$C$7)*(monthly_mortgage_schedule[[#This Row],[Year (Range)]]&lt;=$C$9),AG378,NA())</f>
        <v>0</v>
      </c>
      <c r="Q378" s="214">
        <f>IF((monthly_mortgage_schedule[[#This Row],[Year (Range)]]&gt;=$C$7)*(monthly_mortgage_schedule[[#This Row],[Year (Range)]]&lt;=$C$9),AH378,NA())</f>
        <v>0</v>
      </c>
      <c r="R378" s="214">
        <f>IF((monthly_mortgage_schedule[[#This Row],[Year (Range)]]&gt;=$C$7)*(monthly_mortgage_schedule[[#This Row],[Year (Range)]]&lt;=$C$9),AO378,NA())</f>
        <v>61000.410405877403</v>
      </c>
      <c r="S378" s="214">
        <f>IF((monthly_mortgage_schedule[[#This Row],[Year (Range)]]&gt;=$C$7)*(monthly_mortgage_schedule[[#This Row],[Year (Range)]]&lt;=$C$9),AP378,NA())</f>
        <v>990</v>
      </c>
      <c r="T378" s="214">
        <f>IF((monthly_mortgage_schedule[[#This Row],[Year (Range)]]&gt;=$C$7)*(monthly_mortgage_schedule[[#This Row],[Year (Range)]]&lt;=$C$9),AR378,NA())</f>
        <v>156550.77774289646</v>
      </c>
      <c r="U378" s="214">
        <f>IF((monthly_mortgage_schedule[[#This Row],[Year (Range)]]&gt;=$C$7)*(monthly_mortgage_schedule[[#This Row],[Year (Range)]]&lt;=$C$9),AB378,NA())</f>
        <v>542995.30794004421</v>
      </c>
      <c r="V378" s="214">
        <f>IF((monthly_mortgage_schedule[[#This Row],[Year (Range)]]&gt;=$C$7)*(monthly_mortgage_schedule[[#This Row],[Year (Range)]]&lt;=$C$9),AI378,NA())</f>
        <v>540000.00000000035</v>
      </c>
      <c r="W378" s="189">
        <f t="shared" si="38"/>
        <v>0</v>
      </c>
      <c r="X378" s="190">
        <f t="shared" si="41"/>
        <v>0</v>
      </c>
      <c r="Y378" s="4">
        <f t="shared" si="39"/>
        <v>0</v>
      </c>
      <c r="Z378" s="190">
        <f>_xlfn.IFNA(INDEX(additional_mortgage_payments[],MATCH(monthly_mortgage_schedule[[#This Row],[Month]],additional_mortgage_payments[Month],0),3),0)</f>
        <v>0</v>
      </c>
      <c r="AA378" s="190">
        <f>AA377+monthly_mortgage_schedule[[#This Row],[Extra Payments Towards Equity]]</f>
        <v>39250</v>
      </c>
      <c r="AB378" s="190">
        <f>AB377+monthly_mortgage_schedule[[#This Row],[Principal With Extra Principal Payments]]+monthly_mortgage_schedule[[#This Row],[Extra Payments Towards Equity]]</f>
        <v>542995.30794004421</v>
      </c>
      <c r="AC378" s="190">
        <f>monthly_mortgage_schedule[[#This Row],[Cumulative Principal With Extra Principal Payments]]+down_payment_dollars</f>
        <v>602995.30794004421</v>
      </c>
      <c r="AD378" s="201">
        <f t="shared" si="36"/>
        <v>0</v>
      </c>
      <c r="AE378" s="191">
        <f>IF(monthly_mortgage_schedule[[#This Row],[Loan Balance (BOY)]]&lt;monthly_mortgage_schedule[[#This Row],[Principal With Extra Principal Payments]],0,IF(monthly_mortgage_schedule[[#This Row],[Month]]&lt;=total_loan_payments,(monthly_mortgage_schedule[[#This Row],[Loan Balance (BOY)]]-(monthly_mortgage_schedule[[#This Row],[Principal With Extra Principal Payments]]+monthly_mortgage_schedule[[#This Row],[Extra Payments Towards Equity]])),0))</f>
        <v>0</v>
      </c>
      <c r="AF378" s="189">
        <f t="shared" si="42"/>
        <v>0</v>
      </c>
      <c r="AG378" s="190">
        <f>IF(monthly_mortgage_schedule[[#This Row],[Loan Balance (BOY) Without Extra Principal Payments]]&gt;0,monthly_mortgage_schedule[[#This Row],[Loan Balance (BOY) Without Extra Principal Payments]]*monthly_interest_rate,0)</f>
        <v>0</v>
      </c>
      <c r="AH378" s="190">
        <f>IF(monthly_mortgage_schedule[[#This Row],[Loan Balance (BOY) Without Extra Principal Payments]]&gt;1,monthly_principal_and_interest-monthly_mortgage_schedule[[#This Row],[Interest Without Extra Principal Payments]],0)</f>
        <v>0</v>
      </c>
      <c r="AI378" s="190">
        <f>AI377+monthly_mortgage_schedule[[#This Row],[Principal Without Extra Principal Payments]]</f>
        <v>540000.00000000035</v>
      </c>
      <c r="AJ378" s="4">
        <f>monthly_mortgage_schedule[[#This Row],[Cumulative Principal Without Extra Principal Payments]]+down_payment_dollars</f>
        <v>600000.00000000035</v>
      </c>
      <c r="AK378" s="200">
        <f t="shared" si="37"/>
        <v>0</v>
      </c>
      <c r="AL378" s="188">
        <f>IF(monthly_mortgage_schedule[[#This Row],[Loan Balance (BOY) Without Extra Principal Payments]]&lt;monthly_mortgage_schedule[[#This Row],[Principal Without Extra Principal Payments]],0,IF(monthly_mortgage_schedule[[#This Row],[Month]]&lt;=total_loan_payments,(monthly_mortgage_schedule[[#This Row],[Loan Balance (BOY) Without Extra Principal Payments]]-(monthly_mortgage_schedule[[#This Row],[Principal Without Extra Principal Payments]])),0))</f>
        <v>0</v>
      </c>
      <c r="AN378" s="196">
        <f>monthly_mortgage_schedule[[#This Row],[Extra Payments Towards Equity]]+AN377+IF(monthly_mortgage_schedule[[#This Row],[Interest With Extra Principal Payments]]&gt;0,monthly_mortgage_schedule[[#This Row],[Interest Without Extra Principal Payments]]-monthly_mortgage_schedule[[#This Row],[Interest With Extra Principal Payments]],0)</f>
        <v>100250.41040587741</v>
      </c>
      <c r="AO378" s="4">
        <f>AO377+IF(monthly_mortgage_schedule[[#This Row],[Interest With Extra Principal Payments]]&gt;0,monthly_mortgage_schedule[[#This Row],[Interest Without Extra Principal Payments]]-monthly_mortgage_schedule[[#This Row],[Interest With Extra Principal Payments]],0)</f>
        <v>61000.410405877403</v>
      </c>
      <c r="AP378" s="4">
        <f>AP377+monthly_mortgage_schedule[[#This Row],[PMI Without Extra Principal Payments]]-monthly_mortgage_schedule[[#This Row],[PMI with Additional Payments]]</f>
        <v>990</v>
      </c>
      <c r="AQ378" s="4">
        <f t="shared" si="40"/>
        <v>195800.77774289646</v>
      </c>
      <c r="AR378" s="4">
        <f>Table60[[#This Row],[Cumulative Investments]]-monthly_mortgage_schedule[[#This Row],[Cumulative Extra Payments Towards Equity]]</f>
        <v>156550.77774289646</v>
      </c>
    </row>
    <row r="380" spans="9:44" x14ac:dyDescent="0.25">
      <c r="AN380" s="167"/>
      <c r="AO380" s="167"/>
      <c r="AP380" s="167"/>
    </row>
  </sheetData>
  <sheetProtection algorithmName="SHA-512" hashValue="qWe208DprH4NPGOZeuviURX8GPMjFVQzWTeC532DaSIjV8DOI37OA2GIFNMbV9wvzFDknQ2G0ax95Nt9Sv18ZA==" saltValue="GxOttN+ILylIZ7moaDHUxg==" spinCount="100000" sheet="1" objects="1" scenarios="1" sort="0" pivotTables="0"/>
  <mergeCells count="10">
    <mergeCell ref="W16:AE16"/>
    <mergeCell ref="AF16:AL16"/>
    <mergeCell ref="AQ16:AR16"/>
    <mergeCell ref="B6:C6"/>
    <mergeCell ref="B7:B8"/>
    <mergeCell ref="C7:C8"/>
    <mergeCell ref="B9:B10"/>
    <mergeCell ref="C9:C10"/>
    <mergeCell ref="AN16:AP16"/>
    <mergeCell ref="AQ15:AR15"/>
  </mergeCells>
  <phoneticPr fontId="14" type="noConversion"/>
  <pageMargins left="0.25" right="0.25" top="0.75" bottom="0.75" header="0.3" footer="0.3"/>
  <pageSetup scale="25" fitToHeight="0"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66561" r:id="rId4" name="Spinner 1">
              <controlPr defaultSize="0" autoPict="0">
                <anchor moveWithCells="1" sizeWithCells="1">
                  <from>
                    <xdr:col>3</xdr:col>
                    <xdr:colOff>15240</xdr:colOff>
                    <xdr:row>5</xdr:row>
                    <xdr:rowOff>167640</xdr:rowOff>
                  </from>
                  <to>
                    <xdr:col>3</xdr:col>
                    <xdr:colOff>281940</xdr:colOff>
                    <xdr:row>7</xdr:row>
                    <xdr:rowOff>167640</xdr:rowOff>
                  </to>
                </anchor>
              </controlPr>
            </control>
          </mc:Choice>
        </mc:AlternateContent>
        <mc:AlternateContent xmlns:mc="http://schemas.openxmlformats.org/markup-compatibility/2006">
          <mc:Choice Requires="x14">
            <control shapeId="66562" r:id="rId5" name="Spinner 2">
              <controlPr defaultSize="0" autoPict="0">
                <anchor moveWithCells="1" sizeWithCells="1">
                  <from>
                    <xdr:col>3</xdr:col>
                    <xdr:colOff>22860</xdr:colOff>
                    <xdr:row>8</xdr:row>
                    <xdr:rowOff>7620</xdr:rowOff>
                  </from>
                  <to>
                    <xdr:col>3</xdr:col>
                    <xdr:colOff>281940</xdr:colOff>
                    <xdr:row>10</xdr:row>
                    <xdr:rowOff>0</xdr:rowOff>
                  </to>
                </anchor>
              </controlPr>
            </control>
          </mc:Choice>
        </mc:AlternateContent>
      </controls>
    </mc:Choice>
  </mc:AlternateContent>
  <tableParts count="2">
    <tablePart r:id="rId6"/>
    <tablePart r:id="rId7"/>
  </tablePar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8F148-0DC0-4D5A-A8F9-92E43E9FBBEC}">
  <sheetPr>
    <tabColor theme="4" tint="0.79998168889431442"/>
    <pageSetUpPr fitToPage="1"/>
  </sheetPr>
  <dimension ref="B1:AN117"/>
  <sheetViews>
    <sheetView zoomScaleNormal="100" workbookViewId="0"/>
  </sheetViews>
  <sheetFormatPr defaultRowHeight="13.2" x14ac:dyDescent="0.25"/>
  <cols>
    <col min="1" max="1" width="4.33203125" style="11" customWidth="1"/>
    <col min="2" max="2" width="12.77734375" style="11" customWidth="1"/>
    <col min="3" max="3" width="9.44140625" style="11" customWidth="1"/>
    <col min="4" max="4" width="8.88671875" style="11" bestFit="1" customWidth="1"/>
    <col min="5" max="5" width="10.44140625" style="11" customWidth="1"/>
    <col min="6" max="6" width="12.33203125" style="11" customWidth="1"/>
    <col min="7" max="7" width="12.88671875" style="11" customWidth="1"/>
    <col min="8" max="8" width="19.33203125" style="11" customWidth="1"/>
    <col min="9" max="9" width="5.21875" style="11" bestFit="1" customWidth="1"/>
    <col min="10" max="10" width="9" style="11" bestFit="1" customWidth="1"/>
    <col min="11" max="11" width="10.77734375" style="11" hidden="1" customWidth="1"/>
    <col min="12" max="12" width="12.6640625" style="11" hidden="1" customWidth="1"/>
    <col min="13" max="15" width="13.44140625" style="11" hidden="1" customWidth="1"/>
    <col min="16" max="16" width="15" style="11" hidden="1" customWidth="1"/>
    <col min="17" max="19" width="13.44140625" style="11" hidden="1" customWidth="1"/>
    <col min="20" max="20" width="15.5546875" style="11" hidden="1" customWidth="1"/>
    <col min="21" max="21" width="13.33203125" style="11" bestFit="1" customWidth="1"/>
    <col min="22" max="23" width="9.44140625" style="11" bestFit="1" customWidth="1"/>
    <col min="24" max="25" width="15" style="11" bestFit="1" customWidth="1"/>
    <col min="26" max="26" width="9.44140625" style="11" customWidth="1"/>
    <col min="27" max="27" width="31.77734375" style="11" customWidth="1"/>
    <col min="28" max="28" width="15" style="11" customWidth="1"/>
    <col min="29" max="29" width="13.77734375" style="11" customWidth="1"/>
    <col min="30" max="30" width="14.88671875" style="11" customWidth="1"/>
    <col min="31" max="31" width="13.77734375" style="11" customWidth="1"/>
    <col min="32" max="32" width="18" style="11" bestFit="1" customWidth="1"/>
    <col min="33" max="33" width="19" style="11" bestFit="1" customWidth="1"/>
    <col min="34" max="34" width="13.44140625" style="11" bestFit="1" customWidth="1"/>
    <col min="35" max="35" width="12.21875" style="11" bestFit="1" customWidth="1"/>
    <col min="36" max="36" width="14.44140625" style="11" bestFit="1" customWidth="1"/>
    <col min="37" max="37" width="15.5546875" style="11" customWidth="1"/>
    <col min="38" max="38" width="14.6640625" style="11" bestFit="1" customWidth="1"/>
    <col min="39" max="39" width="19.77734375" style="11" bestFit="1" customWidth="1"/>
    <col min="40" max="40" width="23.5546875" style="11" bestFit="1" customWidth="1"/>
    <col min="41" max="16384" width="8.88671875" style="11"/>
  </cols>
  <sheetData>
    <row r="1" spans="2:40" ht="11.4" customHeight="1" x14ac:dyDescent="0.25"/>
    <row r="2" spans="2:40" ht="15" customHeight="1" x14ac:dyDescent="0.25">
      <c r="I2" s="168"/>
    </row>
    <row r="3" spans="2:40" ht="10.8" customHeight="1" x14ac:dyDescent="0.25">
      <c r="I3" s="169"/>
    </row>
    <row r="4" spans="2:40" ht="10.199999999999999" customHeight="1" x14ac:dyDescent="0.25">
      <c r="I4" s="170"/>
    </row>
    <row r="5" spans="2:40" ht="12.6" customHeight="1" x14ac:dyDescent="0.25">
      <c r="I5" s="170"/>
    </row>
    <row r="6" spans="2:40" ht="10.199999999999999" customHeight="1" x14ac:dyDescent="0.25">
      <c r="I6" s="170"/>
    </row>
    <row r="7" spans="2:40" x14ac:dyDescent="0.25">
      <c r="B7" s="317" t="s">
        <v>500</v>
      </c>
      <c r="C7" s="317"/>
      <c r="G7" s="170"/>
      <c r="H7" s="170"/>
      <c r="I7" s="170"/>
      <c r="J7" s="170"/>
      <c r="K7" s="170"/>
      <c r="L7" s="170"/>
      <c r="M7" s="170"/>
      <c r="W7" s="171"/>
    </row>
    <row r="8" spans="2:40" ht="12" customHeight="1" x14ac:dyDescent="0.25">
      <c r="B8" s="318" t="s">
        <v>466</v>
      </c>
      <c r="C8" s="320">
        <v>2022</v>
      </c>
      <c r="D8" s="260"/>
    </row>
    <row r="9" spans="2:40" ht="12" customHeight="1" x14ac:dyDescent="0.25">
      <c r="B9" s="319"/>
      <c r="C9" s="321"/>
      <c r="D9" s="260"/>
    </row>
    <row r="10" spans="2:40" ht="12" customHeight="1" x14ac:dyDescent="0.25">
      <c r="B10" s="318" t="s">
        <v>467</v>
      </c>
      <c r="C10" s="322">
        <v>2049</v>
      </c>
      <c r="D10" s="260"/>
      <c r="E10" s="168"/>
      <c r="F10" s="168"/>
      <c r="G10" s="168"/>
      <c r="H10" s="168"/>
      <c r="I10" s="168"/>
      <c r="J10" s="168"/>
      <c r="K10" s="168"/>
      <c r="L10" s="168"/>
      <c r="M10" s="168"/>
      <c r="Q10" s="172"/>
      <c r="R10" s="58"/>
      <c r="S10" s="172"/>
      <c r="T10" s="172"/>
      <c r="U10" s="172"/>
    </row>
    <row r="11" spans="2:40" ht="12" customHeight="1" x14ac:dyDescent="0.25">
      <c r="B11" s="319"/>
      <c r="C11" s="323"/>
      <c r="D11" s="260"/>
      <c r="Q11" s="172"/>
      <c r="U11" s="172"/>
    </row>
    <row r="12" spans="2:40" x14ac:dyDescent="0.25">
      <c r="E12" s="173"/>
      <c r="F12" s="173"/>
      <c r="G12" s="173"/>
      <c r="H12" s="173"/>
      <c r="I12" s="173"/>
      <c r="J12" s="173"/>
      <c r="K12" s="173"/>
      <c r="L12" s="173"/>
      <c r="M12" s="173"/>
      <c r="Q12" s="174"/>
      <c r="R12" s="58"/>
    </row>
    <row r="13" spans="2:40" ht="14.4" customHeight="1" x14ac:dyDescent="0.25">
      <c r="E13" s="175"/>
      <c r="F13" s="175"/>
      <c r="G13" s="175"/>
      <c r="H13" s="175"/>
      <c r="I13" s="175"/>
      <c r="J13" s="175"/>
      <c r="K13" s="175"/>
      <c r="L13" s="175"/>
      <c r="M13" s="175"/>
      <c r="Q13" s="176"/>
      <c r="R13" s="58"/>
      <c r="U13" s="175"/>
      <c r="W13" s="171"/>
    </row>
    <row r="14" spans="2:40" x14ac:dyDescent="0.25">
      <c r="E14" s="177"/>
      <c r="F14" s="177"/>
      <c r="G14" s="177"/>
      <c r="H14" s="177"/>
      <c r="I14" s="178"/>
      <c r="J14" s="178"/>
      <c r="K14" s="178"/>
      <c r="L14" s="178"/>
      <c r="M14" s="178"/>
      <c r="R14" s="58"/>
      <c r="S14" s="178"/>
      <c r="T14" s="178"/>
      <c r="U14" s="175"/>
      <c r="Y14" s="58"/>
    </row>
    <row r="15" spans="2:40" x14ac:dyDescent="0.25">
      <c r="E15" s="176"/>
      <c r="F15" s="176"/>
      <c r="G15" s="176"/>
      <c r="H15" s="176"/>
      <c r="X15" s="58"/>
      <c r="Z15" s="179" t="s">
        <v>506</v>
      </c>
      <c r="AA15" s="179"/>
      <c r="AG15" s="58"/>
      <c r="AK15" s="179" t="s">
        <v>480</v>
      </c>
    </row>
    <row r="16" spans="2:40" ht="38.4" customHeight="1" x14ac:dyDescent="0.25">
      <c r="E16" s="177"/>
      <c r="F16" s="177"/>
      <c r="G16" s="177"/>
      <c r="H16" s="177"/>
      <c r="I16" s="117" t="s">
        <v>3</v>
      </c>
      <c r="J16" s="117" t="s">
        <v>117</v>
      </c>
      <c r="K16" s="197" t="s">
        <v>468</v>
      </c>
      <c r="L16" s="197" t="s">
        <v>472</v>
      </c>
      <c r="M16" s="197" t="s">
        <v>469</v>
      </c>
      <c r="N16" s="197" t="s">
        <v>470</v>
      </c>
      <c r="O16" s="197" t="s">
        <v>471</v>
      </c>
      <c r="P16" s="197" t="s">
        <v>522</v>
      </c>
      <c r="Q16" s="197" t="s">
        <v>523</v>
      </c>
      <c r="R16" s="203" t="s">
        <v>525</v>
      </c>
      <c r="S16" s="197" t="s">
        <v>541</v>
      </c>
      <c r="T16" s="197" t="s">
        <v>542</v>
      </c>
      <c r="U16" s="117" t="s">
        <v>221</v>
      </c>
      <c r="V16" s="117" t="s">
        <v>122</v>
      </c>
      <c r="W16" s="117" t="s">
        <v>123</v>
      </c>
      <c r="X16" s="117" t="s">
        <v>440</v>
      </c>
      <c r="Y16" s="117" t="s">
        <v>125</v>
      </c>
      <c r="Z16" s="117" t="s">
        <v>121</v>
      </c>
      <c r="AA16" s="117" t="s">
        <v>595</v>
      </c>
      <c r="AB16" s="117" t="s">
        <v>216</v>
      </c>
      <c r="AC16" s="117" t="s">
        <v>492</v>
      </c>
      <c r="AD16" s="117" t="s">
        <v>491</v>
      </c>
      <c r="AE16" s="117" t="s">
        <v>508</v>
      </c>
      <c r="AF16" s="117" t="s">
        <v>459</v>
      </c>
      <c r="AG16" s="117" t="s">
        <v>460</v>
      </c>
      <c r="AH16" s="117" t="s">
        <v>461</v>
      </c>
      <c r="AI16" s="117" t="s">
        <v>462</v>
      </c>
      <c r="AJ16" s="117" t="s">
        <v>507</v>
      </c>
      <c r="AK16" s="117" t="s">
        <v>521</v>
      </c>
      <c r="AL16" s="117" t="s">
        <v>435</v>
      </c>
      <c r="AM16" s="163" t="s">
        <v>436</v>
      </c>
      <c r="AN16" s="140" t="s">
        <v>524</v>
      </c>
    </row>
    <row r="17" spans="5:40" x14ac:dyDescent="0.25">
      <c r="I17">
        <v>1</v>
      </c>
      <c r="J17">
        <f>purchase_year</f>
        <v>2022</v>
      </c>
      <c r="K17" s="198">
        <f>IF(mortgage[[#This Row],[Calendar Year]]&gt;=$C$8,mortgage[[#This Row],[Calendar Year]],NA())</f>
        <v>2022</v>
      </c>
      <c r="L17" s="199">
        <f>IF((mortgage[[#This Row],[Calendar Year]]&gt;=$C$8)*(mortgage[[#This Row],[Calendar Year]]&lt;=$C$10),mortgage[[#This Row],[Calendar Year]],NA())</f>
        <v>2022</v>
      </c>
      <c r="M17" s="214">
        <f>IF((mortgage[[#This Row],[Calendar Year]]&gt;=$C$8)*(mortgage[[#This Row],[Calendar Year]]&lt;=$C$10),mortgage[[#This Row],[Loan Balance (BOY)]],NA())</f>
        <v>540000</v>
      </c>
      <c r="N17" s="214">
        <f>IF((mortgage[[#This Row],[Begin Year (Range)]]&gt;=$C$8)*(mortgage[[#This Row],[Begin Year (Range)]]&lt;=$C$10),mortgage[[#This Row],[Cumulative Interest (EOY)]],NA())</f>
        <v>30053.865914192695</v>
      </c>
      <c r="O17" s="214">
        <f>IF((mortgage[[#This Row],[Year (Range)]]&gt;=$C$8)*(mortgage[[#This Row],[Year (Range)]]&lt;=$C$10),mortgage[[#This Row],[Cumulative Principal (EOY)]],NA())</f>
        <v>7646.4520313682042</v>
      </c>
      <c r="P17" s="214">
        <f>IF((mortgage[[#This Row],[Year (Range)]]&gt;=$C$8)*(mortgage[[#This Row],[Year (Range)]]&lt;=$C$10),mortgage[[#This Row],[Cumulative Appreciation (EOY)]],NA())</f>
        <v>21000</v>
      </c>
      <c r="Q17" s="214">
        <f>IF((mortgage[[#This Row],[Year (Range)]]&gt;=$C$8)*(mortgage[[#This Row],[Year (Range)]]&lt;=$C$10),mortgage[[#This Row],[Cumulative Equity (EOY)]],NA())</f>
        <v>67646.452031368201</v>
      </c>
      <c r="R17" s="214">
        <f>IF((mortgage[[#This Row],[Year (Range)]]&gt;=$C$8)*(mortgage[[#This Row],[Year (Range)]]&lt;=$C$10),mortgage[[#This Row],[Cumulative Total Indirect Housing Expenses]],NA())</f>
        <v>16430</v>
      </c>
      <c r="S17" s="214">
        <f>IF((mortgage[[#This Row],[Year (Range)]]&gt;=$C$8)*(mortgage[[#This Row],[Year (Range)]]&lt;=$C$10),mortgage[[#This Row],[Total Annual Indirect Housing Expenses]],NA())</f>
        <v>16430</v>
      </c>
      <c r="T17" s="214">
        <f>IF((mortgage[[#This Row],[Year (Range)]]&gt;=$C$8)*(mortgage[[#This Row],[Year (Range)]]&lt;=$C$10),mortgage[[#This Row],[Est. Home Value (EOY)]],NA())</f>
        <v>600000</v>
      </c>
      <c r="U17" s="164">
        <f>IF(I17&lt;='Data Entry'!$F$9,loan_amount,0)</f>
        <v>540000</v>
      </c>
      <c r="V17" s="183">
        <f>SUMIF(monthly_mortgage_schedule[Calendar Year],mortgage[[#This Row],[Calendar Year]],monthly_mortgage_schedule[Interest With Extra Principal Payments])</f>
        <v>30053.865914192695</v>
      </c>
      <c r="W17" s="4">
        <f>SUMIF(monthly_mortgage_schedule[Calendar Year],mortgage[[#This Row],[Calendar Year]],monthly_mortgage_schedule[Principal With Extra Principal Payments])</f>
        <v>7146.4520313682042</v>
      </c>
      <c r="X17" s="4">
        <f>SUMIF(monthly_mortgage_schedule[Calendar Year],mortgage[[#This Row],[Calendar Year]],monthly_mortgage_schedule[Extra Payments Towards Equity])</f>
        <v>500</v>
      </c>
      <c r="Y17" s="4">
        <f>'Data Entry'!Q11</f>
        <v>8000</v>
      </c>
      <c r="Z17" s="4">
        <f>SUMIF(monthly_mortgage_schedule[Calendar Year],mortgage[[#This Row],[Calendar Year]],monthly_mortgage_schedule[PMI with Additional Payments])</f>
        <v>1080</v>
      </c>
      <c r="AA17" s="4">
        <f>mortgage[[#This Row],[Interest]]+mortgage[[#This Row],[Property Taxes]]</f>
        <v>38053.865914192691</v>
      </c>
      <c r="AB17" s="4">
        <f>'Data Entry'!Q12</f>
        <v>1100</v>
      </c>
      <c r="AC17" s="4">
        <f>'Data Entry'!Q9</f>
        <v>6000</v>
      </c>
      <c r="AD17" s="4">
        <f>SUMIF(nonroutine_maintenance_expenses[Year (YYYY)],mortgage[[#This Row],[Calendar Year]],nonroutine_maintenance_expenses[Amount ($)])</f>
        <v>250</v>
      </c>
      <c r="AE17" s="4">
        <f>'Data Entry'!F8</f>
        <v>600000</v>
      </c>
      <c r="AF17" s="4">
        <f>AE18-AE17</f>
        <v>21000</v>
      </c>
      <c r="AG17" s="4">
        <f>mortgage[[#This Row],[Principal]]+mortgage[[#This Row],[Extra Payment Towards Equity]]</f>
        <v>7646.4520313682042</v>
      </c>
      <c r="AH17" s="4">
        <f>V17</f>
        <v>30053.865914192695</v>
      </c>
      <c r="AI17" s="4">
        <f>down_payment_dollars+W17+mortgage[[#This Row],[Extra Payment Towards Equity]]</f>
        <v>67646.452031368201</v>
      </c>
      <c r="AJ17" s="180">
        <f>mortgage[[#This Row],[Cumulative Equity (EOY)]]/purchase_price</f>
        <v>0.11274408671894701</v>
      </c>
      <c r="AK17" s="180">
        <f>mortgage[[#This Row],[Loan Balance (BOY)]]/mortgage[[#This Row],[Est. Home Value (EOY)]]</f>
        <v>0.9</v>
      </c>
      <c r="AL17" s="4">
        <f t="shared" ref="AL17:AL48" si="0">V17+W17</f>
        <v>37200.317945560899</v>
      </c>
      <c r="AM17" s="4">
        <f>SUM(mortgage[[#This Row],[Property Taxes]],mortgage[[#This Row],[PMI]],mortgage[[#This Row],[Homeowners Insurance]],mortgage[[#This Row],[Routine Maintenance]],mortgage[[#This Row],[Non-Routine Maintenance]])</f>
        <v>16430</v>
      </c>
      <c r="AN17" s="160">
        <f>mortgage[[#This Row],[Total Annual Indirect Housing Expenses]]</f>
        <v>16430</v>
      </c>
    </row>
    <row r="18" spans="5:40" ht="15.6" customHeight="1" x14ac:dyDescent="0.25">
      <c r="E18" s="178"/>
      <c r="F18" s="178"/>
      <c r="G18" s="178"/>
      <c r="H18" s="178"/>
      <c r="I18">
        <v>2</v>
      </c>
      <c r="J18">
        <f t="shared" ref="J18:J49" si="1">purchase_year+I17</f>
        <v>2023</v>
      </c>
      <c r="K18" s="198">
        <f>IF(mortgage[[#This Row],[Calendar Year]]&gt;=$C$8,mortgage[[#This Row],[Calendar Year]],NA())</f>
        <v>2023</v>
      </c>
      <c r="L18" s="199">
        <f>IF((mortgage[[#This Row],[Calendar Year]]&gt;=$C$8)*(mortgage[[#This Row],[Calendar Year]]&lt;=$C$10),mortgage[[#This Row],[Calendar Year]],NA())</f>
        <v>2023</v>
      </c>
      <c r="M18" s="214">
        <f>IF((mortgage[[#This Row],[Calendar Year]]&gt;=$C$8)*(mortgage[[#This Row],[Calendar Year]]&lt;=$C$10),mortgage[[#This Row],[Loan Balance (BOY)]],NA())</f>
        <v>532353.54796863184</v>
      </c>
      <c r="N18" s="214">
        <f>IF((mortgage[[#This Row],[Begin Year (Range)]]&gt;=$C$8)*(mortgage[[#This Row],[Begin Year (Range)]]&lt;=$C$10),mortgage[[#This Row],[Cumulative Interest (EOY)]],NA())</f>
        <v>59663.645927703634</v>
      </c>
      <c r="O18" s="214">
        <f>IF((mortgage[[#This Row],[Year (Range)]]&gt;=$C$8)*(mortgage[[#This Row],[Year (Range)]]&lt;=$C$10),mortgage[[#This Row],[Cumulative Principal (EOY)]],NA())</f>
        <v>15736.98996341816</v>
      </c>
      <c r="P18" s="214">
        <f>IF((mortgage[[#This Row],[Year (Range)]]&gt;=$C$8)*(mortgage[[#This Row],[Year (Range)]]&lt;=$C$10),mortgage[[#This Row],[Cumulative Appreciation (EOY)]],NA())</f>
        <v>42735</v>
      </c>
      <c r="Q18" s="214">
        <f>IF((mortgage[[#This Row],[Year (Range)]]&gt;=$C$8)*(mortgage[[#This Row],[Year (Range)]]&lt;=$C$10),mortgage[[#This Row],[Cumulative Equity (EOY)]],NA())</f>
        <v>75736.989963418164</v>
      </c>
      <c r="R18" s="214">
        <f>IF((mortgage[[#This Row],[Year (Range)]]&gt;=$C$8)*(mortgage[[#This Row],[Year (Range)]]&lt;=$C$10),mortgage[[#This Row],[Cumulative Total Indirect Housing Expenses]],NA())</f>
        <v>36963</v>
      </c>
      <c r="S18" s="214">
        <f>IF((mortgage[[#This Row],[Year (Range)]]&gt;=$C$8)*(mortgage[[#This Row],[Year (Range)]]&lt;=$C$10),mortgage[[#This Row],[Total Annual Indirect Housing Expenses]],NA())</f>
        <v>20533</v>
      </c>
      <c r="T18" s="214">
        <f>IF((mortgage[[#This Row],[Year (Range)]]&gt;=$C$8)*(mortgage[[#This Row],[Year (Range)]]&lt;=$C$10),mortgage[[#This Row],[Est. Home Value (EOY)]],NA())</f>
        <v>621000</v>
      </c>
      <c r="U18" s="164">
        <f>IF(U17&lt;W17,0,IF(I18&lt;='Data Entry'!$F$9,(U17-(W17+X17)),0))</f>
        <v>532353.54796863184</v>
      </c>
      <c r="V18" s="183">
        <f>SUMIF(monthly_mortgage_schedule[Calendar Year],mortgage[[#This Row],[Calendar Year]],monthly_mortgage_schedule[Interest With Extra Principal Payments])</f>
        <v>29609.780013510939</v>
      </c>
      <c r="W18" s="4">
        <f>SUMIF(monthly_mortgage_schedule[Calendar Year],mortgage[[#This Row],[Calendar Year]],monthly_mortgage_schedule[Principal With Extra Principal Payments])</f>
        <v>7590.5379320499569</v>
      </c>
      <c r="X18" s="4">
        <f>SUMIF(monthly_mortgage_schedule[Calendar Year],mortgage[[#This Row],[Calendar Year]],monthly_mortgage_schedule[Extra Payments Towards Equity])</f>
        <v>500</v>
      </c>
      <c r="Y18" s="4">
        <f>Y17*(1+'Data Entry'!$C$8)</f>
        <v>8240</v>
      </c>
      <c r="Z18" s="4">
        <f>SUMIF(monthly_mortgage_schedule[Calendar Year],mortgage[[#This Row],[Calendar Year]],monthly_mortgage_schedule[PMI with Additional Payments])</f>
        <v>1080</v>
      </c>
      <c r="AA18" s="4">
        <f>mortgage[[#This Row],[Interest]]+mortgage[[#This Row],[Property Taxes]]</f>
        <v>37849.780013510943</v>
      </c>
      <c r="AB18" s="4">
        <f>AB17*(1+'Data Entry'!$C$10)</f>
        <v>1133</v>
      </c>
      <c r="AC18" s="4">
        <f>AC17*(1+'Data Entry'!$C$9)</f>
        <v>6180</v>
      </c>
      <c r="AD18" s="4">
        <f>SUMIF(nonroutine_maintenance_expenses[Year (YYYY)],mortgage[[#This Row],[Calendar Year]],nonroutine_maintenance_expenses[Amount ($)])</f>
        <v>3900</v>
      </c>
      <c r="AE18" s="4">
        <f>AE17*(1+'Data Entry'!C$7)</f>
        <v>621000</v>
      </c>
      <c r="AF18" s="4">
        <f t="shared" ref="AF18:AF49" si="2">IF(AE19&gt;1,AF17+(AE19-AE18),0)</f>
        <v>42735</v>
      </c>
      <c r="AG18" s="4">
        <f>mortgage[[#This Row],[Principal]]+mortgage[[#This Row],[Extra Payment Towards Equity]]+cumulative_principal_y1</f>
        <v>15736.98996341816</v>
      </c>
      <c r="AH18" s="4">
        <f t="shared" ref="AH18:AH49" si="3">V18+AH17</f>
        <v>59663.645927703634</v>
      </c>
      <c r="AI18" s="4">
        <f>AI17+mortgage[[#This Row],[Principal]]+mortgage[[#This Row],[Extra Payment Towards Equity]]</f>
        <v>75736.989963418164</v>
      </c>
      <c r="AJ18" s="180">
        <f>mortgage[[#This Row],[Cumulative Equity (EOY)]]/purchase_price</f>
        <v>0.12622831660569694</v>
      </c>
      <c r="AK18" s="180">
        <f>mortgage[[#This Row],[Loan Balance (BOY)]]/mortgage[[#This Row],[Est. Home Value (EOY)]]</f>
        <v>0.85725209012662129</v>
      </c>
      <c r="AL18" s="4">
        <f t="shared" si="0"/>
        <v>37200.317945560899</v>
      </c>
      <c r="AM18" s="4">
        <f>SUM(mortgage[[#This Row],[Property Taxes]],mortgage[[#This Row],[PMI]],mortgage[[#This Row],[Homeowners Insurance]],mortgage[[#This Row],[Routine Maintenance]],mortgage[[#This Row],[Non-Routine Maintenance]])</f>
        <v>20533</v>
      </c>
      <c r="AN18" s="160">
        <f>mortgage[[#This Row],[Total Annual Indirect Housing Expenses]]+AN17</f>
        <v>36963</v>
      </c>
    </row>
    <row r="19" spans="5:40" x14ac:dyDescent="0.25">
      <c r="E19" s="178"/>
      <c r="F19" s="178"/>
      <c r="G19" s="178"/>
      <c r="H19" s="178"/>
      <c r="I19">
        <v>3</v>
      </c>
      <c r="J19">
        <f t="shared" si="1"/>
        <v>2024</v>
      </c>
      <c r="K19" s="198">
        <f>IF(mortgage[[#This Row],[Calendar Year]]&gt;=$C$8,mortgage[[#This Row],[Calendar Year]],NA())</f>
        <v>2024</v>
      </c>
      <c r="L19" s="199">
        <f>IF((mortgage[[#This Row],[Calendar Year]]&gt;=$C$8)*(mortgage[[#This Row],[Calendar Year]]&lt;=$C$10),mortgage[[#This Row],[Calendar Year]],NA())</f>
        <v>2024</v>
      </c>
      <c r="M19" s="214">
        <f>IF((mortgage[[#This Row],[Calendar Year]]&gt;=$C$8)*(mortgage[[#This Row],[Calendar Year]]&lt;=$C$10),mortgage[[#This Row],[Loan Balance (BOY)]],NA())</f>
        <v>524263.01003658189</v>
      </c>
      <c r="N19" s="214">
        <f>IF((mortgage[[#This Row],[Begin Year (Range)]]&gt;=$C$8)*(mortgage[[#This Row],[Begin Year (Range)]]&lt;=$C$10),mortgage[[#This Row],[Cumulative Interest (EOY)]],NA())</f>
        <v>88803.778728062869</v>
      </c>
      <c r="O19" s="214">
        <f>IF((mortgage[[#This Row],[Year (Range)]]&gt;=$C$8)*(mortgage[[#This Row],[Year (Range)]]&lt;=$C$10),mortgage[[#This Row],[Cumulative Principal (EOY)]],NA())</f>
        <v>24297.175108619809</v>
      </c>
      <c r="P19" s="214">
        <f>IF((mortgage[[#This Row],[Year (Range)]]&gt;=$C$8)*(mortgage[[#This Row],[Year (Range)]]&lt;=$C$10),mortgage[[#This Row],[Cumulative Appreciation (EOY)]],NA())</f>
        <v>65230.724999999977</v>
      </c>
      <c r="Q19" s="214">
        <f>IF((mortgage[[#This Row],[Year (Range)]]&gt;=$C$8)*(mortgage[[#This Row],[Year (Range)]]&lt;=$C$10),mortgage[[#This Row],[Cumulative Equity (EOY)]],NA())</f>
        <v>84297.17510861982</v>
      </c>
      <c r="R19" s="214">
        <f>IF((mortgage[[#This Row],[Year (Range)]]&gt;=$C$8)*(mortgage[[#This Row],[Year (Range)]]&lt;=$C$10),mortgage[[#This Row],[Cumulative Total Indirect Housing Expenses]],NA())</f>
        <v>54062.59</v>
      </c>
      <c r="S19" s="214">
        <f>IF((mortgage[[#This Row],[Year (Range)]]&gt;=$C$8)*(mortgage[[#This Row],[Year (Range)]]&lt;=$C$10),mortgage[[#This Row],[Total Annual Indirect Housing Expenses]],NA())</f>
        <v>17099.59</v>
      </c>
      <c r="T19" s="214">
        <f>IF((mortgage[[#This Row],[Year (Range)]]&gt;=$C$8)*(mortgage[[#This Row],[Year (Range)]]&lt;=$C$10),mortgage[[#This Row],[Est. Home Value (EOY)]],NA())</f>
        <v>642735</v>
      </c>
      <c r="U19" s="164">
        <f>IF(U18&lt;W18,0,IF(I19&lt;='Data Entry'!$F$9,(U18-(W18+X18)),0))</f>
        <v>524263.01003658189</v>
      </c>
      <c r="V19" s="183">
        <f>SUMIF(monthly_mortgage_schedule[Calendar Year],mortgage[[#This Row],[Calendar Year]],monthly_mortgage_schedule[Interest With Extra Principal Payments])</f>
        <v>29140.132800359243</v>
      </c>
      <c r="W19" s="4">
        <f>SUMIF(monthly_mortgage_schedule[Calendar Year],mortgage[[#This Row],[Calendar Year]],monthly_mortgage_schedule[Principal With Extra Principal Payments])</f>
        <v>8060.185145201649</v>
      </c>
      <c r="X19" s="4">
        <f>SUMIF(monthly_mortgage_schedule[Calendar Year],mortgage[[#This Row],[Calendar Year]],monthly_mortgage_schedule[Extra Payments Towards Equity])</f>
        <v>500</v>
      </c>
      <c r="Y19" s="4">
        <f>Y18*(1+'Data Entry'!$C$8)</f>
        <v>8487.2000000000007</v>
      </c>
      <c r="Z19" s="4">
        <f>SUMIF(monthly_mortgage_schedule[Calendar Year],mortgage[[#This Row],[Calendar Year]],monthly_mortgage_schedule[PMI with Additional Payments])</f>
        <v>1080</v>
      </c>
      <c r="AA19" s="4">
        <f>mortgage[[#This Row],[Interest]]+mortgage[[#This Row],[Property Taxes]]</f>
        <v>37627.332800359247</v>
      </c>
      <c r="AB19" s="4">
        <f>AB18*(1+'Data Entry'!$C$10)</f>
        <v>1166.99</v>
      </c>
      <c r="AC19" s="4">
        <f>AC18*(1+'Data Entry'!$C$9)</f>
        <v>6365.4000000000005</v>
      </c>
      <c r="AD19" s="4">
        <f>SUMIF(nonroutine_maintenance_expenses[Year (YYYY)],mortgage[[#This Row],[Calendar Year]],nonroutine_maintenance_expenses[Amount ($)])</f>
        <v>0</v>
      </c>
      <c r="AE19" s="4">
        <f>AE18*(1+'Data Entry'!C$7)</f>
        <v>642735</v>
      </c>
      <c r="AF19" s="4">
        <f t="shared" si="2"/>
        <v>65230.724999999977</v>
      </c>
      <c r="AG19" s="4">
        <f>mortgage[[#This Row],[Principal]]+mortgage[[#This Row],[Extra Payment Towards Equity]]+AG18</f>
        <v>24297.175108619809</v>
      </c>
      <c r="AH19" s="4">
        <f t="shared" si="3"/>
        <v>88803.778728062869</v>
      </c>
      <c r="AI19" s="4">
        <f>AI18+mortgage[[#This Row],[Principal]]+mortgage[[#This Row],[Extra Payment Towards Equity]]</f>
        <v>84297.17510861982</v>
      </c>
      <c r="AJ19" s="180">
        <f>mortgage[[#This Row],[Cumulative Equity (EOY)]]/purchase_price</f>
        <v>0.14049529184769971</v>
      </c>
      <c r="AK19" s="180">
        <f>mortgage[[#This Row],[Loan Balance (BOY)]]/mortgage[[#This Row],[Est. Home Value (EOY)]]</f>
        <v>0.81567521612574689</v>
      </c>
      <c r="AL19" s="4">
        <f t="shared" si="0"/>
        <v>37200.317945560892</v>
      </c>
      <c r="AM19" s="4">
        <f>SUM(mortgage[[#This Row],[Property Taxes]],mortgage[[#This Row],[PMI]],mortgage[[#This Row],[Homeowners Insurance]],mortgage[[#This Row],[Routine Maintenance]],mortgage[[#This Row],[Non-Routine Maintenance]])</f>
        <v>17099.59</v>
      </c>
      <c r="AN19" s="160">
        <f>mortgage[[#This Row],[Total Annual Indirect Housing Expenses]]+AN18</f>
        <v>54062.59</v>
      </c>
    </row>
    <row r="20" spans="5:40" x14ac:dyDescent="0.25">
      <c r="I20">
        <v>4</v>
      </c>
      <c r="J20">
        <f t="shared" si="1"/>
        <v>2025</v>
      </c>
      <c r="K20" s="198">
        <f>IF(mortgage[[#This Row],[Calendar Year]]&gt;=$C$8,mortgage[[#This Row],[Calendar Year]],NA())</f>
        <v>2025</v>
      </c>
      <c r="L20" s="199">
        <f>IF((mortgage[[#This Row],[Calendar Year]]&gt;=$C$8)*(mortgage[[#This Row],[Calendar Year]]&lt;=$C$10),mortgage[[#This Row],[Calendar Year]],NA())</f>
        <v>2025</v>
      </c>
      <c r="M20" s="214">
        <f>IF((mortgage[[#This Row],[Calendar Year]]&gt;=$C$8)*(mortgage[[#This Row],[Calendar Year]]&lt;=$C$10),mortgage[[#This Row],[Loan Balance (BOY)]],NA())</f>
        <v>515702.82489138027</v>
      </c>
      <c r="N20" s="214">
        <f>IF((mortgage[[#This Row],[Begin Year (Range)]]&gt;=$C$8)*(mortgage[[#This Row],[Begin Year (Range)]]&lt;=$C$10),mortgage[[#This Row],[Cumulative Interest (EOY)]],NA())</f>
        <v>117428.25942056937</v>
      </c>
      <c r="O20" s="214">
        <f>IF((mortgage[[#This Row],[Year (Range)]]&gt;=$C$8)*(mortgage[[#This Row],[Year (Range)]]&lt;=$C$10),mortgage[[#This Row],[Cumulative Principal (EOY)]],NA())</f>
        <v>33873.012361674191</v>
      </c>
      <c r="P20" s="214">
        <f>IF((mortgage[[#This Row],[Year (Range)]]&gt;=$C$8)*(mortgage[[#This Row],[Year (Range)]]&lt;=$C$10),mortgage[[#This Row],[Cumulative Appreciation (EOY)]],NA())</f>
        <v>88513.800374999875</v>
      </c>
      <c r="Q20" s="214">
        <f>IF((mortgage[[#This Row],[Year (Range)]]&gt;=$C$8)*(mortgage[[#This Row],[Year (Range)]]&lt;=$C$10),mortgage[[#This Row],[Cumulative Equity (EOY)]],NA())</f>
        <v>93873.012361674206</v>
      </c>
      <c r="R20" s="214">
        <f>IF((mortgage[[#This Row],[Year (Range)]]&gt;=$C$8)*(mortgage[[#This Row],[Year (Range)]]&lt;=$C$10),mortgage[[#This Row],[Cumulative Total Indirect Housing Expenses]],NA())</f>
        <v>71642.767699999997</v>
      </c>
      <c r="S20" s="214">
        <f>IF((mortgage[[#This Row],[Year (Range)]]&gt;=$C$8)*(mortgage[[#This Row],[Year (Range)]]&lt;=$C$10),mortgage[[#This Row],[Total Annual Indirect Housing Expenses]],NA())</f>
        <v>17580.1777</v>
      </c>
      <c r="T20" s="214">
        <f>IF((mortgage[[#This Row],[Year (Range)]]&gt;=$C$8)*(mortgage[[#This Row],[Year (Range)]]&lt;=$C$10),mortgage[[#This Row],[Est. Home Value (EOY)]],NA())</f>
        <v>665230.72499999998</v>
      </c>
      <c r="U20" s="164">
        <f>IF(U19&lt;W19,0,IF(I20&lt;='Data Entry'!$F$9,(U19-(W19+X19)),0))</f>
        <v>515702.82489138027</v>
      </c>
      <c r="V20" s="183">
        <f>SUMIF(monthly_mortgage_schedule[Calendar Year],mortgage[[#This Row],[Calendar Year]],monthly_mortgage_schedule[Interest With Extra Principal Payments])</f>
        <v>28624.480692506513</v>
      </c>
      <c r="W20" s="4">
        <f>SUMIF(monthly_mortgage_schedule[Calendar Year],mortgage[[#This Row],[Calendar Year]],monthly_mortgage_schedule[Principal With Extra Principal Payments])</f>
        <v>8575.8372530543857</v>
      </c>
      <c r="X20" s="4">
        <f>SUMIF(monthly_mortgage_schedule[Calendar Year],mortgage[[#This Row],[Calendar Year]],monthly_mortgage_schedule[Extra Payments Towards Equity])</f>
        <v>1000</v>
      </c>
      <c r="Y20" s="4">
        <f>Y19*(1+'Data Entry'!$C$8)</f>
        <v>8741.8160000000007</v>
      </c>
      <c r="Z20" s="4">
        <f>SUMIF(monthly_mortgage_schedule[Calendar Year],mortgage[[#This Row],[Calendar Year]],monthly_mortgage_schedule[PMI with Additional Payments])</f>
        <v>1080</v>
      </c>
      <c r="AA20" s="4">
        <f>mortgage[[#This Row],[Interest]]+mortgage[[#This Row],[Property Taxes]]</f>
        <v>37366.296692506512</v>
      </c>
      <c r="AB20" s="4">
        <f>AB19*(1+'Data Entry'!$C$10)</f>
        <v>1201.9997000000001</v>
      </c>
      <c r="AC20" s="4">
        <f>AC19*(1+'Data Entry'!$C$9)</f>
        <v>6556.362000000001</v>
      </c>
      <c r="AD20" s="4">
        <f>SUMIF(nonroutine_maintenance_expenses[Year (YYYY)],mortgage[[#This Row],[Calendar Year]],nonroutine_maintenance_expenses[Amount ($)])</f>
        <v>0</v>
      </c>
      <c r="AE20" s="4">
        <f>AE19*(1+'Data Entry'!C$7)</f>
        <v>665230.72499999998</v>
      </c>
      <c r="AF20" s="4">
        <f t="shared" si="2"/>
        <v>88513.800374999875</v>
      </c>
      <c r="AG20" s="4">
        <f>mortgage[[#This Row],[Principal]]+mortgage[[#This Row],[Extra Payment Towards Equity]]+AG19</f>
        <v>33873.012361674191</v>
      </c>
      <c r="AH20" s="4">
        <f t="shared" si="3"/>
        <v>117428.25942056937</v>
      </c>
      <c r="AI20" s="4">
        <f>AI19+mortgage[[#This Row],[Principal]]+mortgage[[#This Row],[Extra Payment Towards Equity]]</f>
        <v>93873.012361674206</v>
      </c>
      <c r="AJ20" s="180">
        <f>mortgage[[#This Row],[Cumulative Equity (EOY)]]/purchase_price</f>
        <v>0.15645502060279035</v>
      </c>
      <c r="AK20" s="180">
        <f>mortgage[[#This Row],[Loan Balance (BOY)]]/mortgage[[#This Row],[Est. Home Value (EOY)]]</f>
        <v>0.77522400200528963</v>
      </c>
      <c r="AL20" s="4">
        <f t="shared" si="0"/>
        <v>37200.317945560899</v>
      </c>
      <c r="AM20" s="4">
        <f>SUM(mortgage[[#This Row],[Property Taxes]],mortgage[[#This Row],[PMI]],mortgage[[#This Row],[Homeowners Insurance]],mortgage[[#This Row],[Routine Maintenance]],mortgage[[#This Row],[Non-Routine Maintenance]])</f>
        <v>17580.1777</v>
      </c>
      <c r="AN20" s="160">
        <f>mortgage[[#This Row],[Total Annual Indirect Housing Expenses]]+AN19</f>
        <v>71642.767699999997</v>
      </c>
    </row>
    <row r="21" spans="5:40" x14ac:dyDescent="0.25">
      <c r="I21">
        <v>5</v>
      </c>
      <c r="J21">
        <f t="shared" si="1"/>
        <v>2026</v>
      </c>
      <c r="K21" s="198">
        <f>IF(mortgage[[#This Row],[Calendar Year]]&gt;=$C$8,mortgage[[#This Row],[Calendar Year]],NA())</f>
        <v>2026</v>
      </c>
      <c r="L21" s="199">
        <f>IF((mortgage[[#This Row],[Calendar Year]]&gt;=$C$8)*(mortgage[[#This Row],[Calendar Year]]&lt;=$C$10),mortgage[[#This Row],[Calendar Year]],NA())</f>
        <v>2026</v>
      </c>
      <c r="M21" s="214">
        <f>IF((mortgage[[#This Row],[Calendar Year]]&gt;=$C$8)*(mortgage[[#This Row],[Calendar Year]]&lt;=$C$10),mortgage[[#This Row],[Loan Balance (BOY)]],NA())</f>
        <v>506126.9876383259</v>
      </c>
      <c r="N21" s="214">
        <f>IF((mortgage[[#This Row],[Begin Year (Range)]]&gt;=$C$8)*(mortgage[[#This Row],[Begin Year (Range)]]&lt;=$C$10),mortgage[[#This Row],[Cumulative Interest (EOY)]],NA())</f>
        <v>145516.6325448525</v>
      </c>
      <c r="O21" s="214">
        <f>IF((mortgage[[#This Row],[Year (Range)]]&gt;=$C$8)*(mortgage[[#This Row],[Year (Range)]]&lt;=$C$10),mortgage[[#This Row],[Cumulative Principal (EOY)]],NA())</f>
        <v>48484.95718295197</v>
      </c>
      <c r="P21" s="214">
        <f>IF((mortgage[[#This Row],[Year (Range)]]&gt;=$C$8)*(mortgage[[#This Row],[Year (Range)]]&lt;=$C$10),mortgage[[#This Row],[Cumulative Appreciation (EOY)]],NA())</f>
        <v>112611.78338812478</v>
      </c>
      <c r="Q21" s="214">
        <f>IF((mortgage[[#This Row],[Year (Range)]]&gt;=$C$8)*(mortgage[[#This Row],[Year (Range)]]&lt;=$C$10),mortgage[[#This Row],[Cumulative Equity (EOY)]],NA())</f>
        <v>108484.95718295198</v>
      </c>
      <c r="R21" s="214">
        <f>IF((mortgage[[#This Row],[Year (Range)]]&gt;=$C$8)*(mortgage[[#This Row],[Year (Range)]]&lt;=$C$10),mortgage[[#This Row],[Cumulative Total Indirect Housing Expenses]],NA())</f>
        <v>89717.95073099999</v>
      </c>
      <c r="S21" s="214">
        <f>IF((mortgage[[#This Row],[Year (Range)]]&gt;=$C$8)*(mortgage[[#This Row],[Year (Range)]]&lt;=$C$10),mortgage[[#This Row],[Total Annual Indirect Housing Expenses]],NA())</f>
        <v>18075.183031</v>
      </c>
      <c r="T21" s="214">
        <f>IF((mortgage[[#This Row],[Year (Range)]]&gt;=$C$8)*(mortgage[[#This Row],[Year (Range)]]&lt;=$C$10),mortgage[[#This Row],[Est. Home Value (EOY)]],NA())</f>
        <v>688513.80037499988</v>
      </c>
      <c r="U21" s="164">
        <f>IF(U20&lt;W20,0,IF(I21&lt;='Data Entry'!$F$9,(U20-(W20+X20)),0))</f>
        <v>506126.9876383259</v>
      </c>
      <c r="V21" s="183">
        <f>SUMIF(monthly_mortgage_schedule[Calendar Year],mortgage[[#This Row],[Calendar Year]],monthly_mortgage_schedule[Interest With Extra Principal Payments])</f>
        <v>28088.37312428312</v>
      </c>
      <c r="W21" s="4">
        <f>SUMIF(monthly_mortgage_schedule[Calendar Year],mortgage[[#This Row],[Calendar Year]],monthly_mortgage_schedule[Principal With Extra Principal Payments])</f>
        <v>9111.9448212777752</v>
      </c>
      <c r="X21" s="4">
        <f>SUMIF(monthly_mortgage_schedule[Calendar Year],mortgage[[#This Row],[Calendar Year]],monthly_mortgage_schedule[Extra Payments Towards Equity])</f>
        <v>5500</v>
      </c>
      <c r="Y21" s="4">
        <f>Y20*(1+'Data Entry'!$C$8)</f>
        <v>9004.0704800000003</v>
      </c>
      <c r="Z21" s="4">
        <f>SUMIF(monthly_mortgage_schedule[Calendar Year],mortgage[[#This Row],[Calendar Year]],monthly_mortgage_schedule[PMI with Additional Payments])</f>
        <v>1080</v>
      </c>
      <c r="AA21" s="4">
        <f>mortgage[[#This Row],[Interest]]+mortgage[[#This Row],[Property Taxes]]</f>
        <v>37092.443604283122</v>
      </c>
      <c r="AB21" s="4">
        <f>AB20*(1+'Data Entry'!$C$10)</f>
        <v>1238.0596910000002</v>
      </c>
      <c r="AC21" s="4">
        <f>AC20*(1+'Data Entry'!$C$9)</f>
        <v>6753.0528600000016</v>
      </c>
      <c r="AD21" s="4">
        <f>SUMIF(nonroutine_maintenance_expenses[Year (YYYY)],mortgage[[#This Row],[Calendar Year]],nonroutine_maintenance_expenses[Amount ($)])</f>
        <v>0</v>
      </c>
      <c r="AE21" s="4">
        <f>AE20*(1+'Data Entry'!C$7)</f>
        <v>688513.80037499988</v>
      </c>
      <c r="AF21" s="4">
        <f t="shared" si="2"/>
        <v>112611.78338812478</v>
      </c>
      <c r="AG21" s="4">
        <f>mortgage[[#This Row],[Principal]]+mortgage[[#This Row],[Extra Payment Towards Equity]]+AG20</f>
        <v>48484.95718295197</v>
      </c>
      <c r="AH21" s="4">
        <f t="shared" si="3"/>
        <v>145516.6325448525</v>
      </c>
      <c r="AI21" s="4">
        <f>AI20+mortgage[[#This Row],[Principal]]+mortgage[[#This Row],[Extra Payment Towards Equity]]</f>
        <v>108484.95718295198</v>
      </c>
      <c r="AJ21" s="180">
        <f>mortgage[[#This Row],[Cumulative Equity (EOY)]]/purchase_price</f>
        <v>0.18080826197158664</v>
      </c>
      <c r="AK21" s="180">
        <f>mortgage[[#This Row],[Loan Balance (BOY)]]/mortgage[[#This Row],[Est. Home Value (EOY)]]</f>
        <v>0.73510071600985083</v>
      </c>
      <c r="AL21" s="4">
        <f t="shared" si="0"/>
        <v>37200.317945560892</v>
      </c>
      <c r="AM21" s="4">
        <f>SUM(mortgage[[#This Row],[Property Taxes]],mortgage[[#This Row],[PMI]],mortgage[[#This Row],[Homeowners Insurance]],mortgage[[#This Row],[Routine Maintenance]],mortgage[[#This Row],[Non-Routine Maintenance]])</f>
        <v>18075.183031</v>
      </c>
      <c r="AN21" s="160">
        <f>mortgage[[#This Row],[Total Annual Indirect Housing Expenses]]+AN20</f>
        <v>89717.95073099999</v>
      </c>
    </row>
    <row r="22" spans="5:40" x14ac:dyDescent="0.25">
      <c r="I22">
        <v>6</v>
      </c>
      <c r="J22">
        <f t="shared" si="1"/>
        <v>2027</v>
      </c>
      <c r="K22" s="198">
        <f>IF(mortgage[[#This Row],[Calendar Year]]&gt;=$C$8,mortgage[[#This Row],[Calendar Year]],NA())</f>
        <v>2027</v>
      </c>
      <c r="L22" s="199">
        <f>IF((mortgage[[#This Row],[Calendar Year]]&gt;=$C$8)*(mortgage[[#This Row],[Calendar Year]]&lt;=$C$10),mortgage[[#This Row],[Calendar Year]],NA())</f>
        <v>2027</v>
      </c>
      <c r="M22" s="214">
        <f>IF((mortgage[[#This Row],[Calendar Year]]&gt;=$C$8)*(mortgage[[#This Row],[Calendar Year]]&lt;=$C$10),mortgage[[#This Row],[Loan Balance (BOY)]],NA())</f>
        <v>491515.04281704815</v>
      </c>
      <c r="N22" s="214">
        <f>IF((mortgage[[#This Row],[Begin Year (Range)]]&gt;=$C$8)*(mortgage[[#This Row],[Begin Year (Range)]]&lt;=$C$10),mortgage[[#This Row],[Cumulative Interest (EOY)]],NA())</f>
        <v>172784.55629186425</v>
      </c>
      <c r="O22" s="214">
        <f>IF((mortgage[[#This Row],[Year (Range)]]&gt;=$C$8)*(mortgage[[#This Row],[Year (Range)]]&lt;=$C$10),mortgage[[#This Row],[Cumulative Principal (EOY)]],NA())</f>
        <v>58917.35138150111</v>
      </c>
      <c r="P22" s="214">
        <f>IF((mortgage[[#This Row],[Year (Range)]]&gt;=$C$8)*(mortgage[[#This Row],[Year (Range)]]&lt;=$C$10),mortgage[[#This Row],[Cumulative Appreciation (EOY)]],NA())</f>
        <v>137553.19580670912</v>
      </c>
      <c r="Q22" s="214">
        <f>IF((mortgage[[#This Row],[Year (Range)]]&gt;=$C$8)*(mortgage[[#This Row],[Year (Range)]]&lt;=$C$10),mortgage[[#This Row],[Cumulative Equity (EOY)]],NA())</f>
        <v>118917.35138150112</v>
      </c>
      <c r="R22" s="214">
        <f>IF((mortgage[[#This Row],[Year (Range)]]&gt;=$C$8)*(mortgage[[#This Row],[Year (Range)]]&lt;=$C$10),mortgage[[#This Row],[Cumulative Total Indirect Housing Expenses]],NA())</f>
        <v>108302.98925293</v>
      </c>
      <c r="S22" s="214">
        <f>IF((mortgage[[#This Row],[Year (Range)]]&gt;=$C$8)*(mortgage[[#This Row],[Year (Range)]]&lt;=$C$10),mortgage[[#This Row],[Total Annual Indirect Housing Expenses]],NA())</f>
        <v>18585.038521930004</v>
      </c>
      <c r="T22" s="214">
        <f>IF((mortgage[[#This Row],[Year (Range)]]&gt;=$C$8)*(mortgage[[#This Row],[Year (Range)]]&lt;=$C$10),mortgage[[#This Row],[Est. Home Value (EOY)]],NA())</f>
        <v>712611.78338812478</v>
      </c>
      <c r="U22" s="164">
        <f>IF(U21&lt;W21,0,IF(I22&lt;='Data Entry'!$F$9,(U21-(W21+X21)),0))</f>
        <v>491515.04281704815</v>
      </c>
      <c r="V22" s="183">
        <f>SUMIF(monthly_mortgage_schedule[Calendar Year],mortgage[[#This Row],[Calendar Year]],monthly_mortgage_schedule[Interest With Extra Principal Payments])</f>
        <v>27267.923747011759</v>
      </c>
      <c r="W22" s="4">
        <f>SUMIF(monthly_mortgage_schedule[Calendar Year],mortgage[[#This Row],[Calendar Year]],monthly_mortgage_schedule[Principal With Extra Principal Payments])</f>
        <v>9932.3941985491383</v>
      </c>
      <c r="X22" s="4">
        <f>SUMIF(monthly_mortgage_schedule[Calendar Year],mortgage[[#This Row],[Calendar Year]],monthly_mortgage_schedule[Extra Payments Towards Equity])</f>
        <v>500</v>
      </c>
      <c r="Y22" s="4">
        <f>Y21*(1+'Data Entry'!$C$8)</f>
        <v>9274.1925944000013</v>
      </c>
      <c r="Z22" s="4">
        <f>SUMIF(monthly_mortgage_schedule[Calendar Year],mortgage[[#This Row],[Calendar Year]],monthly_mortgage_schedule[PMI with Additional Payments])</f>
        <v>1080</v>
      </c>
      <c r="AA22" s="4">
        <f>mortgage[[#This Row],[Interest]]+mortgage[[#This Row],[Property Taxes]]</f>
        <v>36542.116341411762</v>
      </c>
      <c r="AB22" s="4">
        <f>AB21*(1+'Data Entry'!$C$10)</f>
        <v>1275.2014817300003</v>
      </c>
      <c r="AC22" s="4">
        <f>AC21*(1+'Data Entry'!$C$9)</f>
        <v>6955.6444458000014</v>
      </c>
      <c r="AD22" s="4">
        <f>SUMIF(nonroutine_maintenance_expenses[Year (YYYY)],mortgage[[#This Row],[Calendar Year]],nonroutine_maintenance_expenses[Amount ($)])</f>
        <v>0</v>
      </c>
      <c r="AE22" s="4">
        <f>AE21*(1+'Data Entry'!C$7)</f>
        <v>712611.78338812478</v>
      </c>
      <c r="AF22" s="4">
        <f t="shared" si="2"/>
        <v>137553.19580670912</v>
      </c>
      <c r="AG22" s="4">
        <f>mortgage[[#This Row],[Principal]]+mortgage[[#This Row],[Extra Payment Towards Equity]]+AG21</f>
        <v>58917.35138150111</v>
      </c>
      <c r="AH22" s="4">
        <f t="shared" si="3"/>
        <v>172784.55629186425</v>
      </c>
      <c r="AI22" s="4">
        <f>AI21+mortgage[[#This Row],[Principal]]+mortgage[[#This Row],[Extra Payment Towards Equity]]</f>
        <v>118917.35138150112</v>
      </c>
      <c r="AJ22" s="180">
        <f>mortgage[[#This Row],[Cumulative Equity (EOY)]]/purchase_price</f>
        <v>0.1981955856358352</v>
      </c>
      <c r="AK22" s="180">
        <f>mortgage[[#This Row],[Loan Balance (BOY)]]/mortgage[[#This Row],[Est. Home Value (EOY)]]</f>
        <v>0.68973746193212182</v>
      </c>
      <c r="AL22" s="4">
        <f t="shared" si="0"/>
        <v>37200.317945560899</v>
      </c>
      <c r="AM22" s="4">
        <f>SUM(mortgage[[#This Row],[Property Taxes]],mortgage[[#This Row],[PMI]],mortgage[[#This Row],[Homeowners Insurance]],mortgage[[#This Row],[Routine Maintenance]],mortgage[[#This Row],[Non-Routine Maintenance]])</f>
        <v>18585.038521930004</v>
      </c>
      <c r="AN22" s="160">
        <f>mortgage[[#This Row],[Total Annual Indirect Housing Expenses]]+AN21</f>
        <v>108302.98925293</v>
      </c>
    </row>
    <row r="23" spans="5:40" x14ac:dyDescent="0.25">
      <c r="I23">
        <v>7</v>
      </c>
      <c r="J23">
        <f t="shared" si="1"/>
        <v>2028</v>
      </c>
      <c r="K23" s="198">
        <f>IF(mortgage[[#This Row],[Calendar Year]]&gt;=$C$8,mortgage[[#This Row],[Calendar Year]],NA())</f>
        <v>2028</v>
      </c>
      <c r="L23" s="199">
        <f>IF((mortgage[[#This Row],[Calendar Year]]&gt;=$C$8)*(mortgage[[#This Row],[Calendar Year]]&lt;=$C$10),mortgage[[#This Row],[Calendar Year]],NA())</f>
        <v>2028</v>
      </c>
      <c r="M23" s="214">
        <f>IF((mortgage[[#This Row],[Calendar Year]]&gt;=$C$8)*(mortgage[[#This Row],[Calendar Year]]&lt;=$C$10),mortgage[[#This Row],[Loan Balance (BOY)]],NA())</f>
        <v>481082.64861849899</v>
      </c>
      <c r="N23" s="214">
        <f>IF((mortgage[[#This Row],[Begin Year (Range)]]&gt;=$C$8)*(mortgage[[#This Row],[Begin Year (Range)]]&lt;=$C$10),mortgage[[#This Row],[Cumulative Interest (EOY)]],NA())</f>
        <v>199448.31410080061</v>
      </c>
      <c r="O23" s="214">
        <f>IF((mortgage[[#This Row],[Year (Range)]]&gt;=$C$8)*(mortgage[[#This Row],[Year (Range)]]&lt;=$C$10),mortgage[[#This Row],[Cumulative Principal (EOY)]],NA())</f>
        <v>69953.911518125649</v>
      </c>
      <c r="P23" s="214">
        <f>IF((mortgage[[#This Row],[Year (Range)]]&gt;=$C$8)*(mortgage[[#This Row],[Year (Range)]]&lt;=$C$10),mortgage[[#This Row],[Cumulative Appreciation (EOY)]],NA())</f>
        <v>163367.55765994382</v>
      </c>
      <c r="Q23" s="214">
        <f>IF((mortgage[[#This Row],[Year (Range)]]&gt;=$C$8)*(mortgage[[#This Row],[Year (Range)]]&lt;=$C$10),mortgage[[#This Row],[Cumulative Equity (EOY)]],NA())</f>
        <v>129953.91151812566</v>
      </c>
      <c r="R23" s="214">
        <f>IF((mortgage[[#This Row],[Year (Range)]]&gt;=$C$8)*(mortgage[[#This Row],[Year (Range)]]&lt;=$C$10),mortgage[[#This Row],[Cumulative Total Indirect Housing Expenses]],NA())</f>
        <v>126423.1789305179</v>
      </c>
      <c r="S23" s="214">
        <f>IF((mortgage[[#This Row],[Year (Range)]]&gt;=$C$8)*(mortgage[[#This Row],[Year (Range)]]&lt;=$C$10),mortgage[[#This Row],[Total Annual Indirect Housing Expenses]],NA())</f>
        <v>18120.189677587903</v>
      </c>
      <c r="T23" s="214">
        <f>IF((mortgage[[#This Row],[Year (Range)]]&gt;=$C$8)*(mortgage[[#This Row],[Year (Range)]]&lt;=$C$10),mortgage[[#This Row],[Est. Home Value (EOY)]],NA())</f>
        <v>737553.19580670912</v>
      </c>
      <c r="U23" s="164">
        <f>IF(U22&lt;W22,0,IF(I23&lt;='Data Entry'!$F$9,(U22-(W22+X22)),0))</f>
        <v>481082.64861849899</v>
      </c>
      <c r="V23" s="183">
        <f>SUMIF(monthly_mortgage_schedule[Calendar Year],mortgage[[#This Row],[Calendar Year]],monthly_mortgage_schedule[Interest With Extra Principal Payments])</f>
        <v>26663.757808936356</v>
      </c>
      <c r="W23" s="4">
        <f>SUMIF(monthly_mortgage_schedule[Calendar Year],mortgage[[#This Row],[Calendar Year]],monthly_mortgage_schedule[Principal With Extra Principal Payments])</f>
        <v>10536.560136624543</v>
      </c>
      <c r="X23" s="4">
        <f>SUMIF(monthly_mortgage_schedule[Calendar Year],mortgage[[#This Row],[Calendar Year]],monthly_mortgage_schedule[Extra Payments Towards Equity])</f>
        <v>500</v>
      </c>
      <c r="Y23" s="4">
        <f>Y22*(1+'Data Entry'!$C$8)</f>
        <v>9552.4183722320013</v>
      </c>
      <c r="Z23" s="4">
        <f>SUMIF(monthly_mortgage_schedule[Calendar Year],mortgage[[#This Row],[Calendar Year]],monthly_mortgage_schedule[PMI with Additional Payments])</f>
        <v>90</v>
      </c>
      <c r="AA23" s="4">
        <f>mortgage[[#This Row],[Interest]]+mortgage[[#This Row],[Property Taxes]]</f>
        <v>36216.176181168354</v>
      </c>
      <c r="AB23" s="4">
        <f>AB22*(1+'Data Entry'!$C$10)</f>
        <v>1313.4575261819004</v>
      </c>
      <c r="AC23" s="4">
        <f>AC22*(1+'Data Entry'!$C$9)</f>
        <v>7164.3137791740019</v>
      </c>
      <c r="AD23" s="4">
        <f>SUMIF(nonroutine_maintenance_expenses[Year (YYYY)],mortgage[[#This Row],[Calendar Year]],nonroutine_maintenance_expenses[Amount ($)])</f>
        <v>0</v>
      </c>
      <c r="AE23" s="4">
        <f>AE22*(1+'Data Entry'!C$7)</f>
        <v>737553.19580670912</v>
      </c>
      <c r="AF23" s="4">
        <f t="shared" si="2"/>
        <v>163367.55765994382</v>
      </c>
      <c r="AG23" s="4">
        <f>mortgage[[#This Row],[Principal]]+mortgage[[#This Row],[Extra Payment Towards Equity]]+AG22</f>
        <v>69953.911518125649</v>
      </c>
      <c r="AH23" s="4">
        <f t="shared" si="3"/>
        <v>199448.31410080061</v>
      </c>
      <c r="AI23" s="4">
        <f>AI22+mortgage[[#This Row],[Principal]]+mortgage[[#This Row],[Extra Payment Towards Equity]]</f>
        <v>129953.91151812566</v>
      </c>
      <c r="AJ23" s="180">
        <f>mortgage[[#This Row],[Cumulative Equity (EOY)]]/purchase_price</f>
        <v>0.21658985253020943</v>
      </c>
      <c r="AK23" s="180">
        <f>mortgage[[#This Row],[Loan Balance (BOY)]]/mortgage[[#This Row],[Est. Home Value (EOY)]]</f>
        <v>0.65226840769404859</v>
      </c>
      <c r="AL23" s="4">
        <f t="shared" si="0"/>
        <v>37200.317945560899</v>
      </c>
      <c r="AM23" s="4">
        <f>SUM(mortgage[[#This Row],[Property Taxes]],mortgage[[#This Row],[PMI]],mortgage[[#This Row],[Homeowners Insurance]],mortgage[[#This Row],[Routine Maintenance]],mortgage[[#This Row],[Non-Routine Maintenance]])</f>
        <v>18120.189677587903</v>
      </c>
      <c r="AN23" s="160">
        <f>mortgage[[#This Row],[Total Annual Indirect Housing Expenses]]+AN22</f>
        <v>126423.1789305179</v>
      </c>
    </row>
    <row r="24" spans="5:40" x14ac:dyDescent="0.25">
      <c r="I24">
        <v>8</v>
      </c>
      <c r="J24">
        <f t="shared" si="1"/>
        <v>2029</v>
      </c>
      <c r="K24" s="198">
        <f>IF(mortgage[[#This Row],[Calendar Year]]&gt;=$C$8,mortgage[[#This Row],[Calendar Year]],NA())</f>
        <v>2029</v>
      </c>
      <c r="L24" s="199">
        <f>IF((mortgage[[#This Row],[Calendar Year]]&gt;=$C$8)*(mortgage[[#This Row],[Calendar Year]]&lt;=$C$10),mortgage[[#This Row],[Calendar Year]],NA())</f>
        <v>2029</v>
      </c>
      <c r="M24" s="214">
        <f>IF((mortgage[[#This Row],[Calendar Year]]&gt;=$C$8)*(mortgage[[#This Row],[Calendar Year]]&lt;=$C$10),mortgage[[#This Row],[Loan Balance (BOY)]],NA())</f>
        <v>470046.08848187444</v>
      </c>
      <c r="N24" s="214">
        <f>IF((mortgage[[#This Row],[Begin Year (Range)]]&gt;=$C$8)*(mortgage[[#This Row],[Begin Year (Range)]]&lt;=$C$10),mortgage[[#This Row],[Cumulative Interest (EOY)]],NA())</f>
        <v>225373.99599935493</v>
      </c>
      <c r="O24" s="214">
        <f>IF((mortgage[[#This Row],[Year (Range)]]&gt;=$C$8)*(mortgage[[#This Row],[Year (Range)]]&lt;=$C$10),mortgage[[#This Row],[Cumulative Principal (EOY)]],NA())</f>
        <v>85228.547565132234</v>
      </c>
      <c r="P24" s="214">
        <f>IF((mortgage[[#This Row],[Year (Range)]]&gt;=$C$8)*(mortgage[[#This Row],[Year (Range)]]&lt;=$C$10),mortgage[[#This Row],[Cumulative Appreciation (EOY)]],NA())</f>
        <v>190085.42217804177</v>
      </c>
      <c r="Q24" s="214">
        <f>IF((mortgage[[#This Row],[Year (Range)]]&gt;=$C$8)*(mortgage[[#This Row],[Year (Range)]]&lt;=$C$10),mortgage[[#This Row],[Cumulative Equity (EOY)]],NA())</f>
        <v>145228.54756513226</v>
      </c>
      <c r="R24" s="214">
        <f>IF((mortgage[[#This Row],[Year (Range)]]&gt;=$C$8)*(mortgage[[#This Row],[Year (Range)]]&lt;=$C$10),mortgage[[#This Row],[Cumulative Total Indirect Housing Expenses]],NA())</f>
        <v>156994.27429843345</v>
      </c>
      <c r="S24" s="214">
        <f>IF((mortgage[[#This Row],[Year (Range)]]&gt;=$C$8)*(mortgage[[#This Row],[Year (Range)]]&lt;=$C$10),mortgage[[#This Row],[Total Annual Indirect Housing Expenses]],NA())</f>
        <v>30571.095367915543</v>
      </c>
      <c r="T24" s="214">
        <f>IF((mortgage[[#This Row],[Year (Range)]]&gt;=$C$8)*(mortgage[[#This Row],[Year (Range)]]&lt;=$C$10),mortgage[[#This Row],[Est. Home Value (EOY)]],NA())</f>
        <v>763367.55765994382</v>
      </c>
      <c r="U24" s="164">
        <f>IF(U23&lt;W23,0,IF(I24&lt;='Data Entry'!$F$9,(U23-(W23+X23)),0))</f>
        <v>470046.08848187444</v>
      </c>
      <c r="V24" s="183">
        <f>SUMIF(monthly_mortgage_schedule[Calendar Year],mortgage[[#This Row],[Calendar Year]],monthly_mortgage_schedule[Interest With Extra Principal Payments])</f>
        <v>25925.68189855431</v>
      </c>
      <c r="W24" s="4">
        <f>SUMIF(monthly_mortgage_schedule[Calendar Year],mortgage[[#This Row],[Calendar Year]],monthly_mortgage_schedule[Principal With Extra Principal Payments])</f>
        <v>11274.636047006585</v>
      </c>
      <c r="X24" s="4">
        <f>SUMIF(monthly_mortgage_schedule[Calendar Year],mortgage[[#This Row],[Calendar Year]],monthly_mortgage_schedule[Extra Payments Towards Equity])</f>
        <v>4000</v>
      </c>
      <c r="Y24" s="4">
        <f>Y23*(1+'Data Entry'!$C$8)</f>
        <v>9838.990923398962</v>
      </c>
      <c r="Z24" s="4">
        <f>SUMIF(monthly_mortgage_schedule[Calendar Year],mortgage[[#This Row],[Calendar Year]],monthly_mortgage_schedule[PMI with Additional Payments])</f>
        <v>0</v>
      </c>
      <c r="AA24" s="4">
        <f>mortgage[[#This Row],[Interest]]+mortgage[[#This Row],[Property Taxes]]</f>
        <v>35764.672821953274</v>
      </c>
      <c r="AB24" s="4">
        <f>AB23*(1+'Data Entry'!$C$10)</f>
        <v>1352.8612519673575</v>
      </c>
      <c r="AC24" s="4">
        <f>AC23*(1+'Data Entry'!$C$9)</f>
        <v>7379.2431925492219</v>
      </c>
      <c r="AD24" s="4">
        <f>SUMIF(nonroutine_maintenance_expenses[Year (YYYY)],mortgage[[#This Row],[Calendar Year]],nonroutine_maintenance_expenses[Amount ($)])</f>
        <v>12000</v>
      </c>
      <c r="AE24" s="4">
        <f>AE23*(1+'Data Entry'!C$7)</f>
        <v>763367.55765994382</v>
      </c>
      <c r="AF24" s="4">
        <f t="shared" si="2"/>
        <v>190085.42217804177</v>
      </c>
      <c r="AG24" s="4">
        <f>mortgage[[#This Row],[Principal]]+mortgage[[#This Row],[Extra Payment Towards Equity]]+AG23</f>
        <v>85228.547565132234</v>
      </c>
      <c r="AH24" s="4">
        <f t="shared" si="3"/>
        <v>225373.99599935493</v>
      </c>
      <c r="AI24" s="4">
        <f>AI23+mortgage[[#This Row],[Principal]]+mortgage[[#This Row],[Extra Payment Towards Equity]]</f>
        <v>145228.54756513226</v>
      </c>
      <c r="AJ24" s="180">
        <f>mortgage[[#This Row],[Cumulative Equity (EOY)]]/purchase_price</f>
        <v>0.24204757927522044</v>
      </c>
      <c r="AK24" s="180">
        <f>mortgage[[#This Row],[Loan Balance (BOY)]]/mortgage[[#This Row],[Est. Home Value (EOY)]]</f>
        <v>0.61575329441923332</v>
      </c>
      <c r="AL24" s="4">
        <f t="shared" si="0"/>
        <v>37200.317945560892</v>
      </c>
      <c r="AM24" s="4">
        <f>SUM(mortgage[[#This Row],[Property Taxes]],mortgage[[#This Row],[PMI]],mortgage[[#This Row],[Homeowners Insurance]],mortgage[[#This Row],[Routine Maintenance]],mortgage[[#This Row],[Non-Routine Maintenance]])</f>
        <v>30571.095367915543</v>
      </c>
      <c r="AN24" s="160">
        <f>mortgage[[#This Row],[Total Annual Indirect Housing Expenses]]+AN23</f>
        <v>156994.27429843345</v>
      </c>
    </row>
    <row r="25" spans="5:40" x14ac:dyDescent="0.25">
      <c r="I25">
        <v>9</v>
      </c>
      <c r="J25">
        <f t="shared" si="1"/>
        <v>2030</v>
      </c>
      <c r="K25" s="198">
        <f>IF(mortgage[[#This Row],[Calendar Year]]&gt;=$C$8,mortgage[[#This Row],[Calendar Year]],NA())</f>
        <v>2030</v>
      </c>
      <c r="L25" s="199">
        <f>IF((mortgage[[#This Row],[Calendar Year]]&gt;=$C$8)*(mortgage[[#This Row],[Calendar Year]]&lt;=$C$10),mortgage[[#This Row],[Calendar Year]],NA())</f>
        <v>2030</v>
      </c>
      <c r="M25" s="214">
        <f>IF((mortgage[[#This Row],[Calendar Year]]&gt;=$C$8)*(mortgage[[#This Row],[Calendar Year]]&lt;=$C$10),mortgage[[#This Row],[Loan Balance (BOY)]],NA())</f>
        <v>454771.45243486785</v>
      </c>
      <c r="N25" s="214">
        <f>IF((mortgage[[#This Row],[Begin Year (Range)]]&gt;=$C$8)*(mortgage[[#This Row],[Begin Year (Range)]]&lt;=$C$10),mortgage[[#This Row],[Cumulative Interest (EOY)]],NA())</f>
        <v>250421.46672310185</v>
      </c>
      <c r="O25" s="214">
        <f>IF((mortgage[[#This Row],[Year (Range)]]&gt;=$C$8)*(mortgage[[#This Row],[Year (Range)]]&lt;=$C$10),mortgage[[#This Row],[Cumulative Principal (EOY)]],NA())</f>
        <v>100381.39478694618</v>
      </c>
      <c r="P25" s="214">
        <f>IF((mortgage[[#This Row],[Year (Range)]]&gt;=$C$8)*(mortgage[[#This Row],[Year (Range)]]&lt;=$C$10),mortgage[[#This Row],[Cumulative Appreciation (EOY)]],NA())</f>
        <v>217738.41195427312</v>
      </c>
      <c r="Q25" s="214">
        <f>IF((mortgage[[#This Row],[Year (Range)]]&gt;=$C$8)*(mortgage[[#This Row],[Year (Range)]]&lt;=$C$10),mortgage[[#This Row],[Cumulative Equity (EOY)]],NA())</f>
        <v>160381.39478694621</v>
      </c>
      <c r="R25" s="214">
        <f>IF((mortgage[[#This Row],[Year (Range)]]&gt;=$C$8)*(mortgage[[#This Row],[Year (Range)]]&lt;=$C$10),mortgage[[#This Row],[Cumulative Total Indirect Housing Expenses]],NA())</f>
        <v>179122.50252738644</v>
      </c>
      <c r="S25" s="214">
        <f>IF((mortgage[[#This Row],[Year (Range)]]&gt;=$C$8)*(mortgage[[#This Row],[Year (Range)]]&lt;=$C$10),mortgage[[#This Row],[Total Annual Indirect Housing Expenses]],NA())</f>
        <v>22128.228228953009</v>
      </c>
      <c r="T25" s="214">
        <f>IF((mortgage[[#This Row],[Year (Range)]]&gt;=$C$8)*(mortgage[[#This Row],[Year (Range)]]&lt;=$C$10),mortgage[[#This Row],[Est. Home Value (EOY)]],NA())</f>
        <v>790085.42217804177</v>
      </c>
      <c r="U25" s="164">
        <f>IF(U24&lt;W24,0,IF(I25&lt;='Data Entry'!$F$9,(U24-(W24+X24)),0))</f>
        <v>454771.45243486785</v>
      </c>
      <c r="V25" s="183">
        <f>SUMIF(monthly_mortgage_schedule[Calendar Year],mortgage[[#This Row],[Calendar Year]],monthly_mortgage_schedule[Interest With Extra Principal Payments])</f>
        <v>25047.470723746941</v>
      </c>
      <c r="W25" s="4">
        <f>SUMIF(monthly_mortgage_schedule[Calendar Year],mortgage[[#This Row],[Calendar Year]],monthly_mortgage_schedule[Principal With Extra Principal Payments])</f>
        <v>12152.847221813954</v>
      </c>
      <c r="X25" s="4">
        <f>SUMIF(monthly_mortgage_schedule[Calendar Year],mortgage[[#This Row],[Calendar Year]],monthly_mortgage_schedule[Extra Payments Towards Equity])</f>
        <v>3000</v>
      </c>
      <c r="Y25" s="4">
        <f>Y24*(1+'Data Entry'!$C$8)</f>
        <v>10134.16065110093</v>
      </c>
      <c r="Z25" s="4">
        <f>SUMIF(monthly_mortgage_schedule[Calendar Year],mortgage[[#This Row],[Calendar Year]],monthly_mortgage_schedule[PMI with Additional Payments])</f>
        <v>0</v>
      </c>
      <c r="AA25" s="4">
        <f>mortgage[[#This Row],[Interest]]+mortgage[[#This Row],[Property Taxes]]</f>
        <v>35181.631374847871</v>
      </c>
      <c r="AB25" s="4">
        <f>AB24*(1+'Data Entry'!$C$10)</f>
        <v>1393.4470895263782</v>
      </c>
      <c r="AC25" s="4">
        <f>AC24*(1+'Data Entry'!$C$9)</f>
        <v>7600.6204883256987</v>
      </c>
      <c r="AD25" s="4">
        <f>SUMIF(nonroutine_maintenance_expenses[Year (YYYY)],mortgage[[#This Row],[Calendar Year]],nonroutine_maintenance_expenses[Amount ($)])</f>
        <v>3000</v>
      </c>
      <c r="AE25" s="4">
        <f>AE24*(1+'Data Entry'!C$7)</f>
        <v>790085.42217804177</v>
      </c>
      <c r="AF25" s="4">
        <f t="shared" si="2"/>
        <v>217738.41195427312</v>
      </c>
      <c r="AG25" s="4">
        <f>mortgage[[#This Row],[Principal]]+mortgage[[#This Row],[Extra Payment Towards Equity]]+AG24</f>
        <v>100381.39478694618</v>
      </c>
      <c r="AH25" s="4">
        <f t="shared" si="3"/>
        <v>250421.46672310185</v>
      </c>
      <c r="AI25" s="4">
        <f>AI24+mortgage[[#This Row],[Principal]]+mortgage[[#This Row],[Extra Payment Towards Equity]]</f>
        <v>160381.39478694621</v>
      </c>
      <c r="AJ25" s="180">
        <f>mortgage[[#This Row],[Cumulative Equity (EOY)]]/purchase_price</f>
        <v>0.26730232464491038</v>
      </c>
      <c r="AK25" s="180">
        <f>mortgage[[#This Row],[Loan Balance (BOY)]]/mortgage[[#This Row],[Est. Home Value (EOY)]]</f>
        <v>0.57559782736047926</v>
      </c>
      <c r="AL25" s="4">
        <f t="shared" si="0"/>
        <v>37200.317945560892</v>
      </c>
      <c r="AM25" s="4">
        <f>SUM(mortgage[[#This Row],[Property Taxes]],mortgage[[#This Row],[PMI]],mortgage[[#This Row],[Homeowners Insurance]],mortgage[[#This Row],[Routine Maintenance]],mortgage[[#This Row],[Non-Routine Maintenance]])</f>
        <v>22128.228228953009</v>
      </c>
      <c r="AN25" s="160">
        <f>mortgage[[#This Row],[Total Annual Indirect Housing Expenses]]+AN24</f>
        <v>179122.50252738644</v>
      </c>
    </row>
    <row r="26" spans="5:40" x14ac:dyDescent="0.25">
      <c r="I26">
        <v>10</v>
      </c>
      <c r="J26">
        <f t="shared" si="1"/>
        <v>2031</v>
      </c>
      <c r="K26" s="198">
        <f>IF(mortgage[[#This Row],[Calendar Year]]&gt;=$C$8,mortgage[[#This Row],[Calendar Year]],NA())</f>
        <v>2031</v>
      </c>
      <c r="L26" s="199">
        <f>IF((mortgage[[#This Row],[Calendar Year]]&gt;=$C$8)*(mortgage[[#This Row],[Calendar Year]]&lt;=$C$10),mortgage[[#This Row],[Calendar Year]],NA())</f>
        <v>2031</v>
      </c>
      <c r="M26" s="214">
        <f>IF((mortgage[[#This Row],[Calendar Year]]&gt;=$C$8)*(mortgage[[#This Row],[Calendar Year]]&lt;=$C$10),mortgage[[#This Row],[Loan Balance (BOY)]],NA())</f>
        <v>439618.60521305387</v>
      </c>
      <c r="N26" s="214">
        <f>IF((mortgage[[#This Row],[Begin Year (Range)]]&gt;=$C$8)*(mortgage[[#This Row],[Begin Year (Range)]]&lt;=$C$10),mortgage[[#This Row],[Cumulative Interest (EOY)]],NA())</f>
        <v>274688.27295663994</v>
      </c>
      <c r="O26" s="214">
        <f>IF((mortgage[[#This Row],[Year (Range)]]&gt;=$C$8)*(mortgage[[#This Row],[Year (Range)]]&lt;=$C$10),mortgage[[#This Row],[Cumulative Principal (EOY)]],NA())</f>
        <v>117814.90649896901</v>
      </c>
      <c r="P26" s="214">
        <f>IF((mortgage[[#This Row],[Year (Range)]]&gt;=$C$8)*(mortgage[[#This Row],[Year (Range)]]&lt;=$C$10),mortgage[[#This Row],[Cumulative Appreciation (EOY)]],NA())</f>
        <v>246359.25637267262</v>
      </c>
      <c r="Q26" s="214">
        <f>IF((mortgage[[#This Row],[Year (Range)]]&gt;=$C$8)*(mortgage[[#This Row],[Year (Range)]]&lt;=$C$10),mortgage[[#This Row],[Cumulative Equity (EOY)]],NA())</f>
        <v>177814.90649896904</v>
      </c>
      <c r="R26" s="214">
        <f>IF((mortgage[[#This Row],[Year (Range)]]&gt;=$C$8)*(mortgage[[#This Row],[Year (Range)]]&lt;=$C$10),mortgage[[#This Row],[Cumulative Total Indirect Housing Expenses]],NA())</f>
        <v>228824.57760320805</v>
      </c>
      <c r="S26" s="214">
        <f>IF((mortgage[[#This Row],[Year (Range)]]&gt;=$C$8)*(mortgage[[#This Row],[Year (Range)]]&lt;=$C$10),mortgage[[#This Row],[Total Annual Indirect Housing Expenses]],NA())</f>
        <v>49702.075075821602</v>
      </c>
      <c r="T26" s="214">
        <f>IF((mortgage[[#This Row],[Year (Range)]]&gt;=$C$8)*(mortgage[[#This Row],[Year (Range)]]&lt;=$C$10),mortgage[[#This Row],[Est. Home Value (EOY)]],NA())</f>
        <v>817738.41195427312</v>
      </c>
      <c r="U26" s="164">
        <f>IF(U25&lt;W25,0,IF(I26&lt;='Data Entry'!$F$9,(U25-(W25+X25)),0))</f>
        <v>439618.60521305387</v>
      </c>
      <c r="V26" s="183">
        <f>SUMIF(monthly_mortgage_schedule[Calendar Year],mortgage[[#This Row],[Calendar Year]],monthly_mortgage_schedule[Interest With Extra Principal Payments])</f>
        <v>24266.806233538086</v>
      </c>
      <c r="W26" s="4">
        <f>SUMIF(monthly_mortgage_schedule[Calendar Year],mortgage[[#This Row],[Calendar Year]],monthly_mortgage_schedule[Principal With Extra Principal Payments])</f>
        <v>12933.511712022815</v>
      </c>
      <c r="X26" s="4">
        <f>SUMIF(monthly_mortgage_schedule[Calendar Year],mortgage[[#This Row],[Calendar Year]],monthly_mortgage_schedule[Extra Payments Towards Equity])</f>
        <v>4500</v>
      </c>
      <c r="Y26" s="4">
        <f>Y25*(1+'Data Entry'!$C$8)</f>
        <v>10438.185470633958</v>
      </c>
      <c r="Z26" s="4">
        <f>SUMIF(monthly_mortgage_schedule[Calendar Year],mortgage[[#This Row],[Calendar Year]],monthly_mortgage_schedule[PMI with Additional Payments])</f>
        <v>0</v>
      </c>
      <c r="AA26" s="4">
        <f>mortgage[[#This Row],[Interest]]+mortgage[[#This Row],[Property Taxes]]</f>
        <v>34704.991704172047</v>
      </c>
      <c r="AB26" s="4">
        <f>AB25*(1+'Data Entry'!$C$10)</f>
        <v>1435.2505022121695</v>
      </c>
      <c r="AC26" s="4">
        <f>AC25*(1+'Data Entry'!$C$9)</f>
        <v>7828.6391029754695</v>
      </c>
      <c r="AD26" s="4">
        <f>SUMIF(nonroutine_maintenance_expenses[Year (YYYY)],mortgage[[#This Row],[Calendar Year]],nonroutine_maintenance_expenses[Amount ($)])</f>
        <v>30000</v>
      </c>
      <c r="AE26" s="4">
        <f>AE25*(1+'Data Entry'!C$7)</f>
        <v>817738.41195427312</v>
      </c>
      <c r="AF26" s="4">
        <f t="shared" si="2"/>
        <v>246359.25637267262</v>
      </c>
      <c r="AG26" s="4">
        <f>mortgage[[#This Row],[Principal]]+mortgage[[#This Row],[Extra Payment Towards Equity]]+AG25</f>
        <v>117814.90649896901</v>
      </c>
      <c r="AH26" s="4">
        <f t="shared" si="3"/>
        <v>274688.27295663994</v>
      </c>
      <c r="AI26" s="4">
        <f>AI25+mortgage[[#This Row],[Principal]]+mortgage[[#This Row],[Extra Payment Towards Equity]]</f>
        <v>177814.90649896904</v>
      </c>
      <c r="AJ26" s="180">
        <f>mortgage[[#This Row],[Cumulative Equity (EOY)]]/purchase_price</f>
        <v>0.29635817749828175</v>
      </c>
      <c r="AK26" s="180">
        <f>mortgage[[#This Row],[Loan Balance (BOY)]]/mortgage[[#This Row],[Est. Home Value (EOY)]]</f>
        <v>0.53760297765936027</v>
      </c>
      <c r="AL26" s="4">
        <f t="shared" si="0"/>
        <v>37200.317945560899</v>
      </c>
      <c r="AM26" s="4">
        <f>SUM(mortgage[[#This Row],[Property Taxes]],mortgage[[#This Row],[PMI]],mortgage[[#This Row],[Homeowners Insurance]],mortgage[[#This Row],[Routine Maintenance]],mortgage[[#This Row],[Non-Routine Maintenance]])</f>
        <v>49702.075075821602</v>
      </c>
      <c r="AN26" s="160">
        <f>mortgage[[#This Row],[Total Annual Indirect Housing Expenses]]+AN25</f>
        <v>228824.57760320805</v>
      </c>
    </row>
    <row r="27" spans="5:40" x14ac:dyDescent="0.25">
      <c r="I27">
        <v>11</v>
      </c>
      <c r="J27">
        <f t="shared" si="1"/>
        <v>2032</v>
      </c>
      <c r="K27" s="198">
        <f>IF(mortgage[[#This Row],[Calendar Year]]&gt;=$C$8,mortgage[[#This Row],[Calendar Year]],NA())</f>
        <v>2032</v>
      </c>
      <c r="L27" s="199">
        <f>IF((mortgage[[#This Row],[Calendar Year]]&gt;=$C$8)*(mortgage[[#This Row],[Calendar Year]]&lt;=$C$10),mortgage[[#This Row],[Calendar Year]],NA())</f>
        <v>2032</v>
      </c>
      <c r="M27" s="214">
        <f>IF((mortgage[[#This Row],[Calendar Year]]&gt;=$C$8)*(mortgage[[#This Row],[Calendar Year]]&lt;=$C$10),mortgage[[#This Row],[Loan Balance (BOY)]],NA())</f>
        <v>422185.09350103105</v>
      </c>
      <c r="N27" s="214">
        <f>IF((mortgage[[#This Row],[Begin Year (Range)]]&gt;=$C$8)*(mortgage[[#This Row],[Begin Year (Range)]]&lt;=$C$10),mortgage[[#This Row],[Cumulative Interest (EOY)]],NA())</f>
        <v>297972.50278144848</v>
      </c>
      <c r="O27" s="214">
        <f>IF((mortgage[[#This Row],[Year (Range)]]&gt;=$C$8)*(mortgage[[#This Row],[Year (Range)]]&lt;=$C$10),mortgage[[#This Row],[Cumulative Principal (EOY)]],NA())</f>
        <v>132230.99461972134</v>
      </c>
      <c r="P27" s="214">
        <f>IF((mortgage[[#This Row],[Year (Range)]]&gt;=$C$8)*(mortgage[[#This Row],[Year (Range)]]&lt;=$C$10),mortgage[[#This Row],[Cumulative Appreciation (EOY)]],NA())</f>
        <v>275981.83034571609</v>
      </c>
      <c r="Q27" s="214">
        <f>IF((mortgage[[#This Row],[Year (Range)]]&gt;=$C$8)*(mortgage[[#This Row],[Year (Range)]]&lt;=$C$10),mortgage[[#This Row],[Cumulative Equity (EOY)]],NA())</f>
        <v>192230.99461972137</v>
      </c>
      <c r="R27" s="214">
        <f>IF((mortgage[[#This Row],[Year (Range)]]&gt;=$C$8)*(mortgage[[#This Row],[Year (Range)]]&lt;=$C$10),mortgage[[#This Row],[Cumulative Total Indirect Housing Expenses]],NA())</f>
        <v>249117.71493130428</v>
      </c>
      <c r="S27" s="214">
        <f>IF((mortgage[[#This Row],[Year (Range)]]&gt;=$C$8)*(mortgage[[#This Row],[Year (Range)]]&lt;=$C$10),mortgage[[#This Row],[Total Annual Indirect Housing Expenses]],NA())</f>
        <v>20293.137328096243</v>
      </c>
      <c r="T27" s="214">
        <f>IF((mortgage[[#This Row],[Year (Range)]]&gt;=$C$8)*(mortgage[[#This Row],[Year (Range)]]&lt;=$C$10),mortgage[[#This Row],[Est. Home Value (EOY)]],NA())</f>
        <v>846359.25637267262</v>
      </c>
      <c r="U27" s="164">
        <f>IF(U26&lt;W26,0,IF(I27&lt;='Data Entry'!$F$9,(U26-(W26+X26)),0))</f>
        <v>422185.09350103105</v>
      </c>
      <c r="V27" s="183">
        <f>SUMIF(monthly_mortgage_schedule[Calendar Year],mortgage[[#This Row],[Calendar Year]],monthly_mortgage_schedule[Interest With Extra Principal Payments])</f>
        <v>23284.229824808554</v>
      </c>
      <c r="W27" s="4">
        <f>SUMIF(monthly_mortgage_schedule[Calendar Year],mortgage[[#This Row],[Calendar Year]],monthly_mortgage_schedule[Principal With Extra Principal Payments])</f>
        <v>13916.08812075234</v>
      </c>
      <c r="X27" s="4">
        <f>SUMIF(monthly_mortgage_schedule[Calendar Year],mortgage[[#This Row],[Calendar Year]],monthly_mortgage_schedule[Extra Payments Towards Equity])</f>
        <v>500</v>
      </c>
      <c r="Y27" s="4">
        <f>Y26*(1+'Data Entry'!$C$8)</f>
        <v>10751.331034752977</v>
      </c>
      <c r="Z27" s="4">
        <f>SUMIF(monthly_mortgage_schedule[Calendar Year],mortgage[[#This Row],[Calendar Year]],monthly_mortgage_schedule[PMI with Additional Payments])</f>
        <v>0</v>
      </c>
      <c r="AA27" s="4">
        <f>mortgage[[#This Row],[Interest]]+mortgage[[#This Row],[Property Taxes]]</f>
        <v>34035.560859561534</v>
      </c>
      <c r="AB27" s="4">
        <f>AB26*(1+'Data Entry'!$C$10)</f>
        <v>1478.3080172785346</v>
      </c>
      <c r="AC27" s="4">
        <f>AC26*(1+'Data Entry'!$C$9)</f>
        <v>8063.4982760647335</v>
      </c>
      <c r="AD27" s="4">
        <f>SUMIF(nonroutine_maintenance_expenses[Year (YYYY)],mortgage[[#This Row],[Calendar Year]],nonroutine_maintenance_expenses[Amount ($)])</f>
        <v>0</v>
      </c>
      <c r="AE27" s="4">
        <f>AE26*(1+'Data Entry'!C$7)</f>
        <v>846359.25637267262</v>
      </c>
      <c r="AF27" s="4">
        <f t="shared" si="2"/>
        <v>275981.83034571609</v>
      </c>
      <c r="AG27" s="4">
        <f>mortgage[[#This Row],[Principal]]+mortgage[[#This Row],[Extra Payment Towards Equity]]+AG26</f>
        <v>132230.99461972134</v>
      </c>
      <c r="AH27" s="4">
        <f t="shared" si="3"/>
        <v>297972.50278144848</v>
      </c>
      <c r="AI27" s="4">
        <f>AI26+mortgage[[#This Row],[Principal]]+mortgage[[#This Row],[Extra Payment Towards Equity]]</f>
        <v>192230.99461972137</v>
      </c>
      <c r="AJ27" s="180">
        <f>mortgage[[#This Row],[Cumulative Equity (EOY)]]/purchase_price</f>
        <v>0.32038499103286894</v>
      </c>
      <c r="AK27" s="180">
        <f>mortgage[[#This Row],[Loan Balance (BOY)]]/mortgage[[#This Row],[Est. Home Value (EOY)]]</f>
        <v>0.4988249260845003</v>
      </c>
      <c r="AL27" s="4">
        <f t="shared" si="0"/>
        <v>37200.317945560892</v>
      </c>
      <c r="AM27" s="4">
        <f>SUM(mortgage[[#This Row],[Property Taxes]],mortgage[[#This Row],[PMI]],mortgage[[#This Row],[Homeowners Insurance]],mortgage[[#This Row],[Routine Maintenance]],mortgage[[#This Row],[Non-Routine Maintenance]])</f>
        <v>20293.137328096243</v>
      </c>
      <c r="AN27" s="160">
        <f>mortgage[[#This Row],[Total Annual Indirect Housing Expenses]]+AN26</f>
        <v>249117.71493130428</v>
      </c>
    </row>
    <row r="28" spans="5:40" x14ac:dyDescent="0.25">
      <c r="I28">
        <v>12</v>
      </c>
      <c r="J28">
        <f t="shared" si="1"/>
        <v>2033</v>
      </c>
      <c r="K28" s="198">
        <f>IF(mortgage[[#This Row],[Calendar Year]]&gt;=$C$8,mortgage[[#This Row],[Calendar Year]],NA())</f>
        <v>2033</v>
      </c>
      <c r="L28" s="199">
        <f>IF((mortgage[[#This Row],[Calendar Year]]&gt;=$C$8)*(mortgage[[#This Row],[Calendar Year]]&lt;=$C$10),mortgage[[#This Row],[Calendar Year]],NA())</f>
        <v>2033</v>
      </c>
      <c r="M28" s="214">
        <f>IF((mortgage[[#This Row],[Calendar Year]]&gt;=$C$8)*(mortgage[[#This Row],[Calendar Year]]&lt;=$C$10),mortgage[[#This Row],[Loan Balance (BOY)]],NA())</f>
        <v>407769.00538027869</v>
      </c>
      <c r="N28" s="214">
        <f>IF((mortgage[[#This Row],[Begin Year (Range)]]&gt;=$C$8)*(mortgage[[#This Row],[Begin Year (Range)]]&lt;=$C$10),mortgage[[#This Row],[Cumulative Interest (EOY)]],NA())</f>
        <v>320292.07971844595</v>
      </c>
      <c r="O28" s="214">
        <f>IF((mortgage[[#This Row],[Year (Range)]]&gt;=$C$8)*(mortgage[[#This Row],[Year (Range)]]&lt;=$C$10),mortgage[[#This Row],[Cumulative Principal (EOY)]],NA())</f>
        <v>154611.73562828475</v>
      </c>
      <c r="P28" s="214">
        <f>IF((mortgage[[#This Row],[Year (Range)]]&gt;=$C$8)*(mortgage[[#This Row],[Year (Range)]]&lt;=$C$10),mortgage[[#This Row],[Cumulative Appreciation (EOY)]],NA())</f>
        <v>306641.19440781604</v>
      </c>
      <c r="Q28" s="214">
        <f>IF((mortgage[[#This Row],[Year (Range)]]&gt;=$C$8)*(mortgage[[#This Row],[Year (Range)]]&lt;=$C$10),mortgage[[#This Row],[Cumulative Equity (EOY)]],NA())</f>
        <v>214611.73562828478</v>
      </c>
      <c r="R28" s="214">
        <f>IF((mortgage[[#This Row],[Year (Range)]]&gt;=$C$8)*(mortgage[[#This Row],[Year (Range)]]&lt;=$C$10),mortgage[[#This Row],[Cumulative Total Indirect Housing Expenses]],NA())</f>
        <v>270019.64637924341</v>
      </c>
      <c r="S28" s="214">
        <f>IF((mortgage[[#This Row],[Year (Range)]]&gt;=$C$8)*(mortgage[[#This Row],[Year (Range)]]&lt;=$C$10),mortgage[[#This Row],[Total Annual Indirect Housing Expenses]],NA())</f>
        <v>20901.931447939132</v>
      </c>
      <c r="T28" s="214">
        <f>IF((mortgage[[#This Row],[Year (Range)]]&gt;=$C$8)*(mortgage[[#This Row],[Year (Range)]]&lt;=$C$10),mortgage[[#This Row],[Est. Home Value (EOY)]],NA())</f>
        <v>875981.83034571609</v>
      </c>
      <c r="U28" s="164">
        <f>IF(U27&lt;W27,0,IF(I28&lt;='Data Entry'!$F$9,(U27-(W27+X27)),0))</f>
        <v>407769.00538027869</v>
      </c>
      <c r="V28" s="183">
        <f>SUMIF(monthly_mortgage_schedule[Calendar Year],mortgage[[#This Row],[Calendar Year]],monthly_mortgage_schedule[Interest With Extra Principal Payments])</f>
        <v>22319.576936997488</v>
      </c>
      <c r="W28" s="4">
        <f>SUMIF(monthly_mortgage_schedule[Calendar Year],mortgage[[#This Row],[Calendar Year]],monthly_mortgage_schedule[Principal With Extra Principal Payments])</f>
        <v>14880.741008563411</v>
      </c>
      <c r="X28" s="4">
        <f>SUMIF(monthly_mortgage_schedule[Calendar Year],mortgage[[#This Row],[Calendar Year]],monthly_mortgage_schedule[Extra Payments Towards Equity])</f>
        <v>7500</v>
      </c>
      <c r="Y28" s="4">
        <f>Y27*(1+'Data Entry'!$C$8)</f>
        <v>11073.870965795566</v>
      </c>
      <c r="Z28" s="4">
        <f>SUMIF(monthly_mortgage_schedule[Calendar Year],mortgage[[#This Row],[Calendar Year]],monthly_mortgage_schedule[PMI with Additional Payments])</f>
        <v>0</v>
      </c>
      <c r="AA28" s="4">
        <f>mortgage[[#This Row],[Interest]]+mortgage[[#This Row],[Property Taxes]]</f>
        <v>33393.44790279305</v>
      </c>
      <c r="AB28" s="4">
        <f>AB27*(1+'Data Entry'!$C$10)</f>
        <v>1522.6572577968907</v>
      </c>
      <c r="AC28" s="4">
        <f>AC27*(1+'Data Entry'!$C$9)</f>
        <v>8305.4032243466754</v>
      </c>
      <c r="AD28" s="4">
        <f>SUMIF(nonroutine_maintenance_expenses[Year (YYYY)],mortgage[[#This Row],[Calendar Year]],nonroutine_maintenance_expenses[Amount ($)])</f>
        <v>0</v>
      </c>
      <c r="AE28" s="4">
        <f>AE27*(1+'Data Entry'!C$7)</f>
        <v>875981.83034571609</v>
      </c>
      <c r="AF28" s="4">
        <f t="shared" si="2"/>
        <v>306641.19440781604</v>
      </c>
      <c r="AG28" s="4">
        <f>mortgage[[#This Row],[Principal]]+mortgage[[#This Row],[Extra Payment Towards Equity]]+AG27</f>
        <v>154611.73562828475</v>
      </c>
      <c r="AH28" s="4">
        <f t="shared" si="3"/>
        <v>320292.07971844595</v>
      </c>
      <c r="AI28" s="4">
        <f>AI27+mortgage[[#This Row],[Principal]]+mortgage[[#This Row],[Extra Payment Towards Equity]]</f>
        <v>214611.73562828478</v>
      </c>
      <c r="AJ28" s="180">
        <f>mortgage[[#This Row],[Cumulative Equity (EOY)]]/purchase_price</f>
        <v>0.35768622604714129</v>
      </c>
      <c r="AK28" s="180">
        <f>mortgage[[#This Row],[Loan Balance (BOY)]]/mortgage[[#This Row],[Est. Home Value (EOY)]]</f>
        <v>0.46549938737810126</v>
      </c>
      <c r="AL28" s="4">
        <f t="shared" si="0"/>
        <v>37200.317945560899</v>
      </c>
      <c r="AM28" s="4">
        <f>SUM(mortgage[[#This Row],[Property Taxes]],mortgage[[#This Row],[PMI]],mortgage[[#This Row],[Homeowners Insurance]],mortgage[[#This Row],[Routine Maintenance]],mortgage[[#This Row],[Non-Routine Maintenance]])</f>
        <v>20901.931447939132</v>
      </c>
      <c r="AN28" s="160">
        <f>mortgage[[#This Row],[Total Annual Indirect Housing Expenses]]+AN27</f>
        <v>270019.64637924341</v>
      </c>
    </row>
    <row r="29" spans="5:40" x14ac:dyDescent="0.25">
      <c r="I29">
        <v>13</v>
      </c>
      <c r="J29">
        <f t="shared" si="1"/>
        <v>2034</v>
      </c>
      <c r="K29" s="198">
        <f>IF(mortgage[[#This Row],[Calendar Year]]&gt;=$C$8,mortgage[[#This Row],[Calendar Year]],NA())</f>
        <v>2034</v>
      </c>
      <c r="L29" s="199">
        <f>IF((mortgage[[#This Row],[Calendar Year]]&gt;=$C$8)*(mortgage[[#This Row],[Calendar Year]]&lt;=$C$10),mortgage[[#This Row],[Calendar Year]],NA())</f>
        <v>2034</v>
      </c>
      <c r="M29" s="214">
        <f>IF((mortgage[[#This Row],[Calendar Year]]&gt;=$C$8)*(mortgage[[#This Row],[Calendar Year]]&lt;=$C$10),mortgage[[#This Row],[Loan Balance (BOY)]],NA())</f>
        <v>385388.26437171525</v>
      </c>
      <c r="N29" s="214">
        <f>IF((mortgage[[#This Row],[Begin Year (Range)]]&gt;=$C$8)*(mortgage[[#This Row],[Begin Year (Range)]]&lt;=$C$10),mortgage[[#This Row],[Cumulative Interest (EOY)]],NA())</f>
        <v>341432.6494848092</v>
      </c>
      <c r="O29" s="214">
        <f>IF((mortgage[[#This Row],[Year (Range)]]&gt;=$C$8)*(mortgage[[#This Row],[Year (Range)]]&lt;=$C$10),mortgage[[#This Row],[Cumulative Principal (EOY)]],NA())</f>
        <v>171871.48380748241</v>
      </c>
      <c r="P29" s="214">
        <f>IF((mortgage[[#This Row],[Year (Range)]]&gt;=$C$8)*(mortgage[[#This Row],[Year (Range)]]&lt;=$C$10),mortgage[[#This Row],[Cumulative Appreciation (EOY)]],NA())</f>
        <v>338373.63621208956</v>
      </c>
      <c r="Q29" s="214">
        <f>IF((mortgage[[#This Row],[Year (Range)]]&gt;=$C$8)*(mortgage[[#This Row],[Year (Range)]]&lt;=$C$10),mortgage[[#This Row],[Cumulative Equity (EOY)]],NA())</f>
        <v>231871.48380748244</v>
      </c>
      <c r="R29" s="214">
        <f>IF((mortgage[[#This Row],[Year (Range)]]&gt;=$C$8)*(mortgage[[#This Row],[Year (Range)]]&lt;=$C$10),mortgage[[#This Row],[Cumulative Total Indirect Housing Expenses]],NA())</f>
        <v>291548.63577062072</v>
      </c>
      <c r="S29" s="214">
        <f>IF((mortgage[[#This Row],[Year (Range)]]&gt;=$C$8)*(mortgage[[#This Row],[Year (Range)]]&lt;=$C$10),mortgage[[#This Row],[Total Annual Indirect Housing Expenses]],NA())</f>
        <v>21528.989391377305</v>
      </c>
      <c r="T29" s="214">
        <f>IF((mortgage[[#This Row],[Year (Range)]]&gt;=$C$8)*(mortgage[[#This Row],[Year (Range)]]&lt;=$C$10),mortgage[[#This Row],[Est. Home Value (EOY)]],NA())</f>
        <v>906641.19440781604</v>
      </c>
      <c r="U29" s="164">
        <f>IF(U28&lt;W28,0,IF(I29&lt;='Data Entry'!$F$9,(U28-(W28+X28)),0))</f>
        <v>385388.26437171525</v>
      </c>
      <c r="V29" s="183">
        <f>SUMIF(monthly_mortgage_schedule[Calendar Year],mortgage[[#This Row],[Calendar Year]],monthly_mortgage_schedule[Interest With Extra Principal Payments])</f>
        <v>21140.569766363249</v>
      </c>
      <c r="W29" s="4">
        <f>SUMIF(monthly_mortgage_schedule[Calendar Year],mortgage[[#This Row],[Calendar Year]],monthly_mortgage_schedule[Principal With Extra Principal Payments])</f>
        <v>16059.748179197652</v>
      </c>
      <c r="X29" s="4">
        <f>SUMIF(monthly_mortgage_schedule[Calendar Year],mortgage[[#This Row],[Calendar Year]],monthly_mortgage_schedule[Extra Payments Towards Equity])</f>
        <v>1200</v>
      </c>
      <c r="Y29" s="4">
        <f>Y28*(1+'Data Entry'!$C$8)</f>
        <v>11406.087094769433</v>
      </c>
      <c r="Z29" s="4">
        <f>SUMIF(monthly_mortgage_schedule[Calendar Year],mortgage[[#This Row],[Calendar Year]],monthly_mortgage_schedule[PMI with Additional Payments])</f>
        <v>0</v>
      </c>
      <c r="AA29" s="4">
        <f>mortgage[[#This Row],[Interest]]+mortgage[[#This Row],[Property Taxes]]</f>
        <v>32546.65686113268</v>
      </c>
      <c r="AB29" s="4">
        <f>AB28*(1+'Data Entry'!$C$10)</f>
        <v>1568.3369755307974</v>
      </c>
      <c r="AC29" s="4">
        <f>AC28*(1+'Data Entry'!$C$9)</f>
        <v>8554.5653210770761</v>
      </c>
      <c r="AD29" s="4">
        <f>SUMIF(nonroutine_maintenance_expenses[Year (YYYY)],mortgage[[#This Row],[Calendar Year]],nonroutine_maintenance_expenses[Amount ($)])</f>
        <v>0</v>
      </c>
      <c r="AE29" s="4">
        <f>AE28*(1+'Data Entry'!C$7)</f>
        <v>906641.19440781604</v>
      </c>
      <c r="AF29" s="4">
        <f t="shared" si="2"/>
        <v>338373.63621208956</v>
      </c>
      <c r="AG29" s="4">
        <f>mortgage[[#This Row],[Principal]]+mortgage[[#This Row],[Extra Payment Towards Equity]]+AG28</f>
        <v>171871.48380748241</v>
      </c>
      <c r="AH29" s="4">
        <f t="shared" si="3"/>
        <v>341432.6494848092</v>
      </c>
      <c r="AI29" s="4">
        <f>AI28+mortgage[[#This Row],[Principal]]+mortgage[[#This Row],[Extra Payment Towards Equity]]</f>
        <v>231871.48380748244</v>
      </c>
      <c r="AJ29" s="180">
        <f>mortgage[[#This Row],[Cumulative Equity (EOY)]]/purchase_price</f>
        <v>0.38645247301247071</v>
      </c>
      <c r="AK29" s="180">
        <f>mortgage[[#This Row],[Loan Balance (BOY)]]/mortgage[[#This Row],[Est. Home Value (EOY)]]</f>
        <v>0.42507252786306093</v>
      </c>
      <c r="AL29" s="4">
        <f t="shared" si="0"/>
        <v>37200.317945560899</v>
      </c>
      <c r="AM29" s="4">
        <f>SUM(mortgage[[#This Row],[Property Taxes]],mortgage[[#This Row],[PMI]],mortgage[[#This Row],[Homeowners Insurance]],mortgage[[#This Row],[Routine Maintenance]],mortgage[[#This Row],[Non-Routine Maintenance]])</f>
        <v>21528.989391377305</v>
      </c>
      <c r="AN29" s="160">
        <f>mortgage[[#This Row],[Total Annual Indirect Housing Expenses]]+AN28</f>
        <v>291548.63577062072</v>
      </c>
    </row>
    <row r="30" spans="5:40" x14ac:dyDescent="0.25">
      <c r="I30">
        <v>14</v>
      </c>
      <c r="J30">
        <f t="shared" si="1"/>
        <v>2035</v>
      </c>
      <c r="K30" s="198">
        <f>IF(mortgage[[#This Row],[Calendar Year]]&gt;=$C$8,mortgage[[#This Row],[Calendar Year]],NA())</f>
        <v>2035</v>
      </c>
      <c r="L30" s="199">
        <f>IF((mortgage[[#This Row],[Calendar Year]]&gt;=$C$8)*(mortgage[[#This Row],[Calendar Year]]&lt;=$C$10),mortgage[[#This Row],[Calendar Year]],NA())</f>
        <v>2035</v>
      </c>
      <c r="M30" s="214">
        <f>IF((mortgage[[#This Row],[Calendar Year]]&gt;=$C$8)*(mortgage[[#This Row],[Calendar Year]]&lt;=$C$10),mortgage[[#This Row],[Loan Balance (BOY)]],NA())</f>
        <v>368128.51619251759</v>
      </c>
      <c r="N30" s="214">
        <f>IF((mortgage[[#This Row],[Begin Year (Range)]]&gt;=$C$8)*(mortgage[[#This Row],[Begin Year (Range)]]&lt;=$C$10),mortgage[[#This Row],[Cumulative Interest (EOY)]],NA())</f>
        <v>361613.57236283913</v>
      </c>
      <c r="O30" s="214">
        <f>IF((mortgage[[#This Row],[Year (Range)]]&gt;=$C$8)*(mortgage[[#This Row],[Year (Range)]]&lt;=$C$10),mortgage[[#This Row],[Cumulative Principal (EOY)]],NA())</f>
        <v>188940.87887501338</v>
      </c>
      <c r="P30" s="214">
        <f>IF((mortgage[[#This Row],[Year (Range)]]&gt;=$C$8)*(mortgage[[#This Row],[Year (Range)]]&lt;=$C$10),mortgage[[#This Row],[Cumulative Appreciation (EOY)]],NA())</f>
        <v>371216.7134795126</v>
      </c>
      <c r="Q30" s="214">
        <f>IF((mortgage[[#This Row],[Year (Range)]]&gt;=$C$8)*(mortgage[[#This Row],[Year (Range)]]&lt;=$C$10),mortgage[[#This Row],[Cumulative Equity (EOY)]],NA())</f>
        <v>248940.87887501338</v>
      </c>
      <c r="R30" s="214">
        <f>IF((mortgage[[#This Row],[Year (Range)]]&gt;=$C$8)*(mortgage[[#This Row],[Year (Range)]]&lt;=$C$10),mortgage[[#This Row],[Cumulative Total Indirect Housing Expenses]],NA())</f>
        <v>313723.49484373932</v>
      </c>
      <c r="S30" s="214">
        <f>IF((mortgage[[#This Row],[Year (Range)]]&gt;=$C$8)*(mortgage[[#This Row],[Year (Range)]]&lt;=$C$10),mortgage[[#This Row],[Total Annual Indirect Housing Expenses]],NA())</f>
        <v>22174.859073118627</v>
      </c>
      <c r="T30" s="214">
        <f>IF((mortgage[[#This Row],[Year (Range)]]&gt;=$C$8)*(mortgage[[#This Row],[Year (Range)]]&lt;=$C$10),mortgage[[#This Row],[Est. Home Value (EOY)]],NA())</f>
        <v>938373.63621208956</v>
      </c>
      <c r="U30" s="164">
        <f>IF(U29&lt;W29,0,IF(I30&lt;='Data Entry'!$F$9,(U29-(W29+X29)),0))</f>
        <v>368128.51619251759</v>
      </c>
      <c r="V30" s="183">
        <f>SUMIF(monthly_mortgage_schedule[Calendar Year],mortgage[[#This Row],[Calendar Year]],monthly_mortgage_schedule[Interest With Extra Principal Payments])</f>
        <v>20180.922878029935</v>
      </c>
      <c r="W30" s="4">
        <f>SUMIF(monthly_mortgage_schedule[Calendar Year],mortgage[[#This Row],[Calendar Year]],monthly_mortgage_schedule[Principal With Extra Principal Payments])</f>
        <v>17019.395067530961</v>
      </c>
      <c r="X30" s="4">
        <f>SUMIF(monthly_mortgage_schedule[Calendar Year],mortgage[[#This Row],[Calendar Year]],monthly_mortgage_schedule[Extra Payments Towards Equity])</f>
        <v>50</v>
      </c>
      <c r="Y30" s="4">
        <f>Y29*(1+'Data Entry'!$C$8)</f>
        <v>11748.269707612517</v>
      </c>
      <c r="Z30" s="4">
        <f>SUMIF(monthly_mortgage_schedule[Calendar Year],mortgage[[#This Row],[Calendar Year]],monthly_mortgage_schedule[PMI with Additional Payments])</f>
        <v>0</v>
      </c>
      <c r="AA30" s="4">
        <f>mortgage[[#This Row],[Interest]]+mortgage[[#This Row],[Property Taxes]]</f>
        <v>31929.19258564245</v>
      </c>
      <c r="AB30" s="4">
        <f>AB29*(1+'Data Entry'!$C$10)</f>
        <v>1615.3870847967214</v>
      </c>
      <c r="AC30" s="4">
        <f>AC29*(1+'Data Entry'!$C$9)</f>
        <v>8811.202280709389</v>
      </c>
      <c r="AD30" s="4">
        <f>SUMIF(nonroutine_maintenance_expenses[Year (YYYY)],mortgage[[#This Row],[Calendar Year]],nonroutine_maintenance_expenses[Amount ($)])</f>
        <v>0</v>
      </c>
      <c r="AE30" s="4">
        <f>AE29*(1+'Data Entry'!C$7)</f>
        <v>938373.63621208956</v>
      </c>
      <c r="AF30" s="4">
        <f t="shared" si="2"/>
        <v>371216.7134795126</v>
      </c>
      <c r="AG30" s="4">
        <f>mortgage[[#This Row],[Principal]]+mortgage[[#This Row],[Extra Payment Towards Equity]]+AG29</f>
        <v>188940.87887501338</v>
      </c>
      <c r="AH30" s="4">
        <f t="shared" si="3"/>
        <v>361613.57236283913</v>
      </c>
      <c r="AI30" s="4">
        <f>AI29+mortgage[[#This Row],[Principal]]+mortgage[[#This Row],[Extra Payment Towards Equity]]</f>
        <v>248940.87887501338</v>
      </c>
      <c r="AJ30" s="180">
        <f>mortgage[[#This Row],[Cumulative Equity (EOY)]]/purchase_price</f>
        <v>0.41490146479168899</v>
      </c>
      <c r="AK30" s="180">
        <f>mortgage[[#This Row],[Loan Balance (BOY)]]/mortgage[[#This Row],[Est. Home Value (EOY)]]</f>
        <v>0.39230483677965761</v>
      </c>
      <c r="AL30" s="4">
        <f t="shared" si="0"/>
        <v>37200.317945560892</v>
      </c>
      <c r="AM30" s="4">
        <f>SUM(mortgage[[#This Row],[Property Taxes]],mortgage[[#This Row],[PMI]],mortgage[[#This Row],[Homeowners Insurance]],mortgage[[#This Row],[Routine Maintenance]],mortgage[[#This Row],[Non-Routine Maintenance]])</f>
        <v>22174.859073118627</v>
      </c>
      <c r="AN30" s="160">
        <f>mortgage[[#This Row],[Total Annual Indirect Housing Expenses]]+AN29</f>
        <v>313723.49484373932</v>
      </c>
    </row>
    <row r="31" spans="5:40" x14ac:dyDescent="0.25">
      <c r="I31">
        <v>15</v>
      </c>
      <c r="J31">
        <f t="shared" si="1"/>
        <v>2036</v>
      </c>
      <c r="K31" s="198">
        <f>IF(mortgage[[#This Row],[Calendar Year]]&gt;=$C$8,mortgage[[#This Row],[Calendar Year]],NA())</f>
        <v>2036</v>
      </c>
      <c r="L31" s="199">
        <f>IF((mortgage[[#This Row],[Calendar Year]]&gt;=$C$8)*(mortgage[[#This Row],[Calendar Year]]&lt;=$C$10),mortgage[[#This Row],[Calendar Year]],NA())</f>
        <v>2036</v>
      </c>
      <c r="M31" s="214">
        <f>IF((mortgage[[#This Row],[Calendar Year]]&gt;=$C$8)*(mortgage[[#This Row],[Calendar Year]]&lt;=$C$10),mortgage[[#This Row],[Loan Balance (BOY)]],NA())</f>
        <v>351059.12112498662</v>
      </c>
      <c r="N31" s="214">
        <f>IF((mortgage[[#This Row],[Begin Year (Range)]]&gt;=$C$8)*(mortgage[[#This Row],[Begin Year (Range)]]&lt;=$C$10),mortgage[[#This Row],[Cumulative Interest (EOY)]],NA())</f>
        <v>380803.67172400944</v>
      </c>
      <c r="O31" s="214">
        <f>IF((mortgage[[#This Row],[Year (Range)]]&gt;=$C$8)*(mortgage[[#This Row],[Year (Range)]]&lt;=$C$10),mortgage[[#This Row],[Cumulative Principal (EOY)]],NA())</f>
        <v>207701.097459404</v>
      </c>
      <c r="P31" s="214">
        <f>IF((mortgage[[#This Row],[Year (Range)]]&gt;=$C$8)*(mortgage[[#This Row],[Year (Range)]]&lt;=$C$10),mortgage[[#This Row],[Cumulative Appreciation (EOY)]],NA())</f>
        <v>405209.29845129547</v>
      </c>
      <c r="Q31" s="214">
        <f>IF((mortgage[[#This Row],[Year (Range)]]&gt;=$C$8)*(mortgage[[#This Row],[Year (Range)]]&lt;=$C$10),mortgage[[#This Row],[Cumulative Equity (EOY)]],NA())</f>
        <v>267701.09745940397</v>
      </c>
      <c r="R31" s="214">
        <f>IF((mortgage[[#This Row],[Year (Range)]]&gt;=$C$8)*(mortgage[[#This Row],[Year (Range)]]&lt;=$C$10),mortgage[[#This Row],[Cumulative Total Indirect Housing Expenses]],NA())</f>
        <v>336563.59968905151</v>
      </c>
      <c r="S31" s="214">
        <f>IF((mortgage[[#This Row],[Year (Range)]]&gt;=$C$8)*(mortgage[[#This Row],[Year (Range)]]&lt;=$C$10),mortgage[[#This Row],[Total Annual Indirect Housing Expenses]],NA())</f>
        <v>22840.104845312188</v>
      </c>
      <c r="T31" s="214">
        <f>IF((mortgage[[#This Row],[Year (Range)]]&gt;=$C$8)*(mortgage[[#This Row],[Year (Range)]]&lt;=$C$10),mortgage[[#This Row],[Est. Home Value (EOY)]],NA())</f>
        <v>971216.7134795126</v>
      </c>
      <c r="U31" s="164">
        <f>IF(U30&lt;W30,0,IF(I31&lt;='Data Entry'!$F$9,(U30-(W30+X30)),0))</f>
        <v>351059.12112498662</v>
      </c>
      <c r="V31" s="183">
        <f>SUMIF(monthly_mortgage_schedule[Calendar Year],mortgage[[#This Row],[Calendar Year]],monthly_mortgage_schedule[Interest With Extra Principal Payments])</f>
        <v>19190.099361170287</v>
      </c>
      <c r="W31" s="4">
        <f>SUMIF(monthly_mortgage_schedule[Calendar Year],mortgage[[#This Row],[Calendar Year]],monthly_mortgage_schedule[Principal With Extra Principal Payments])</f>
        <v>18010.218584390608</v>
      </c>
      <c r="X31" s="4">
        <f>SUMIF(monthly_mortgage_schedule[Calendar Year],mortgage[[#This Row],[Calendar Year]],monthly_mortgage_schedule[Extra Payments Towards Equity])</f>
        <v>750</v>
      </c>
      <c r="Y31" s="4">
        <f>Y30*(1+'Data Entry'!$C$8)</f>
        <v>12100.717798840893</v>
      </c>
      <c r="Z31" s="4">
        <f>SUMIF(monthly_mortgage_schedule[Calendar Year],mortgage[[#This Row],[Calendar Year]],monthly_mortgage_schedule[PMI with Additional Payments])</f>
        <v>0</v>
      </c>
      <c r="AA31" s="4">
        <f>mortgage[[#This Row],[Interest]]+mortgage[[#This Row],[Property Taxes]]</f>
        <v>31290.817160011182</v>
      </c>
      <c r="AB31" s="4">
        <f>AB30*(1+'Data Entry'!$C$10)</f>
        <v>1663.8486973406232</v>
      </c>
      <c r="AC31" s="4">
        <f>AC30*(1+'Data Entry'!$C$9)</f>
        <v>9075.5383491306711</v>
      </c>
      <c r="AD31" s="4">
        <f>SUMIF(nonroutine_maintenance_expenses[Year (YYYY)],mortgage[[#This Row],[Calendar Year]],nonroutine_maintenance_expenses[Amount ($)])</f>
        <v>0</v>
      </c>
      <c r="AE31" s="4">
        <f>AE30*(1+'Data Entry'!C$7)</f>
        <v>971216.7134795126</v>
      </c>
      <c r="AF31" s="4">
        <f t="shared" si="2"/>
        <v>405209.29845129547</v>
      </c>
      <c r="AG31" s="4">
        <f>mortgage[[#This Row],[Principal]]+mortgage[[#This Row],[Extra Payment Towards Equity]]+AG30</f>
        <v>207701.097459404</v>
      </c>
      <c r="AH31" s="4">
        <f t="shared" si="3"/>
        <v>380803.67172400944</v>
      </c>
      <c r="AI31" s="4">
        <f>AI30+mortgage[[#This Row],[Principal]]+mortgage[[#This Row],[Extra Payment Towards Equity]]</f>
        <v>267701.09745940397</v>
      </c>
      <c r="AJ31" s="180">
        <f>mortgage[[#This Row],[Cumulative Equity (EOY)]]/purchase_price</f>
        <v>0.4461684957656733</v>
      </c>
      <c r="AK31" s="180">
        <f>mortgage[[#This Row],[Loan Balance (BOY)]]/mortgage[[#This Row],[Est. Home Value (EOY)]]</f>
        <v>0.36146322056924945</v>
      </c>
      <c r="AL31" s="4">
        <f t="shared" si="0"/>
        <v>37200.317945560892</v>
      </c>
      <c r="AM31" s="4">
        <f>SUM(mortgage[[#This Row],[Property Taxes]],mortgage[[#This Row],[PMI]],mortgage[[#This Row],[Homeowners Insurance]],mortgage[[#This Row],[Routine Maintenance]],mortgage[[#This Row],[Non-Routine Maintenance]])</f>
        <v>22840.104845312188</v>
      </c>
      <c r="AN31" s="160">
        <f>mortgage[[#This Row],[Total Annual Indirect Housing Expenses]]+AN30</f>
        <v>336563.59968905151</v>
      </c>
    </row>
    <row r="32" spans="5:40" x14ac:dyDescent="0.25">
      <c r="I32">
        <v>16</v>
      </c>
      <c r="J32">
        <f t="shared" si="1"/>
        <v>2037</v>
      </c>
      <c r="K32" s="198">
        <f>IF(mortgage[[#This Row],[Calendar Year]]&gt;=$C$8,mortgage[[#This Row],[Calendar Year]],NA())</f>
        <v>2037</v>
      </c>
      <c r="L32" s="199">
        <f>IF((mortgage[[#This Row],[Calendar Year]]&gt;=$C$8)*(mortgage[[#This Row],[Calendar Year]]&lt;=$C$10),mortgage[[#This Row],[Calendar Year]],NA())</f>
        <v>2037</v>
      </c>
      <c r="M32" s="214">
        <f>IF((mortgage[[#This Row],[Calendar Year]]&gt;=$C$8)*(mortgage[[#This Row],[Calendar Year]]&lt;=$C$10),mortgage[[#This Row],[Loan Balance (BOY)]],NA())</f>
        <v>332298.90254059603</v>
      </c>
      <c r="N32" s="214">
        <f>IF((mortgage[[#This Row],[Begin Year (Range)]]&gt;=$C$8)*(mortgage[[#This Row],[Begin Year (Range)]]&lt;=$C$10),mortgage[[#This Row],[Cumulative Interest (EOY)]],NA())</f>
        <v>398923.04745398951</v>
      </c>
      <c r="O32" s="214">
        <f>IF((mortgage[[#This Row],[Year (Range)]]&gt;=$C$8)*(mortgage[[#This Row],[Year (Range)]]&lt;=$C$10),mortgage[[#This Row],[Cumulative Principal (EOY)]],NA())</f>
        <v>227282.03967498482</v>
      </c>
      <c r="P32" s="214">
        <f>IF((mortgage[[#This Row],[Year (Range)]]&gt;=$C$8)*(mortgage[[#This Row],[Year (Range)]]&lt;=$C$10),mortgage[[#This Row],[Cumulative Appreciation (EOY)]],NA())</f>
        <v>440391.62389709079</v>
      </c>
      <c r="Q32" s="214">
        <f>IF((mortgage[[#This Row],[Year (Range)]]&gt;=$C$8)*(mortgage[[#This Row],[Year (Range)]]&lt;=$C$10),mortgage[[#This Row],[Cumulative Equity (EOY)]],NA())</f>
        <v>287282.03967498482</v>
      </c>
      <c r="R32" s="214">
        <f>IF((mortgage[[#This Row],[Year (Range)]]&gt;=$C$8)*(mortgage[[#This Row],[Year (Range)]]&lt;=$C$10),mortgage[[#This Row],[Cumulative Total Indirect Housing Expenses]],NA())</f>
        <v>360088.90767972305</v>
      </c>
      <c r="S32" s="214">
        <f>IF((mortgage[[#This Row],[Year (Range)]]&gt;=$C$8)*(mortgage[[#This Row],[Year (Range)]]&lt;=$C$10),mortgage[[#This Row],[Total Annual Indirect Housing Expenses]],NA())</f>
        <v>23525.307990671554</v>
      </c>
      <c r="T32" s="214">
        <f>IF((mortgage[[#This Row],[Year (Range)]]&gt;=$C$8)*(mortgage[[#This Row],[Year (Range)]]&lt;=$C$10),mortgage[[#This Row],[Est. Home Value (EOY)]],NA())</f>
        <v>1005209.2984512955</v>
      </c>
      <c r="U32" s="164">
        <f>IF(U31&lt;W31,0,IF(I32&lt;='Data Entry'!$F$9,(U31-(W31+X31)),0))</f>
        <v>332298.90254059603</v>
      </c>
      <c r="V32" s="183">
        <f>SUMIF(monthly_mortgage_schedule[Calendar Year],mortgage[[#This Row],[Calendar Year]],monthly_mortgage_schedule[Interest With Extra Principal Payments])</f>
        <v>18119.375729980071</v>
      </c>
      <c r="W32" s="4">
        <f>SUMIF(monthly_mortgage_schedule[Calendar Year],mortgage[[#This Row],[Calendar Year]],monthly_mortgage_schedule[Principal With Extra Principal Payments])</f>
        <v>19080.942215580828</v>
      </c>
      <c r="X32" s="4">
        <f>SUMIF(monthly_mortgage_schedule[Calendar Year],mortgage[[#This Row],[Calendar Year]],monthly_mortgage_schedule[Extra Payments Towards Equity])</f>
        <v>500</v>
      </c>
      <c r="Y32" s="4">
        <f>Y31*(1+'Data Entry'!$C$8)</f>
        <v>12463.739332806121</v>
      </c>
      <c r="Z32" s="4">
        <f>SUMIF(monthly_mortgage_schedule[Calendar Year],mortgage[[#This Row],[Calendar Year]],monthly_mortgage_schedule[PMI with Additional Payments])</f>
        <v>0</v>
      </c>
      <c r="AA32" s="4">
        <f>mortgage[[#This Row],[Interest]]+mortgage[[#This Row],[Property Taxes]]</f>
        <v>30583.115062786193</v>
      </c>
      <c r="AB32" s="4">
        <f>AB31*(1+'Data Entry'!$C$10)</f>
        <v>1713.7641582608419</v>
      </c>
      <c r="AC32" s="4">
        <f>AC31*(1+'Data Entry'!$C$9)</f>
        <v>9347.8044996045919</v>
      </c>
      <c r="AD32" s="4">
        <f>SUMIF(nonroutine_maintenance_expenses[Year (YYYY)],mortgage[[#This Row],[Calendar Year]],nonroutine_maintenance_expenses[Amount ($)])</f>
        <v>0</v>
      </c>
      <c r="AE32" s="4">
        <f>AE31*(1+'Data Entry'!C$7)</f>
        <v>1005209.2984512955</v>
      </c>
      <c r="AF32" s="4">
        <f t="shared" si="2"/>
        <v>440391.62389709079</v>
      </c>
      <c r="AG32" s="4">
        <f>mortgage[[#This Row],[Principal]]+mortgage[[#This Row],[Extra Payment Towards Equity]]+AG31</f>
        <v>227282.03967498482</v>
      </c>
      <c r="AH32" s="4">
        <f t="shared" si="3"/>
        <v>398923.04745398951</v>
      </c>
      <c r="AI32" s="4">
        <f>AI31+mortgage[[#This Row],[Principal]]+mortgage[[#This Row],[Extra Payment Towards Equity]]</f>
        <v>287282.03967498482</v>
      </c>
      <c r="AJ32" s="180">
        <f>mortgage[[#This Row],[Cumulative Equity (EOY)]]/purchase_price</f>
        <v>0.47880339945830802</v>
      </c>
      <c r="AK32" s="180">
        <f>mortgage[[#This Row],[Loan Balance (BOY)]]/mortgage[[#This Row],[Est. Home Value (EOY)]]</f>
        <v>0.33057682917633358</v>
      </c>
      <c r="AL32" s="4">
        <f t="shared" si="0"/>
        <v>37200.317945560899</v>
      </c>
      <c r="AM32" s="4">
        <f>SUM(mortgage[[#This Row],[Property Taxes]],mortgage[[#This Row],[PMI]],mortgage[[#This Row],[Homeowners Insurance]],mortgage[[#This Row],[Routine Maintenance]],mortgage[[#This Row],[Non-Routine Maintenance]])</f>
        <v>23525.307990671554</v>
      </c>
      <c r="AN32" s="160">
        <f>mortgage[[#This Row],[Total Annual Indirect Housing Expenses]]+AN31</f>
        <v>360088.90767972305</v>
      </c>
    </row>
    <row r="33" spans="9:40" x14ac:dyDescent="0.25">
      <c r="I33">
        <v>17</v>
      </c>
      <c r="J33">
        <f t="shared" si="1"/>
        <v>2038</v>
      </c>
      <c r="K33" s="198">
        <f>IF(mortgage[[#This Row],[Calendar Year]]&gt;=$C$8,mortgage[[#This Row],[Calendar Year]],NA())</f>
        <v>2038</v>
      </c>
      <c r="L33" s="199">
        <f>IF((mortgage[[#This Row],[Calendar Year]]&gt;=$C$8)*(mortgage[[#This Row],[Calendar Year]]&lt;=$C$10),mortgage[[#This Row],[Calendar Year]],NA())</f>
        <v>2038</v>
      </c>
      <c r="M33" s="214">
        <f>IF((mortgage[[#This Row],[Calendar Year]]&gt;=$C$8)*(mortgage[[#This Row],[Calendar Year]]&lt;=$C$10),mortgage[[#This Row],[Loan Balance (BOY)]],NA())</f>
        <v>312717.96032501518</v>
      </c>
      <c r="N33" s="214">
        <f>IF((mortgage[[#This Row],[Begin Year (Range)]]&gt;=$C$8)*(mortgage[[#This Row],[Begin Year (Range)]]&lt;=$C$10),mortgage[[#This Row],[Cumulative Interest (EOY)]],NA())</f>
        <v>415912.58233206568</v>
      </c>
      <c r="O33" s="214">
        <f>IF((mortgage[[#This Row],[Year (Range)]]&gt;=$C$8)*(mortgage[[#This Row],[Year (Range)]]&lt;=$C$10),mortgage[[#This Row],[Cumulative Principal (EOY)]],NA())</f>
        <v>247992.82274246958</v>
      </c>
      <c r="P33" s="214">
        <f>IF((mortgage[[#This Row],[Year (Range)]]&gt;=$C$8)*(mortgage[[#This Row],[Year (Range)]]&lt;=$C$10),mortgage[[#This Row],[Cumulative Appreciation (EOY)]],NA())</f>
        <v>476805.33073348878</v>
      </c>
      <c r="Q33" s="214">
        <f>IF((mortgage[[#This Row],[Year (Range)]]&gt;=$C$8)*(mortgage[[#This Row],[Year (Range)]]&lt;=$C$10),mortgage[[#This Row],[Cumulative Equity (EOY)]],NA())</f>
        <v>307992.82274246955</v>
      </c>
      <c r="R33" s="214">
        <f>IF((mortgage[[#This Row],[Year (Range)]]&gt;=$C$8)*(mortgage[[#This Row],[Year (Range)]]&lt;=$C$10),mortgage[[#This Row],[Cumulative Total Indirect Housing Expenses]],NA())</f>
        <v>384319.97491011478</v>
      </c>
      <c r="S33" s="214">
        <f>IF((mortgage[[#This Row],[Year (Range)]]&gt;=$C$8)*(mortgage[[#This Row],[Year (Range)]]&lt;=$C$10),mortgage[[#This Row],[Total Annual Indirect Housing Expenses]],NA())</f>
        <v>24231.067230391702</v>
      </c>
      <c r="T33" s="214">
        <f>IF((mortgage[[#This Row],[Year (Range)]]&gt;=$C$8)*(mortgage[[#This Row],[Year (Range)]]&lt;=$C$10),mortgage[[#This Row],[Est. Home Value (EOY)]],NA())</f>
        <v>1040391.6238970908</v>
      </c>
      <c r="U33" s="164">
        <f>IF(U32&lt;W32,0,IF(I33&lt;='Data Entry'!$F$9,(U32-(W32+X32)),0))</f>
        <v>312717.96032501518</v>
      </c>
      <c r="V33" s="183">
        <f>SUMIF(monthly_mortgage_schedule[Calendar Year],mortgage[[#This Row],[Calendar Year]],monthly_mortgage_schedule[Interest With Extra Principal Payments])</f>
        <v>16989.534878076141</v>
      </c>
      <c r="W33" s="4">
        <f>SUMIF(monthly_mortgage_schedule[Calendar Year],mortgage[[#This Row],[Calendar Year]],monthly_mortgage_schedule[Principal With Extra Principal Payments])</f>
        <v>20210.783067484754</v>
      </c>
      <c r="X33" s="4">
        <f>SUMIF(monthly_mortgage_schedule[Calendar Year],mortgage[[#This Row],[Calendar Year]],monthly_mortgage_schedule[Extra Payments Towards Equity])</f>
        <v>500</v>
      </c>
      <c r="Y33" s="4">
        <f>Y32*(1+'Data Entry'!$C$8)</f>
        <v>12837.651512790304</v>
      </c>
      <c r="Z33" s="4">
        <f>SUMIF(monthly_mortgage_schedule[Calendar Year],mortgage[[#This Row],[Calendar Year]],monthly_mortgage_schedule[PMI with Additional Payments])</f>
        <v>0</v>
      </c>
      <c r="AA33" s="4">
        <f>mortgage[[#This Row],[Interest]]+mortgage[[#This Row],[Property Taxes]]</f>
        <v>29827.186390866445</v>
      </c>
      <c r="AB33" s="4">
        <f>AB32*(1+'Data Entry'!$C$10)</f>
        <v>1765.1770830086673</v>
      </c>
      <c r="AC33" s="4">
        <f>AC32*(1+'Data Entry'!$C$9)</f>
        <v>9628.2386345927298</v>
      </c>
      <c r="AD33" s="4">
        <f>SUMIF(nonroutine_maintenance_expenses[Year (YYYY)],mortgage[[#This Row],[Calendar Year]],nonroutine_maintenance_expenses[Amount ($)])</f>
        <v>0</v>
      </c>
      <c r="AE33" s="4">
        <f>AE32*(1+'Data Entry'!C$7)</f>
        <v>1040391.6238970908</v>
      </c>
      <c r="AF33" s="4">
        <f t="shared" si="2"/>
        <v>476805.33073348878</v>
      </c>
      <c r="AG33" s="4">
        <f>mortgage[[#This Row],[Principal]]+mortgage[[#This Row],[Extra Payment Towards Equity]]+AG32</f>
        <v>247992.82274246958</v>
      </c>
      <c r="AH33" s="4">
        <f t="shared" si="3"/>
        <v>415912.58233206568</v>
      </c>
      <c r="AI33" s="4">
        <f>AI32+mortgage[[#This Row],[Principal]]+mortgage[[#This Row],[Extra Payment Towards Equity]]</f>
        <v>307992.82274246955</v>
      </c>
      <c r="AJ33" s="180">
        <f>mortgage[[#This Row],[Cumulative Equity (EOY)]]/purchase_price</f>
        <v>0.51332137123744925</v>
      </c>
      <c r="AK33" s="180">
        <f>mortgage[[#This Row],[Loan Balance (BOY)]]/mortgage[[#This Row],[Est. Home Value (EOY)]]</f>
        <v>0.30057716069804435</v>
      </c>
      <c r="AL33" s="4">
        <f t="shared" si="0"/>
        <v>37200.317945560892</v>
      </c>
      <c r="AM33" s="4">
        <f>SUM(mortgage[[#This Row],[Property Taxes]],mortgage[[#This Row],[PMI]],mortgage[[#This Row],[Homeowners Insurance]],mortgage[[#This Row],[Routine Maintenance]],mortgage[[#This Row],[Non-Routine Maintenance]])</f>
        <v>24231.067230391702</v>
      </c>
      <c r="AN33" s="160">
        <f>mortgage[[#This Row],[Total Annual Indirect Housing Expenses]]+AN32</f>
        <v>384319.97491011478</v>
      </c>
    </row>
    <row r="34" spans="9:40" x14ac:dyDescent="0.25">
      <c r="I34">
        <v>18</v>
      </c>
      <c r="J34">
        <f t="shared" si="1"/>
        <v>2039</v>
      </c>
      <c r="K34" s="198">
        <f>IF(mortgage[[#This Row],[Calendar Year]]&gt;=$C$8,mortgage[[#This Row],[Calendar Year]],NA())</f>
        <v>2039</v>
      </c>
      <c r="L34" s="199">
        <f>IF((mortgage[[#This Row],[Calendar Year]]&gt;=$C$8)*(mortgage[[#This Row],[Calendar Year]]&lt;=$C$10),mortgage[[#This Row],[Calendar Year]],NA())</f>
        <v>2039</v>
      </c>
      <c r="M34" s="214">
        <f>IF((mortgage[[#This Row],[Calendar Year]]&gt;=$C$8)*(mortgage[[#This Row],[Calendar Year]]&lt;=$C$10),mortgage[[#This Row],[Loan Balance (BOY)]],NA())</f>
        <v>292007.17725753045</v>
      </c>
      <c r="N34" s="214">
        <f>IF((mortgage[[#This Row],[Begin Year (Range)]]&gt;=$C$8)*(mortgage[[#This Row],[Begin Year (Range)]]&lt;=$C$10),mortgage[[#This Row],[Cumulative Interest (EOY)]],NA())</f>
        <v>431700.22943878866</v>
      </c>
      <c r="O34" s="214">
        <f>IF((mortgage[[#This Row],[Year (Range)]]&gt;=$C$8)*(mortgage[[#This Row],[Year (Range)]]&lt;=$C$10),mortgage[[#This Row],[Cumulative Principal (EOY)]],NA())</f>
        <v>270155.49358130747</v>
      </c>
      <c r="P34" s="214">
        <f>IF((mortgage[[#This Row],[Year (Range)]]&gt;=$C$8)*(mortgage[[#This Row],[Year (Range)]]&lt;=$C$10),mortgage[[#This Row],[Cumulative Appreciation (EOY)]],NA())</f>
        <v>514493.5173091609</v>
      </c>
      <c r="Q34" s="214">
        <f>IF((mortgage[[#This Row],[Year (Range)]]&gt;=$C$8)*(mortgage[[#This Row],[Year (Range)]]&lt;=$C$10),mortgage[[#This Row],[Cumulative Equity (EOY)]],NA())</f>
        <v>330155.49358130747</v>
      </c>
      <c r="R34" s="214">
        <f>IF((mortgage[[#This Row],[Year (Range)]]&gt;=$C$8)*(mortgage[[#This Row],[Year (Range)]]&lt;=$C$10),mortgage[[#This Row],[Cumulative Total Indirect Housing Expenses]],NA())</f>
        <v>409277.97415741824</v>
      </c>
      <c r="S34" s="214">
        <f>IF((mortgage[[#This Row],[Year (Range)]]&gt;=$C$8)*(mortgage[[#This Row],[Year (Range)]]&lt;=$C$10),mortgage[[#This Row],[Total Annual Indirect Housing Expenses]],NA())</f>
        <v>24957.999247303454</v>
      </c>
      <c r="T34" s="214">
        <f>IF((mortgage[[#This Row],[Year (Range)]]&gt;=$C$8)*(mortgage[[#This Row],[Year (Range)]]&lt;=$C$10),mortgage[[#This Row],[Est. Home Value (EOY)]],NA())</f>
        <v>1076805.3307334888</v>
      </c>
      <c r="U34" s="164">
        <f>IF(U33&lt;W33,0,IF(I34&lt;='Data Entry'!$F$9,(U33-(W33+X33)),0))</f>
        <v>292007.17725753045</v>
      </c>
      <c r="V34" s="183">
        <f>SUMIF(monthly_mortgage_schedule[Calendar Year],mortgage[[#This Row],[Calendar Year]],monthly_mortgage_schedule[Interest With Extra Principal Payments])</f>
        <v>15787.647106722987</v>
      </c>
      <c r="W34" s="4">
        <f>SUMIF(monthly_mortgage_schedule[Calendar Year],mortgage[[#This Row],[Calendar Year]],monthly_mortgage_schedule[Principal With Extra Principal Payments])</f>
        <v>21412.670838837908</v>
      </c>
      <c r="X34" s="4">
        <f>SUMIF(monthly_mortgage_schedule[Calendar Year],mortgage[[#This Row],[Calendar Year]],monthly_mortgage_schedule[Extra Payments Towards Equity])</f>
        <v>750</v>
      </c>
      <c r="Y34" s="4">
        <f>Y33*(1+'Data Entry'!$C$8)</f>
        <v>13222.781058174014</v>
      </c>
      <c r="Z34" s="4">
        <f>SUMIF(monthly_mortgage_schedule[Calendar Year],mortgage[[#This Row],[Calendar Year]],monthly_mortgage_schedule[PMI with Additional Payments])</f>
        <v>0</v>
      </c>
      <c r="AA34" s="4">
        <f>mortgage[[#This Row],[Interest]]+mortgage[[#This Row],[Property Taxes]]</f>
        <v>29010.428164896999</v>
      </c>
      <c r="AB34" s="4">
        <f>AB33*(1+'Data Entry'!$C$10)</f>
        <v>1818.1323954989273</v>
      </c>
      <c r="AC34" s="4">
        <f>AC33*(1+'Data Entry'!$C$9)</f>
        <v>9917.0857936305129</v>
      </c>
      <c r="AD34" s="4">
        <f>SUMIF(nonroutine_maintenance_expenses[Year (YYYY)],mortgage[[#This Row],[Calendar Year]],nonroutine_maintenance_expenses[Amount ($)])</f>
        <v>0</v>
      </c>
      <c r="AE34" s="4">
        <f>AE33*(1+'Data Entry'!C$7)</f>
        <v>1076805.3307334888</v>
      </c>
      <c r="AF34" s="4">
        <f t="shared" si="2"/>
        <v>514493.5173091609</v>
      </c>
      <c r="AG34" s="4">
        <f>mortgage[[#This Row],[Principal]]+mortgage[[#This Row],[Extra Payment Towards Equity]]+AG33</f>
        <v>270155.49358130747</v>
      </c>
      <c r="AH34" s="4">
        <f t="shared" si="3"/>
        <v>431700.22943878866</v>
      </c>
      <c r="AI34" s="4">
        <f>AI33+mortgage[[#This Row],[Principal]]+mortgage[[#This Row],[Extra Payment Towards Equity]]</f>
        <v>330155.49358130747</v>
      </c>
      <c r="AJ34" s="180">
        <f>mortgage[[#This Row],[Cumulative Equity (EOY)]]/purchase_price</f>
        <v>0.55025915596884578</v>
      </c>
      <c r="AK34" s="180">
        <f>mortgage[[#This Row],[Loan Balance (BOY)]]/mortgage[[#This Row],[Est. Home Value (EOY)]]</f>
        <v>0.27117917131653085</v>
      </c>
      <c r="AL34" s="4">
        <f t="shared" si="0"/>
        <v>37200.317945560892</v>
      </c>
      <c r="AM34" s="4">
        <f>SUM(mortgage[[#This Row],[Property Taxes]],mortgage[[#This Row],[PMI]],mortgage[[#This Row],[Homeowners Insurance]],mortgage[[#This Row],[Routine Maintenance]],mortgage[[#This Row],[Non-Routine Maintenance]])</f>
        <v>24957.999247303454</v>
      </c>
      <c r="AN34" s="160">
        <f>mortgage[[#This Row],[Total Annual Indirect Housing Expenses]]+AN33</f>
        <v>409277.97415741824</v>
      </c>
    </row>
    <row r="35" spans="9:40" x14ac:dyDescent="0.25">
      <c r="I35">
        <v>19</v>
      </c>
      <c r="J35">
        <f t="shared" si="1"/>
        <v>2040</v>
      </c>
      <c r="K35" s="198">
        <f>IF(mortgage[[#This Row],[Calendar Year]]&gt;=$C$8,mortgage[[#This Row],[Calendar Year]],NA())</f>
        <v>2040</v>
      </c>
      <c r="L35" s="199">
        <f>IF((mortgage[[#This Row],[Calendar Year]]&gt;=$C$8)*(mortgage[[#This Row],[Calendar Year]]&lt;=$C$10),mortgage[[#This Row],[Calendar Year]],NA())</f>
        <v>2040</v>
      </c>
      <c r="M35" s="214">
        <f>IF((mortgage[[#This Row],[Calendar Year]]&gt;=$C$8)*(mortgage[[#This Row],[Calendar Year]]&lt;=$C$10),mortgage[[#This Row],[Loan Balance (BOY)]],NA())</f>
        <v>269844.50641869253</v>
      </c>
      <c r="N35" s="214">
        <f>IF((mortgage[[#This Row],[Begin Year (Range)]]&gt;=$C$8)*(mortgage[[#This Row],[Begin Year (Range)]]&lt;=$C$10),mortgage[[#This Row],[Cumulative Interest (EOY)]],NA())</f>
        <v>446216.68317837256</v>
      </c>
      <c r="O35" s="214">
        <f>IF((mortgage[[#This Row],[Year (Range)]]&gt;=$C$8)*(mortgage[[#This Row],[Year (Range)]]&lt;=$C$10),mortgage[[#This Row],[Cumulative Principal (EOY)]],NA())</f>
        <v>293339.35778728448</v>
      </c>
      <c r="P35" s="214">
        <f>IF((mortgage[[#This Row],[Year (Range)]]&gt;=$C$8)*(mortgage[[#This Row],[Year (Range)]]&lt;=$C$10),mortgage[[#This Row],[Cumulative Appreciation (EOY)]],NA())</f>
        <v>553500.79041498154</v>
      </c>
      <c r="Q35" s="214">
        <f>IF((mortgage[[#This Row],[Year (Range)]]&gt;=$C$8)*(mortgage[[#This Row],[Year (Range)]]&lt;=$C$10),mortgage[[#This Row],[Cumulative Equity (EOY)]],NA())</f>
        <v>353339.35778728448</v>
      </c>
      <c r="R35" s="214">
        <f>IF((mortgage[[#This Row],[Year (Range)]]&gt;=$C$8)*(mortgage[[#This Row],[Year (Range)]]&lt;=$C$10),mortgage[[#This Row],[Cumulative Total Indirect Housing Expenses]],NA())</f>
        <v>434984.71338214079</v>
      </c>
      <c r="S35" s="214">
        <f>IF((mortgage[[#This Row],[Year (Range)]]&gt;=$C$8)*(mortgage[[#This Row],[Year (Range)]]&lt;=$C$10),mortgage[[#This Row],[Total Annual Indirect Housing Expenses]],NA())</f>
        <v>25706.739224722558</v>
      </c>
      <c r="T35" s="214">
        <f>IF((mortgage[[#This Row],[Year (Range)]]&gt;=$C$8)*(mortgage[[#This Row],[Year (Range)]]&lt;=$C$10),mortgage[[#This Row],[Est. Home Value (EOY)]],NA())</f>
        <v>1114493.5173091609</v>
      </c>
      <c r="U35" s="164">
        <f>IF(U34&lt;W34,0,IF(I35&lt;='Data Entry'!$F$9,(U34-(W34+X34)),0))</f>
        <v>269844.50641869253</v>
      </c>
      <c r="V35" s="183">
        <f>SUMIF(monthly_mortgage_schedule[Calendar Year],mortgage[[#This Row],[Calendar Year]],monthly_mortgage_schedule[Interest With Extra Principal Payments])</f>
        <v>14516.453739583909</v>
      </c>
      <c r="W35" s="4">
        <f>SUMIF(monthly_mortgage_schedule[Calendar Year],mortgage[[#This Row],[Calendar Year]],monthly_mortgage_schedule[Principal With Extra Principal Payments])</f>
        <v>22683.864205976992</v>
      </c>
      <c r="X35" s="4">
        <f>SUMIF(monthly_mortgage_schedule[Calendar Year],mortgage[[#This Row],[Calendar Year]],monthly_mortgage_schedule[Extra Payments Towards Equity])</f>
        <v>500</v>
      </c>
      <c r="Y35" s="4">
        <f>Y34*(1+'Data Entry'!$C$8)</f>
        <v>13619.464489919235</v>
      </c>
      <c r="Z35" s="4">
        <f>SUMIF(monthly_mortgage_schedule[Calendar Year],mortgage[[#This Row],[Calendar Year]],monthly_mortgage_schedule[PMI with Additional Payments])</f>
        <v>0</v>
      </c>
      <c r="AA35" s="4">
        <f>mortgage[[#This Row],[Interest]]+mortgage[[#This Row],[Property Taxes]]</f>
        <v>28135.918229503142</v>
      </c>
      <c r="AB35" s="4">
        <f>AB34*(1+'Data Entry'!$C$10)</f>
        <v>1872.6763673638952</v>
      </c>
      <c r="AC35" s="4">
        <f>AC34*(1+'Data Entry'!$C$9)</f>
        <v>10214.598367439428</v>
      </c>
      <c r="AD35" s="4">
        <f>SUMIF(nonroutine_maintenance_expenses[Year (YYYY)],mortgage[[#This Row],[Calendar Year]],nonroutine_maintenance_expenses[Amount ($)])</f>
        <v>0</v>
      </c>
      <c r="AE35" s="4">
        <f>AE34*(1+'Data Entry'!C$7)</f>
        <v>1114493.5173091609</v>
      </c>
      <c r="AF35" s="4">
        <f t="shared" si="2"/>
        <v>553500.79041498154</v>
      </c>
      <c r="AG35" s="4">
        <f>mortgage[[#This Row],[Principal]]+mortgage[[#This Row],[Extra Payment Towards Equity]]+AG34</f>
        <v>293339.35778728448</v>
      </c>
      <c r="AH35" s="4">
        <f t="shared" si="3"/>
        <v>446216.68317837256</v>
      </c>
      <c r="AI35" s="4">
        <f>AI34+mortgage[[#This Row],[Principal]]+mortgage[[#This Row],[Extra Payment Towards Equity]]</f>
        <v>353339.35778728448</v>
      </c>
      <c r="AJ35" s="180">
        <f>mortgage[[#This Row],[Cumulative Equity (EOY)]]/purchase_price</f>
        <v>0.58889892964547408</v>
      </c>
      <c r="AK35" s="180">
        <f>mortgage[[#This Row],[Loan Balance (BOY)]]/mortgage[[#This Row],[Est. Home Value (EOY)]]</f>
        <v>0.24212299329493325</v>
      </c>
      <c r="AL35" s="4">
        <f t="shared" si="0"/>
        <v>37200.317945560899</v>
      </c>
      <c r="AM35" s="4">
        <f>SUM(mortgage[[#This Row],[Property Taxes]],mortgage[[#This Row],[PMI]],mortgage[[#This Row],[Homeowners Insurance]],mortgage[[#This Row],[Routine Maintenance]],mortgage[[#This Row],[Non-Routine Maintenance]])</f>
        <v>25706.739224722558</v>
      </c>
      <c r="AN35" s="160">
        <f>mortgage[[#This Row],[Total Annual Indirect Housing Expenses]]+AN34</f>
        <v>434984.71338214079</v>
      </c>
    </row>
    <row r="36" spans="9:40" x14ac:dyDescent="0.25">
      <c r="I36">
        <v>20</v>
      </c>
      <c r="J36">
        <f t="shared" si="1"/>
        <v>2041</v>
      </c>
      <c r="K36" s="198">
        <f>IF(mortgage[[#This Row],[Calendar Year]]&gt;=$C$8,mortgage[[#This Row],[Calendar Year]],NA())</f>
        <v>2041</v>
      </c>
      <c r="L36" s="199">
        <f>IF((mortgage[[#This Row],[Calendar Year]]&gt;=$C$8)*(mortgage[[#This Row],[Calendar Year]]&lt;=$C$10),mortgage[[#This Row],[Calendar Year]],NA())</f>
        <v>2041</v>
      </c>
      <c r="M36" s="214">
        <f>IF((mortgage[[#This Row],[Calendar Year]]&gt;=$C$8)*(mortgage[[#This Row],[Calendar Year]]&lt;=$C$10),mortgage[[#This Row],[Loan Balance (BOY)]],NA())</f>
        <v>246660.64221271552</v>
      </c>
      <c r="N36" s="214">
        <f>IF((mortgage[[#This Row],[Begin Year (Range)]]&gt;=$C$8)*(mortgage[[#This Row],[Begin Year (Range)]]&lt;=$C$10),mortgage[[#This Row],[Cumulative Interest (EOY)]],NA())</f>
        <v>459396.13867779478</v>
      </c>
      <c r="O36" s="214">
        <f>IF((mortgage[[#This Row],[Year (Range)]]&gt;=$C$8)*(mortgage[[#This Row],[Year (Range)]]&lt;=$C$10),mortgage[[#This Row],[Cumulative Principal (EOY)]],NA())</f>
        <v>318360.22023342317</v>
      </c>
      <c r="P36" s="214">
        <f>IF((mortgage[[#This Row],[Year (Range)]]&gt;=$C$8)*(mortgage[[#This Row],[Year (Range)]]&lt;=$C$10),mortgage[[#This Row],[Cumulative Appreciation (EOY)]],NA())</f>
        <v>593873.31807950581</v>
      </c>
      <c r="Q36" s="214">
        <f>IF((mortgage[[#This Row],[Year (Range)]]&gt;=$C$8)*(mortgage[[#This Row],[Year (Range)]]&lt;=$C$10),mortgage[[#This Row],[Cumulative Equity (EOY)]],NA())</f>
        <v>378360.22023342317</v>
      </c>
      <c r="R36" s="214">
        <f>IF((mortgage[[#This Row],[Year (Range)]]&gt;=$C$8)*(mortgage[[#This Row],[Year (Range)]]&lt;=$C$10),mortgage[[#This Row],[Cumulative Total Indirect Housing Expenses]],NA())</f>
        <v>461462.65478360502</v>
      </c>
      <c r="S36" s="214">
        <f>IF((mortgage[[#This Row],[Year (Range)]]&gt;=$C$8)*(mortgage[[#This Row],[Year (Range)]]&lt;=$C$10),mortgage[[#This Row],[Total Annual Indirect Housing Expenses]],NA())</f>
        <v>26477.941401464235</v>
      </c>
      <c r="T36" s="214">
        <f>IF((mortgage[[#This Row],[Year (Range)]]&gt;=$C$8)*(mortgage[[#This Row],[Year (Range)]]&lt;=$C$10),mortgage[[#This Row],[Est. Home Value (EOY)]],NA())</f>
        <v>1153500.7904149815</v>
      </c>
      <c r="U36" s="164">
        <f>IF(U35&lt;W35,0,IF(I36&lt;='Data Entry'!$F$9,(U35-(W35+X35)),0))</f>
        <v>246660.64221271552</v>
      </c>
      <c r="V36" s="183">
        <f>SUMIF(monthly_mortgage_schedule[Calendar Year],mortgage[[#This Row],[Calendar Year]],monthly_mortgage_schedule[Interest With Extra Principal Payments])</f>
        <v>13179.455499422189</v>
      </c>
      <c r="W36" s="4">
        <f>SUMIF(monthly_mortgage_schedule[Calendar Year],mortgage[[#This Row],[Calendar Year]],monthly_mortgage_schedule[Principal With Extra Principal Payments])</f>
        <v>24020.862446138712</v>
      </c>
      <c r="X36" s="4">
        <f>SUMIF(monthly_mortgage_schedule[Calendar Year],mortgage[[#This Row],[Calendar Year]],monthly_mortgage_schedule[Extra Payments Towards Equity])</f>
        <v>1000</v>
      </c>
      <c r="Y36" s="4">
        <f>Y35*(1+'Data Entry'!$C$8)</f>
        <v>14028.048424616813</v>
      </c>
      <c r="Z36" s="4">
        <f>SUMIF(monthly_mortgage_schedule[Calendar Year],mortgage[[#This Row],[Calendar Year]],monthly_mortgage_schedule[PMI with Additional Payments])</f>
        <v>0</v>
      </c>
      <c r="AA36" s="4">
        <f>mortgage[[#This Row],[Interest]]+mortgage[[#This Row],[Property Taxes]]</f>
        <v>27207.503924039003</v>
      </c>
      <c r="AB36" s="4">
        <f>AB35*(1+'Data Entry'!$C$10)</f>
        <v>1928.8566583848121</v>
      </c>
      <c r="AC36" s="4">
        <f>AC35*(1+'Data Entry'!$C$9)</f>
        <v>10521.036318462611</v>
      </c>
      <c r="AD36" s="4">
        <f>SUMIF(nonroutine_maintenance_expenses[Year (YYYY)],mortgage[[#This Row],[Calendar Year]],nonroutine_maintenance_expenses[Amount ($)])</f>
        <v>0</v>
      </c>
      <c r="AE36" s="4">
        <f>AE35*(1+'Data Entry'!C$7)</f>
        <v>1153500.7904149815</v>
      </c>
      <c r="AF36" s="4">
        <f t="shared" si="2"/>
        <v>593873.31807950581</v>
      </c>
      <c r="AG36" s="4">
        <f>mortgage[[#This Row],[Principal]]+mortgage[[#This Row],[Extra Payment Towards Equity]]+AG35</f>
        <v>318360.22023342317</v>
      </c>
      <c r="AH36" s="4">
        <f t="shared" si="3"/>
        <v>459396.13867779478</v>
      </c>
      <c r="AI36" s="4">
        <f>AI35+mortgage[[#This Row],[Principal]]+mortgage[[#This Row],[Extra Payment Towards Equity]]</f>
        <v>378360.22023342317</v>
      </c>
      <c r="AJ36" s="180">
        <f>mortgage[[#This Row],[Cumulative Equity (EOY)]]/purchase_price</f>
        <v>0.63060036705570532</v>
      </c>
      <c r="AK36" s="180">
        <f>mortgage[[#This Row],[Loan Balance (BOY)]]/mortgage[[#This Row],[Est. Home Value (EOY)]]</f>
        <v>0.2138365610690022</v>
      </c>
      <c r="AL36" s="4">
        <f t="shared" si="0"/>
        <v>37200.317945560899</v>
      </c>
      <c r="AM36" s="4">
        <f>SUM(mortgage[[#This Row],[Property Taxes]],mortgage[[#This Row],[PMI]],mortgage[[#This Row],[Homeowners Insurance]],mortgage[[#This Row],[Routine Maintenance]],mortgage[[#This Row],[Non-Routine Maintenance]])</f>
        <v>26477.941401464235</v>
      </c>
      <c r="AN36" s="160">
        <f>mortgage[[#This Row],[Total Annual Indirect Housing Expenses]]+AN35</f>
        <v>461462.65478360502</v>
      </c>
    </row>
    <row r="37" spans="9:40" x14ac:dyDescent="0.25">
      <c r="I37">
        <v>21</v>
      </c>
      <c r="J37">
        <f t="shared" si="1"/>
        <v>2042</v>
      </c>
      <c r="K37" s="198">
        <f>IF(mortgage[[#This Row],[Calendar Year]]&gt;=$C$8,mortgage[[#This Row],[Calendar Year]],NA())</f>
        <v>2042</v>
      </c>
      <c r="L37" s="199">
        <f>IF((mortgage[[#This Row],[Calendar Year]]&gt;=$C$8)*(mortgage[[#This Row],[Calendar Year]]&lt;=$C$10),mortgage[[#This Row],[Calendar Year]],NA())</f>
        <v>2042</v>
      </c>
      <c r="M37" s="214">
        <f>IF((mortgage[[#This Row],[Calendar Year]]&gt;=$C$8)*(mortgage[[#This Row],[Calendar Year]]&lt;=$C$10),mortgage[[#This Row],[Loan Balance (BOY)]],NA())</f>
        <v>221639.7797665768</v>
      </c>
      <c r="N37" s="214">
        <f>IF((mortgage[[#This Row],[Begin Year (Range)]]&gt;=$C$8)*(mortgage[[#This Row],[Begin Year (Range)]]&lt;=$C$10),mortgage[[#This Row],[Cumulative Interest (EOY)]],NA())</f>
        <v>471157.04913872044</v>
      </c>
      <c r="O37" s="214">
        <f>IF((mortgage[[#This Row],[Year (Range)]]&gt;=$C$8)*(mortgage[[#This Row],[Year (Range)]]&lt;=$C$10),mortgage[[#This Row],[Cumulative Principal (EOY)]],NA())</f>
        <v>344299.62771805841</v>
      </c>
      <c r="P37" s="214">
        <f>IF((mortgage[[#This Row],[Year (Range)]]&gt;=$C$8)*(mortgage[[#This Row],[Year (Range)]]&lt;=$C$10),mortgage[[#This Row],[Cumulative Appreciation (EOY)]],NA())</f>
        <v>635658.88421228831</v>
      </c>
      <c r="Q37" s="214">
        <f>IF((mortgage[[#This Row],[Year (Range)]]&gt;=$C$8)*(mortgage[[#This Row],[Year (Range)]]&lt;=$C$10),mortgage[[#This Row],[Cumulative Equity (EOY)]],NA())</f>
        <v>404299.62771805841</v>
      </c>
      <c r="R37" s="214">
        <f>IF((mortgage[[#This Row],[Year (Range)]]&gt;=$C$8)*(mortgage[[#This Row],[Year (Range)]]&lt;=$C$10),mortgage[[#This Row],[Cumulative Total Indirect Housing Expenses]],NA())</f>
        <v>488734.93442711316</v>
      </c>
      <c r="S37" s="214">
        <f>IF((mortgage[[#This Row],[Year (Range)]]&gt;=$C$8)*(mortgage[[#This Row],[Year (Range)]]&lt;=$C$10),mortgage[[#This Row],[Total Annual Indirect Housing Expenses]],NA())</f>
        <v>27272.279643508162</v>
      </c>
      <c r="T37" s="214">
        <f>IF((mortgage[[#This Row],[Year (Range)]]&gt;=$C$8)*(mortgage[[#This Row],[Year (Range)]]&lt;=$C$10),mortgage[[#This Row],[Est. Home Value (EOY)]],NA())</f>
        <v>1193873.3180795058</v>
      </c>
      <c r="U37" s="164">
        <f>IF(U36&lt;W36,0,IF(I37&lt;='Data Entry'!$F$9,(U36-(W36+X36)),0))</f>
        <v>221639.7797665768</v>
      </c>
      <c r="V37" s="183">
        <f>SUMIF(monthly_mortgage_schedule[Calendar Year],mortgage[[#This Row],[Calendar Year]],monthly_mortgage_schedule[Interest With Extra Principal Payments])</f>
        <v>11760.910460925636</v>
      </c>
      <c r="W37" s="4">
        <f>SUMIF(monthly_mortgage_schedule[Calendar Year],mortgage[[#This Row],[Calendar Year]],monthly_mortgage_schedule[Principal With Extra Principal Payments])</f>
        <v>25439.40748463526</v>
      </c>
      <c r="X37" s="4">
        <f>SUMIF(monthly_mortgage_schedule[Calendar Year],mortgage[[#This Row],[Calendar Year]],monthly_mortgage_schedule[Extra Payments Towards Equity])</f>
        <v>500</v>
      </c>
      <c r="Y37" s="4">
        <f>Y36*(1+'Data Entry'!$C$8)</f>
        <v>14448.889877355317</v>
      </c>
      <c r="Z37" s="4">
        <f>SUMIF(monthly_mortgage_schedule[Calendar Year],mortgage[[#This Row],[Calendar Year]],monthly_mortgage_schedule[PMI with Additional Payments])</f>
        <v>0</v>
      </c>
      <c r="AA37" s="4">
        <f>mortgage[[#This Row],[Interest]]+mortgage[[#This Row],[Property Taxes]]</f>
        <v>26209.800338280955</v>
      </c>
      <c r="AB37" s="4">
        <f>AB36*(1+'Data Entry'!$C$10)</f>
        <v>1986.7223581363567</v>
      </c>
      <c r="AC37" s="4">
        <f>AC36*(1+'Data Entry'!$C$9)</f>
        <v>10836.66740801649</v>
      </c>
      <c r="AD37" s="4">
        <f>SUMIF(nonroutine_maintenance_expenses[Year (YYYY)],mortgage[[#This Row],[Calendar Year]],nonroutine_maintenance_expenses[Amount ($)])</f>
        <v>0</v>
      </c>
      <c r="AE37" s="4">
        <f>AE36*(1+'Data Entry'!C$7)</f>
        <v>1193873.3180795058</v>
      </c>
      <c r="AF37" s="4">
        <f t="shared" si="2"/>
        <v>635658.88421228831</v>
      </c>
      <c r="AG37" s="4">
        <f>mortgage[[#This Row],[Principal]]+mortgage[[#This Row],[Extra Payment Towards Equity]]+AG36</f>
        <v>344299.62771805841</v>
      </c>
      <c r="AH37" s="4">
        <f t="shared" si="3"/>
        <v>471157.04913872044</v>
      </c>
      <c r="AI37" s="4">
        <f>AI36+mortgage[[#This Row],[Principal]]+mortgage[[#This Row],[Extra Payment Towards Equity]]</f>
        <v>404299.62771805841</v>
      </c>
      <c r="AJ37" s="180">
        <f>mortgage[[#This Row],[Cumulative Equity (EOY)]]/purchase_price</f>
        <v>0.67383271286343072</v>
      </c>
      <c r="AK37" s="180">
        <f>mortgage[[#This Row],[Loan Balance (BOY)]]/mortgage[[#This Row],[Est. Home Value (EOY)]]</f>
        <v>0.18564765323938393</v>
      </c>
      <c r="AL37" s="4">
        <f t="shared" si="0"/>
        <v>37200.317945560892</v>
      </c>
      <c r="AM37" s="4">
        <f>SUM(mortgage[[#This Row],[Property Taxes]],mortgage[[#This Row],[PMI]],mortgage[[#This Row],[Homeowners Insurance]],mortgage[[#This Row],[Routine Maintenance]],mortgage[[#This Row],[Non-Routine Maintenance]])</f>
        <v>27272.279643508162</v>
      </c>
      <c r="AN37" s="160">
        <f>mortgage[[#This Row],[Total Annual Indirect Housing Expenses]]+AN36</f>
        <v>488734.93442711316</v>
      </c>
    </row>
    <row r="38" spans="9:40" x14ac:dyDescent="0.25">
      <c r="I38">
        <v>22</v>
      </c>
      <c r="J38">
        <f t="shared" si="1"/>
        <v>2043</v>
      </c>
      <c r="K38" s="198">
        <f>IF(mortgage[[#This Row],[Calendar Year]]&gt;=$C$8,mortgage[[#This Row],[Calendar Year]],NA())</f>
        <v>2043</v>
      </c>
      <c r="L38" s="199">
        <f>IF((mortgage[[#This Row],[Calendar Year]]&gt;=$C$8)*(mortgage[[#This Row],[Calendar Year]]&lt;=$C$10),mortgage[[#This Row],[Calendar Year]],NA())</f>
        <v>2043</v>
      </c>
      <c r="M38" s="214">
        <f>IF((mortgage[[#This Row],[Calendar Year]]&gt;=$C$8)*(mortgage[[#This Row],[Calendar Year]]&lt;=$C$10),mortgage[[#This Row],[Loan Balance (BOY)]],NA())</f>
        <v>195700.37228194153</v>
      </c>
      <c r="N38" s="214">
        <f>IF((mortgage[[#This Row],[Begin Year (Range)]]&gt;=$C$8)*(mortgage[[#This Row],[Begin Year (Range)]]&lt;=$C$10),mortgage[[#This Row],[Cumulative Interest (EOY)]],NA())</f>
        <v>481422.7617887833</v>
      </c>
      <c r="O38" s="214">
        <f>IF((mortgage[[#This Row],[Year (Range)]]&gt;=$C$8)*(mortgage[[#This Row],[Year (Range)]]&lt;=$C$10),mortgage[[#This Row],[Cumulative Principal (EOY)]],NA())</f>
        <v>371734.23301355646</v>
      </c>
      <c r="P38" s="214">
        <f>IF((mortgage[[#This Row],[Year (Range)]]&gt;=$C$8)*(mortgage[[#This Row],[Year (Range)]]&lt;=$C$10),mortgage[[#This Row],[Cumulative Appreciation (EOY)]],NA())</f>
        <v>678906.94515971839</v>
      </c>
      <c r="Q38" s="214">
        <f>IF((mortgage[[#This Row],[Year (Range)]]&gt;=$C$8)*(mortgage[[#This Row],[Year (Range)]]&lt;=$C$10),mortgage[[#This Row],[Cumulative Equity (EOY)]],NA())</f>
        <v>431734.23301355646</v>
      </c>
      <c r="R38" s="214">
        <f>IF((mortgage[[#This Row],[Year (Range)]]&gt;=$C$8)*(mortgage[[#This Row],[Year (Range)]]&lt;=$C$10),mortgage[[#This Row],[Cumulative Total Indirect Housing Expenses]],NA())</f>
        <v>516825.38245992654</v>
      </c>
      <c r="S38" s="214">
        <f>IF((mortgage[[#This Row],[Year (Range)]]&gt;=$C$8)*(mortgage[[#This Row],[Year (Range)]]&lt;=$C$10),mortgage[[#This Row],[Total Annual Indirect Housing Expenses]],NA())</f>
        <v>28090.448032813409</v>
      </c>
      <c r="T38" s="214">
        <f>IF((mortgage[[#This Row],[Year (Range)]]&gt;=$C$8)*(mortgage[[#This Row],[Year (Range)]]&lt;=$C$10),mortgage[[#This Row],[Est. Home Value (EOY)]],NA())</f>
        <v>1235658.8842122883</v>
      </c>
      <c r="U38" s="164">
        <f>IF(U37&lt;W37,0,IF(I38&lt;='Data Entry'!$F$9,(U37-(W37+X37)),0))</f>
        <v>195700.37228194153</v>
      </c>
      <c r="V38" s="183">
        <f>SUMIF(monthly_mortgage_schedule[Calendar Year],mortgage[[#This Row],[Calendar Year]],monthly_mortgage_schedule[Interest With Extra Principal Payments])</f>
        <v>10265.71265006284</v>
      </c>
      <c r="W38" s="4">
        <f>SUMIF(monthly_mortgage_schedule[Calendar Year],mortgage[[#This Row],[Calendar Year]],monthly_mortgage_schedule[Principal With Extra Principal Payments])</f>
        <v>26934.605295498055</v>
      </c>
      <c r="X38" s="4">
        <f>SUMIF(monthly_mortgage_schedule[Calendar Year],mortgage[[#This Row],[Calendar Year]],monthly_mortgage_schedule[Extra Payments Towards Equity])</f>
        <v>500</v>
      </c>
      <c r="Y38" s="4">
        <f>Y37*(1+'Data Entry'!$C$8)</f>
        <v>14882.356573675977</v>
      </c>
      <c r="Z38" s="4">
        <f>SUMIF(monthly_mortgage_schedule[Calendar Year],mortgage[[#This Row],[Calendar Year]],monthly_mortgage_schedule[PMI with Additional Payments])</f>
        <v>0</v>
      </c>
      <c r="AA38" s="4">
        <f>mortgage[[#This Row],[Interest]]+mortgage[[#This Row],[Property Taxes]]</f>
        <v>25148.069223738818</v>
      </c>
      <c r="AB38" s="4">
        <f>AB37*(1+'Data Entry'!$C$10)</f>
        <v>2046.3240288804475</v>
      </c>
      <c r="AC38" s="4">
        <f>AC37*(1+'Data Entry'!$C$9)</f>
        <v>11161.767430256985</v>
      </c>
      <c r="AD38" s="4">
        <f>SUMIF(nonroutine_maintenance_expenses[Year (YYYY)],mortgage[[#This Row],[Calendar Year]],nonroutine_maintenance_expenses[Amount ($)])</f>
        <v>0</v>
      </c>
      <c r="AE38" s="4">
        <f>AE37*(1+'Data Entry'!C$7)</f>
        <v>1235658.8842122883</v>
      </c>
      <c r="AF38" s="4">
        <f t="shared" si="2"/>
        <v>678906.94515971839</v>
      </c>
      <c r="AG38" s="4">
        <f>mortgage[[#This Row],[Principal]]+mortgage[[#This Row],[Extra Payment Towards Equity]]+AG37</f>
        <v>371734.23301355646</v>
      </c>
      <c r="AH38" s="4">
        <f t="shared" si="3"/>
        <v>481422.7617887833</v>
      </c>
      <c r="AI38" s="4">
        <f>AI37+mortgage[[#This Row],[Principal]]+mortgage[[#This Row],[Extra Payment Towards Equity]]</f>
        <v>431734.23301355646</v>
      </c>
      <c r="AJ38" s="180">
        <f>mortgage[[#This Row],[Cumulative Equity (EOY)]]/purchase_price</f>
        <v>0.71955705502259404</v>
      </c>
      <c r="AK38" s="180">
        <f>mortgage[[#This Row],[Loan Balance (BOY)]]/mortgage[[#This Row],[Est. Home Value (EOY)]]</f>
        <v>0.15837734408934162</v>
      </c>
      <c r="AL38" s="4">
        <f t="shared" si="0"/>
        <v>37200.317945560892</v>
      </c>
      <c r="AM38" s="4">
        <f>SUM(mortgage[[#This Row],[Property Taxes]],mortgage[[#This Row],[PMI]],mortgage[[#This Row],[Homeowners Insurance]],mortgage[[#This Row],[Routine Maintenance]],mortgage[[#This Row],[Non-Routine Maintenance]])</f>
        <v>28090.448032813409</v>
      </c>
      <c r="AN38" s="160">
        <f>mortgage[[#This Row],[Total Annual Indirect Housing Expenses]]+AN37</f>
        <v>516825.38245992654</v>
      </c>
    </row>
    <row r="39" spans="9:40" x14ac:dyDescent="0.25">
      <c r="I39">
        <v>23</v>
      </c>
      <c r="J39">
        <f t="shared" si="1"/>
        <v>2044</v>
      </c>
      <c r="K39" s="198">
        <f>IF(mortgage[[#This Row],[Calendar Year]]&gt;=$C$8,mortgage[[#This Row],[Calendar Year]],NA())</f>
        <v>2044</v>
      </c>
      <c r="L39" s="199">
        <f>IF((mortgage[[#This Row],[Calendar Year]]&gt;=$C$8)*(mortgage[[#This Row],[Calendar Year]]&lt;=$C$10),mortgage[[#This Row],[Calendar Year]],NA())</f>
        <v>2044</v>
      </c>
      <c r="M39" s="214">
        <f>IF((mortgage[[#This Row],[Calendar Year]]&gt;=$C$8)*(mortgage[[#This Row],[Calendar Year]]&lt;=$C$10),mortgage[[#This Row],[Loan Balance (BOY)]],NA())</f>
        <v>168265.76698644349</v>
      </c>
      <c r="N39" s="214">
        <f>IF((mortgage[[#This Row],[Begin Year (Range)]]&gt;=$C$8)*(mortgage[[#This Row],[Begin Year (Range)]]&lt;=$C$10),mortgage[[#This Row],[Cumulative Interest (EOY)]],NA())</f>
        <v>490107.31850043632</v>
      </c>
      <c r="O39" s="214">
        <f>IF((mortgage[[#This Row],[Year (Range)]]&gt;=$C$8)*(mortgage[[#This Row],[Year (Range)]]&lt;=$C$10),mortgage[[#This Row],[Cumulative Principal (EOY)]],NA())</f>
        <v>400749.99424746435</v>
      </c>
      <c r="P39" s="214">
        <f>IF((mortgage[[#This Row],[Year (Range)]]&gt;=$C$8)*(mortgage[[#This Row],[Year (Range)]]&lt;=$C$10),mortgage[[#This Row],[Cumulative Appreciation (EOY)]],NA())</f>
        <v>723668.68824030855</v>
      </c>
      <c r="Q39" s="214">
        <f>IF((mortgage[[#This Row],[Year (Range)]]&gt;=$C$8)*(mortgage[[#This Row],[Year (Range)]]&lt;=$C$10),mortgage[[#This Row],[Cumulative Equity (EOY)]],NA())</f>
        <v>460749.99424746435</v>
      </c>
      <c r="R39" s="214">
        <f>IF((mortgage[[#This Row],[Year (Range)]]&gt;=$C$8)*(mortgage[[#This Row],[Year (Range)]]&lt;=$C$10),mortgage[[#This Row],[Cumulative Total Indirect Housing Expenses]],NA())</f>
        <v>545758.5439337244</v>
      </c>
      <c r="S39" s="214">
        <f>IF((mortgage[[#This Row],[Year (Range)]]&gt;=$C$8)*(mortgage[[#This Row],[Year (Range)]]&lt;=$C$10),mortgage[[#This Row],[Total Annual Indirect Housing Expenses]],NA())</f>
        <v>28933.161473797813</v>
      </c>
      <c r="T39" s="214">
        <f>IF((mortgage[[#This Row],[Year (Range)]]&gt;=$C$8)*(mortgage[[#This Row],[Year (Range)]]&lt;=$C$10),mortgage[[#This Row],[Est. Home Value (EOY)]],NA())</f>
        <v>1278906.9451597184</v>
      </c>
      <c r="U39" s="164">
        <f>IF(U38&lt;W38,0,IF(I39&lt;='Data Entry'!$F$9,(U38-(W38+X38)),0))</f>
        <v>168265.76698644349</v>
      </c>
      <c r="V39" s="183">
        <f>SUMIF(monthly_mortgage_schedule[Calendar Year],mortgage[[#This Row],[Calendar Year]],monthly_mortgage_schedule[Interest With Extra Principal Payments])</f>
        <v>8684.556711653011</v>
      </c>
      <c r="W39" s="4">
        <f>SUMIF(monthly_mortgage_schedule[Calendar Year],mortgage[[#This Row],[Calendar Year]],monthly_mortgage_schedule[Principal With Extra Principal Payments])</f>
        <v>28515.761233907891</v>
      </c>
      <c r="X39" s="4">
        <f>SUMIF(monthly_mortgage_schedule[Calendar Year],mortgage[[#This Row],[Calendar Year]],monthly_mortgage_schedule[Extra Payments Towards Equity])</f>
        <v>500</v>
      </c>
      <c r="Y39" s="4">
        <f>Y38*(1+'Data Entry'!$C$8)</f>
        <v>15328.827270886257</v>
      </c>
      <c r="Z39" s="4">
        <f>SUMIF(monthly_mortgage_schedule[Calendar Year],mortgage[[#This Row],[Calendar Year]],monthly_mortgage_schedule[PMI with Additional Payments])</f>
        <v>0</v>
      </c>
      <c r="AA39" s="4">
        <f>mortgage[[#This Row],[Interest]]+mortgage[[#This Row],[Property Taxes]]</f>
        <v>24013.383982539268</v>
      </c>
      <c r="AB39" s="4">
        <f>AB38*(1+'Data Entry'!$C$10)</f>
        <v>2107.7137497468611</v>
      </c>
      <c r="AC39" s="4">
        <f>AC38*(1+'Data Entry'!$C$9)</f>
        <v>11496.620453164694</v>
      </c>
      <c r="AD39" s="4">
        <f>SUMIF(nonroutine_maintenance_expenses[Year (YYYY)],mortgage[[#This Row],[Calendar Year]],nonroutine_maintenance_expenses[Amount ($)])</f>
        <v>0</v>
      </c>
      <c r="AE39" s="4">
        <f>AE38*(1+'Data Entry'!C$7)</f>
        <v>1278906.9451597184</v>
      </c>
      <c r="AF39" s="4">
        <f t="shared" si="2"/>
        <v>723668.68824030855</v>
      </c>
      <c r="AG39" s="4">
        <f>mortgage[[#This Row],[Principal]]+mortgage[[#This Row],[Extra Payment Towards Equity]]+AG38</f>
        <v>400749.99424746435</v>
      </c>
      <c r="AH39" s="4">
        <f t="shared" si="3"/>
        <v>490107.31850043632</v>
      </c>
      <c r="AI39" s="4">
        <f>AI38+mortgage[[#This Row],[Principal]]+mortgage[[#This Row],[Extra Payment Towards Equity]]</f>
        <v>460749.99424746435</v>
      </c>
      <c r="AJ39" s="180">
        <f>mortgage[[#This Row],[Cumulative Equity (EOY)]]/purchase_price</f>
        <v>0.76791665707910728</v>
      </c>
      <c r="AK39" s="180">
        <f>mortgage[[#This Row],[Loan Balance (BOY)]]/mortgage[[#This Row],[Est. Home Value (EOY)]]</f>
        <v>0.13156998452723967</v>
      </c>
      <c r="AL39" s="4">
        <f t="shared" si="0"/>
        <v>37200.317945560906</v>
      </c>
      <c r="AM39" s="4">
        <f>SUM(mortgage[[#This Row],[Property Taxes]],mortgage[[#This Row],[PMI]],mortgage[[#This Row],[Homeowners Insurance]],mortgage[[#This Row],[Routine Maintenance]],mortgage[[#This Row],[Non-Routine Maintenance]])</f>
        <v>28933.161473797813</v>
      </c>
      <c r="AN39" s="160">
        <f>mortgage[[#This Row],[Total Annual Indirect Housing Expenses]]+AN38</f>
        <v>545758.5439337244</v>
      </c>
    </row>
    <row r="40" spans="9:40" x14ac:dyDescent="0.25">
      <c r="I40">
        <v>24</v>
      </c>
      <c r="J40">
        <f t="shared" si="1"/>
        <v>2045</v>
      </c>
      <c r="K40" s="198">
        <f>IF(mortgage[[#This Row],[Calendar Year]]&gt;=$C$8,mortgage[[#This Row],[Calendar Year]],NA())</f>
        <v>2045</v>
      </c>
      <c r="L40" s="199">
        <f>IF((mortgage[[#This Row],[Calendar Year]]&gt;=$C$8)*(mortgage[[#This Row],[Calendar Year]]&lt;=$C$10),mortgage[[#This Row],[Calendar Year]],NA())</f>
        <v>2045</v>
      </c>
      <c r="M40" s="214">
        <f>IF((mortgage[[#This Row],[Calendar Year]]&gt;=$C$8)*(mortgage[[#This Row],[Calendar Year]]&lt;=$C$10),mortgage[[#This Row],[Loan Balance (BOY)]],NA())</f>
        <v>139250.0057525356</v>
      </c>
      <c r="N40" s="214">
        <f>IF((mortgage[[#This Row],[Begin Year (Range)]]&gt;=$C$8)*(mortgage[[#This Row],[Begin Year (Range)]]&lt;=$C$10),mortgage[[#This Row],[Cumulative Interest (EOY)]],NA())</f>
        <v>497119.82158507954</v>
      </c>
      <c r="O40" s="214">
        <f>IF((mortgage[[#This Row],[Year (Range)]]&gt;=$C$8)*(mortgage[[#This Row],[Year (Range)]]&lt;=$C$10),mortgage[[#This Row],[Cumulative Principal (EOY)]],NA())</f>
        <v>431437.80910838203</v>
      </c>
      <c r="P40" s="214">
        <f>IF((mortgage[[#This Row],[Year (Range)]]&gt;=$C$8)*(mortgage[[#This Row],[Year (Range)]]&lt;=$C$10),mortgage[[#This Row],[Cumulative Appreciation (EOY)]],NA())</f>
        <v>769997.09232871933</v>
      </c>
      <c r="Q40" s="214">
        <f>IF((mortgage[[#This Row],[Year (Range)]]&gt;=$C$8)*(mortgage[[#This Row],[Year (Range)]]&lt;=$C$10),mortgage[[#This Row],[Cumulative Equity (EOY)]],NA())</f>
        <v>491437.80910838203</v>
      </c>
      <c r="R40" s="214">
        <f>IF((mortgage[[#This Row],[Year (Range)]]&gt;=$C$8)*(mortgage[[#This Row],[Year (Range)]]&lt;=$C$10),mortgage[[#This Row],[Cumulative Total Indirect Housing Expenses]],NA())</f>
        <v>575559.7002517361</v>
      </c>
      <c r="S40" s="214">
        <f>IF((mortgage[[#This Row],[Year (Range)]]&gt;=$C$8)*(mortgage[[#This Row],[Year (Range)]]&lt;=$C$10),mortgage[[#This Row],[Total Annual Indirect Housing Expenses]],NA())</f>
        <v>29801.156318011748</v>
      </c>
      <c r="T40" s="214">
        <f>IF((mortgage[[#This Row],[Year (Range)]]&gt;=$C$8)*(mortgage[[#This Row],[Year (Range)]]&lt;=$C$10),mortgage[[#This Row],[Est. Home Value (EOY)]],NA())</f>
        <v>1323668.6882403085</v>
      </c>
      <c r="U40" s="164">
        <f>IF(U39&lt;W39,0,IF(I40&lt;='Data Entry'!$F$9,(U39-(W39+X39)),0))</f>
        <v>139250.0057525356</v>
      </c>
      <c r="V40" s="183">
        <f>SUMIF(monthly_mortgage_schedule[Calendar Year],mortgage[[#This Row],[Calendar Year]],monthly_mortgage_schedule[Interest With Extra Principal Payments])</f>
        <v>7012.5030846432101</v>
      </c>
      <c r="W40" s="4">
        <f>SUMIF(monthly_mortgage_schedule[Calendar Year],mortgage[[#This Row],[Calendar Year]],monthly_mortgage_schedule[Principal With Extra Principal Payments])</f>
        <v>30187.814860917682</v>
      </c>
      <c r="X40" s="4">
        <f>SUMIF(monthly_mortgage_schedule[Calendar Year],mortgage[[#This Row],[Calendar Year]],monthly_mortgage_schedule[Extra Payments Towards Equity])</f>
        <v>500</v>
      </c>
      <c r="Y40" s="4">
        <f>Y39*(1+'Data Entry'!$C$8)</f>
        <v>15788.692089012846</v>
      </c>
      <c r="Z40" s="4">
        <f>SUMIF(monthly_mortgage_schedule[Calendar Year],mortgage[[#This Row],[Calendar Year]],monthly_mortgage_schedule[PMI with Additional Payments])</f>
        <v>0</v>
      </c>
      <c r="AA40" s="4">
        <f>mortgage[[#This Row],[Interest]]+mortgage[[#This Row],[Property Taxes]]</f>
        <v>22801.195173656055</v>
      </c>
      <c r="AB40" s="4">
        <f>AB39*(1+'Data Entry'!$C$10)</f>
        <v>2170.9451622392671</v>
      </c>
      <c r="AC40" s="4">
        <f>AC39*(1+'Data Entry'!$C$9)</f>
        <v>11841.519066759636</v>
      </c>
      <c r="AD40" s="4">
        <f>SUMIF(nonroutine_maintenance_expenses[Year (YYYY)],mortgage[[#This Row],[Calendar Year]],nonroutine_maintenance_expenses[Amount ($)])</f>
        <v>0</v>
      </c>
      <c r="AE40" s="4">
        <f>AE39*(1+'Data Entry'!C$7)</f>
        <v>1323668.6882403085</v>
      </c>
      <c r="AF40" s="4">
        <f t="shared" si="2"/>
        <v>769997.09232871933</v>
      </c>
      <c r="AG40" s="4">
        <f>mortgage[[#This Row],[Principal]]+mortgage[[#This Row],[Extra Payment Towards Equity]]+AG39</f>
        <v>431437.80910838203</v>
      </c>
      <c r="AH40" s="4">
        <f t="shared" si="3"/>
        <v>497119.82158507954</v>
      </c>
      <c r="AI40" s="4">
        <f>AI39+mortgage[[#This Row],[Principal]]+mortgage[[#This Row],[Extra Payment Towards Equity]]</f>
        <v>491437.80910838203</v>
      </c>
      <c r="AJ40" s="180">
        <f>mortgage[[#This Row],[Cumulative Equity (EOY)]]/purchase_price</f>
        <v>0.81906301518063673</v>
      </c>
      <c r="AK40" s="180">
        <f>mortgage[[#This Row],[Loan Balance (BOY)]]/mortgage[[#This Row],[Est. Home Value (EOY)]]</f>
        <v>0.1052000451394338</v>
      </c>
      <c r="AL40" s="4">
        <f t="shared" si="0"/>
        <v>37200.317945560892</v>
      </c>
      <c r="AM40" s="4">
        <f>SUM(mortgage[[#This Row],[Property Taxes]],mortgage[[#This Row],[PMI]],mortgage[[#This Row],[Homeowners Insurance]],mortgage[[#This Row],[Routine Maintenance]],mortgage[[#This Row],[Non-Routine Maintenance]])</f>
        <v>29801.156318011748</v>
      </c>
      <c r="AN40" s="160">
        <f>mortgage[[#This Row],[Total Annual Indirect Housing Expenses]]+AN39</f>
        <v>575559.7002517361</v>
      </c>
    </row>
    <row r="41" spans="9:40" x14ac:dyDescent="0.25">
      <c r="I41">
        <v>25</v>
      </c>
      <c r="J41">
        <f t="shared" si="1"/>
        <v>2046</v>
      </c>
      <c r="K41" s="198">
        <f>IF(mortgage[[#This Row],[Calendar Year]]&gt;=$C$8,mortgage[[#This Row],[Calendar Year]],NA())</f>
        <v>2046</v>
      </c>
      <c r="L41" s="199">
        <f>IF((mortgage[[#This Row],[Calendar Year]]&gt;=$C$8)*(mortgage[[#This Row],[Calendar Year]]&lt;=$C$10),mortgage[[#This Row],[Calendar Year]],NA())</f>
        <v>2046</v>
      </c>
      <c r="M41" s="214">
        <f>IF((mortgage[[#This Row],[Calendar Year]]&gt;=$C$8)*(mortgage[[#This Row],[Calendar Year]]&lt;=$C$10),mortgage[[#This Row],[Loan Balance (BOY)]],NA())</f>
        <v>108562.19089161791</v>
      </c>
      <c r="N41" s="214">
        <f>IF((mortgage[[#This Row],[Begin Year (Range)]]&gt;=$C$8)*(mortgage[[#This Row],[Begin Year (Range)]]&lt;=$C$10),mortgage[[#This Row],[Cumulative Interest (EOY)]],NA())</f>
        <v>502340.87518399785</v>
      </c>
      <c r="O41" s="214">
        <f>IF((mortgage[[#This Row],[Year (Range)]]&gt;=$C$8)*(mortgage[[#This Row],[Year (Range)]]&lt;=$C$10),mortgage[[#This Row],[Cumulative Principal (EOY)]],NA())</f>
        <v>466917.07345502463</v>
      </c>
      <c r="P41" s="214">
        <f>IF((mortgage[[#This Row],[Year (Range)]]&gt;=$C$8)*(mortgage[[#This Row],[Year (Range)]]&lt;=$C$10),mortgage[[#This Row],[Cumulative Appreciation (EOY)]],NA())</f>
        <v>817946.99056022428</v>
      </c>
      <c r="Q41" s="214">
        <f>IF((mortgage[[#This Row],[Year (Range)]]&gt;=$C$8)*(mortgage[[#This Row],[Year (Range)]]&lt;=$C$10),mortgage[[#This Row],[Cumulative Equity (EOY)]],NA())</f>
        <v>526917.07345502463</v>
      </c>
      <c r="R41" s="214">
        <f>IF((mortgage[[#This Row],[Year (Range)]]&gt;=$C$8)*(mortgage[[#This Row],[Year (Range)]]&lt;=$C$10),mortgage[[#This Row],[Cumulative Total Indirect Housing Expenses]],NA())</f>
        <v>606254.89125928818</v>
      </c>
      <c r="S41" s="214">
        <f>IF((mortgage[[#This Row],[Year (Range)]]&gt;=$C$8)*(mortgage[[#This Row],[Year (Range)]]&lt;=$C$10),mortgage[[#This Row],[Total Annual Indirect Housing Expenses]],NA())</f>
        <v>30695.191007552105</v>
      </c>
      <c r="T41" s="214">
        <f>IF((mortgage[[#This Row],[Year (Range)]]&gt;=$C$8)*(mortgage[[#This Row],[Year (Range)]]&lt;=$C$10),mortgage[[#This Row],[Est. Home Value (EOY)]],NA())</f>
        <v>1369997.0923287193</v>
      </c>
      <c r="U41" s="164">
        <f>IF(U40&lt;W40,0,IF(I41&lt;='Data Entry'!$F$9,(U40-(W40+X40)),0))</f>
        <v>108562.19089161791</v>
      </c>
      <c r="V41" s="183">
        <f>SUMIF(monthly_mortgage_schedule[Calendar Year],mortgage[[#This Row],[Calendar Year]],monthly_mortgage_schedule[Interest With Extra Principal Payments])</f>
        <v>5221.0535989182845</v>
      </c>
      <c r="W41" s="4">
        <f>SUMIF(monthly_mortgage_schedule[Calendar Year],mortgage[[#This Row],[Calendar Year]],monthly_mortgage_schedule[Principal With Extra Principal Payments])</f>
        <v>31979.264346642609</v>
      </c>
      <c r="X41" s="4">
        <f>SUMIF(monthly_mortgage_schedule[Calendar Year],mortgage[[#This Row],[Calendar Year]],monthly_mortgage_schedule[Extra Payments Towards Equity])</f>
        <v>3500</v>
      </c>
      <c r="Y41" s="4">
        <f>Y40*(1+'Data Entry'!$C$8)</f>
        <v>16262.352851683232</v>
      </c>
      <c r="Z41" s="4">
        <f>SUMIF(monthly_mortgage_schedule[Calendar Year],mortgage[[#This Row],[Calendar Year]],monthly_mortgage_schedule[PMI with Additional Payments])</f>
        <v>0</v>
      </c>
      <c r="AA41" s="4">
        <f>mortgage[[#This Row],[Interest]]+mortgage[[#This Row],[Property Taxes]]</f>
        <v>21483.406450601517</v>
      </c>
      <c r="AB41" s="4">
        <f>AB40*(1+'Data Entry'!$C$10)</f>
        <v>2236.0735171064453</v>
      </c>
      <c r="AC41" s="4">
        <f>AC40*(1+'Data Entry'!$C$9)</f>
        <v>12196.764638762426</v>
      </c>
      <c r="AD41" s="4">
        <f>SUMIF(nonroutine_maintenance_expenses[Year (YYYY)],mortgage[[#This Row],[Calendar Year]],nonroutine_maintenance_expenses[Amount ($)])</f>
        <v>0</v>
      </c>
      <c r="AE41" s="4">
        <f>AE40*(1+'Data Entry'!C$7)</f>
        <v>1369997.0923287193</v>
      </c>
      <c r="AF41" s="4">
        <f t="shared" si="2"/>
        <v>817946.99056022428</v>
      </c>
      <c r="AG41" s="4">
        <f>mortgage[[#This Row],[Principal]]+mortgage[[#This Row],[Extra Payment Towards Equity]]+AG40</f>
        <v>466917.07345502463</v>
      </c>
      <c r="AH41" s="4">
        <f t="shared" si="3"/>
        <v>502340.87518399785</v>
      </c>
      <c r="AI41" s="4">
        <f>AI40+mortgage[[#This Row],[Principal]]+mortgage[[#This Row],[Extra Payment Towards Equity]]</f>
        <v>526917.07345502463</v>
      </c>
      <c r="AJ41" s="180">
        <f>mortgage[[#This Row],[Cumulative Equity (EOY)]]/purchase_price</f>
        <v>0.87819512242504105</v>
      </c>
      <c r="AK41" s="180">
        <f>mortgage[[#This Row],[Loan Balance (BOY)]]/mortgage[[#This Row],[Est. Home Value (EOY)]]</f>
        <v>7.9242643286989781E-2</v>
      </c>
      <c r="AL41" s="4">
        <f t="shared" si="0"/>
        <v>37200.317945560892</v>
      </c>
      <c r="AM41" s="4">
        <f>SUM(mortgage[[#This Row],[Property Taxes]],mortgage[[#This Row],[PMI]],mortgage[[#This Row],[Homeowners Insurance]],mortgage[[#This Row],[Routine Maintenance]],mortgage[[#This Row],[Non-Routine Maintenance]])</f>
        <v>30695.191007552105</v>
      </c>
      <c r="AN41" s="160">
        <f>mortgage[[#This Row],[Total Annual Indirect Housing Expenses]]+AN40</f>
        <v>606254.89125928818</v>
      </c>
    </row>
    <row r="42" spans="9:40" x14ac:dyDescent="0.25">
      <c r="I42">
        <v>26</v>
      </c>
      <c r="J42">
        <f t="shared" si="1"/>
        <v>2047</v>
      </c>
      <c r="K42" s="198">
        <f>IF(mortgage[[#This Row],[Calendar Year]]&gt;=$C$8,mortgage[[#This Row],[Calendar Year]],NA())</f>
        <v>2047</v>
      </c>
      <c r="L42" s="199">
        <f>IF((mortgage[[#This Row],[Calendar Year]]&gt;=$C$8)*(mortgage[[#This Row],[Calendar Year]]&lt;=$C$10),mortgage[[#This Row],[Calendar Year]],NA())</f>
        <v>2047</v>
      </c>
      <c r="M42" s="214">
        <f>IF((mortgage[[#This Row],[Calendar Year]]&gt;=$C$8)*(mortgage[[#This Row],[Calendar Year]]&lt;=$C$10),mortgage[[#This Row],[Loan Balance (BOY)]],NA())</f>
        <v>73082.9265449753</v>
      </c>
      <c r="N42" s="214">
        <f>IF((mortgage[[#This Row],[Begin Year (Range)]]&gt;=$C$8)*(mortgage[[#This Row],[Begin Year (Range)]]&lt;=$C$10),mortgage[[#This Row],[Cumulative Interest (EOY)]],NA())</f>
        <v>505570.39705418801</v>
      </c>
      <c r="O42" s="214">
        <f>IF((mortgage[[#This Row],[Year (Range)]]&gt;=$C$8)*(mortgage[[#This Row],[Year (Range)]]&lt;=$C$10),mortgage[[#This Row],[Cumulative Principal (EOY)]],NA())</f>
        <v>500887.86953039537</v>
      </c>
      <c r="P42" s="214">
        <f>IF((mortgage[[#This Row],[Year (Range)]]&gt;=$C$8)*(mortgage[[#This Row],[Year (Range)]]&lt;=$C$10),mortgage[[#This Row],[Cumulative Appreciation (EOY)]],NA())</f>
        <v>867575.13522983203</v>
      </c>
      <c r="Q42" s="214">
        <f>IF((mortgage[[#This Row],[Year (Range)]]&gt;=$C$8)*(mortgage[[#This Row],[Year (Range)]]&lt;=$C$10),mortgage[[#This Row],[Cumulative Equity (EOY)]],NA())</f>
        <v>560887.86953039537</v>
      </c>
      <c r="R42" s="214">
        <f>IF((mortgage[[#This Row],[Year (Range)]]&gt;=$C$8)*(mortgage[[#This Row],[Year (Range)]]&lt;=$C$10),mortgage[[#This Row],[Cumulative Total Indirect Housing Expenses]],NA())</f>
        <v>637870.93799706688</v>
      </c>
      <c r="S42" s="214">
        <f>IF((mortgage[[#This Row],[Year (Range)]]&gt;=$C$8)*(mortgage[[#This Row],[Year (Range)]]&lt;=$C$10),mortgage[[#This Row],[Total Annual Indirect Housing Expenses]],NA())</f>
        <v>31616.04673777867</v>
      </c>
      <c r="T42" s="214">
        <f>IF((mortgage[[#This Row],[Year (Range)]]&gt;=$C$8)*(mortgage[[#This Row],[Year (Range)]]&lt;=$C$10),mortgage[[#This Row],[Est. Home Value (EOY)]],NA())</f>
        <v>1417946.9905602243</v>
      </c>
      <c r="U42" s="164">
        <f>IF(U41&lt;W41,0,IF(I42&lt;='Data Entry'!$F$9,(U41-(W41+X41)),0))</f>
        <v>73082.9265449753</v>
      </c>
      <c r="V42" s="183">
        <f>SUMIF(monthly_mortgage_schedule[Calendar Year],mortgage[[#This Row],[Calendar Year]],monthly_mortgage_schedule[Interest With Extra Principal Payments])</f>
        <v>3229.5218701901417</v>
      </c>
      <c r="W42" s="4">
        <f>SUMIF(monthly_mortgage_schedule[Calendar Year],mortgage[[#This Row],[Calendar Year]],monthly_mortgage_schedule[Principal With Extra Principal Payments])</f>
        <v>33970.796075370759</v>
      </c>
      <c r="X42" s="4">
        <f>SUMIF(monthly_mortgage_schedule[Calendar Year],mortgage[[#This Row],[Calendar Year]],monthly_mortgage_schedule[Extra Payments Towards Equity])</f>
        <v>0</v>
      </c>
      <c r="Y42" s="4">
        <f>Y41*(1+'Data Entry'!$C$8)</f>
        <v>16750.22343723373</v>
      </c>
      <c r="Z42" s="4">
        <f>SUMIF(monthly_mortgage_schedule[Calendar Year],mortgage[[#This Row],[Calendar Year]],monthly_mortgage_schedule[PMI with Additional Payments])</f>
        <v>0</v>
      </c>
      <c r="AA42" s="4">
        <f>mortgage[[#This Row],[Interest]]+mortgage[[#This Row],[Property Taxes]]</f>
        <v>19979.745307423873</v>
      </c>
      <c r="AB42" s="4">
        <f>AB41*(1+'Data Entry'!$C$10)</f>
        <v>2303.1557226196387</v>
      </c>
      <c r="AC42" s="4">
        <f>AC41*(1+'Data Entry'!$C$9)</f>
        <v>12562.6675779253</v>
      </c>
      <c r="AD42" s="4">
        <f>SUMIF(nonroutine_maintenance_expenses[Year (YYYY)],mortgage[[#This Row],[Calendar Year]],nonroutine_maintenance_expenses[Amount ($)])</f>
        <v>0</v>
      </c>
      <c r="AE42" s="4">
        <f>AE41*(1+'Data Entry'!C$7)</f>
        <v>1417946.9905602243</v>
      </c>
      <c r="AF42" s="4">
        <f t="shared" si="2"/>
        <v>867575.13522983203</v>
      </c>
      <c r="AG42" s="4">
        <f>mortgage[[#This Row],[Principal]]+mortgage[[#This Row],[Extra Payment Towards Equity]]+AG41</f>
        <v>500887.86953039537</v>
      </c>
      <c r="AH42" s="4">
        <f t="shared" si="3"/>
        <v>505570.39705418801</v>
      </c>
      <c r="AI42" s="4">
        <f>AI41+mortgage[[#This Row],[Principal]]+mortgage[[#This Row],[Extra Payment Towards Equity]]</f>
        <v>560887.86953039537</v>
      </c>
      <c r="AJ42" s="180">
        <f>mortgage[[#This Row],[Cumulative Equity (EOY)]]/purchase_price</f>
        <v>0.9348131158839923</v>
      </c>
      <c r="AK42" s="180">
        <f>mortgage[[#This Row],[Loan Balance (BOY)]]/mortgage[[#This Row],[Est. Home Value (EOY)]]</f>
        <v>5.1541367224243392E-2</v>
      </c>
      <c r="AL42" s="4">
        <f t="shared" si="0"/>
        <v>37200.317945560899</v>
      </c>
      <c r="AM42" s="4">
        <f>SUM(mortgage[[#This Row],[Property Taxes]],mortgage[[#This Row],[PMI]],mortgage[[#This Row],[Homeowners Insurance]],mortgage[[#This Row],[Routine Maintenance]],mortgage[[#This Row],[Non-Routine Maintenance]])</f>
        <v>31616.04673777867</v>
      </c>
      <c r="AN42" s="160">
        <f>mortgage[[#This Row],[Total Annual Indirect Housing Expenses]]+AN41</f>
        <v>637870.93799706688</v>
      </c>
    </row>
    <row r="43" spans="9:40" x14ac:dyDescent="0.25">
      <c r="I43">
        <v>27</v>
      </c>
      <c r="J43">
        <f t="shared" si="1"/>
        <v>2048</v>
      </c>
      <c r="K43" s="198">
        <f>IF(mortgage[[#This Row],[Calendar Year]]&gt;=$C$8,mortgage[[#This Row],[Calendar Year]],NA())</f>
        <v>2048</v>
      </c>
      <c r="L43" s="199">
        <f>IF((mortgage[[#This Row],[Calendar Year]]&gt;=$C$8)*(mortgage[[#This Row],[Calendar Year]]&lt;=$C$10),mortgage[[#This Row],[Calendar Year]],NA())</f>
        <v>2048</v>
      </c>
      <c r="M43" s="214">
        <f>IF((mortgage[[#This Row],[Calendar Year]]&gt;=$C$8)*(mortgage[[#This Row],[Calendar Year]]&lt;=$C$10),mortgage[[#This Row],[Loan Balance (BOY)]],NA())</f>
        <v>39112.130469604541</v>
      </c>
      <c r="N43" s="214">
        <f>IF((mortgage[[#This Row],[Begin Year (Range)]]&gt;=$C$8)*(mortgage[[#This Row],[Begin Year (Range)]]&lt;=$C$10),mortgage[[#This Row],[Cumulative Interest (EOY)]],NA())</f>
        <v>506847.95941491699</v>
      </c>
      <c r="O43" s="214">
        <f>IF((mortgage[[#This Row],[Year (Range)]]&gt;=$C$8)*(mortgage[[#This Row],[Year (Range)]]&lt;=$C$10),mortgage[[#This Row],[Cumulative Principal (EOY)]],NA())</f>
        <v>536810.6251152273</v>
      </c>
      <c r="P43" s="214">
        <f>IF((mortgage[[#This Row],[Year (Range)]]&gt;=$C$8)*(mortgage[[#This Row],[Year (Range)]]&lt;=$C$10),mortgage[[#This Row],[Cumulative Appreciation (EOY)]],NA())</f>
        <v>918940.26496287598</v>
      </c>
      <c r="Q43" s="214">
        <f>IF((mortgage[[#This Row],[Year (Range)]]&gt;=$C$8)*(mortgage[[#This Row],[Year (Range)]]&lt;=$C$10),mortgage[[#This Row],[Cumulative Equity (EOY)]],NA())</f>
        <v>596810.6251152273</v>
      </c>
      <c r="R43" s="214">
        <f>IF((mortgage[[#This Row],[Year (Range)]]&gt;=$C$8)*(mortgage[[#This Row],[Year (Range)]]&lt;=$C$10),mortgage[[#This Row],[Cumulative Total Indirect Housing Expenses]],NA())</f>
        <v>670435.46613697894</v>
      </c>
      <c r="S43" s="214">
        <f>IF((mortgage[[#This Row],[Year (Range)]]&gt;=$C$8)*(mortgage[[#This Row],[Year (Range)]]&lt;=$C$10),mortgage[[#This Row],[Total Annual Indirect Housing Expenses]],NA())</f>
        <v>32564.528139912029</v>
      </c>
      <c r="T43" s="214">
        <f>IF((mortgage[[#This Row],[Year (Range)]]&gt;=$C$8)*(mortgage[[#This Row],[Year (Range)]]&lt;=$C$10),mortgage[[#This Row],[Est. Home Value (EOY)]],NA())</f>
        <v>1467575.135229832</v>
      </c>
      <c r="U43" s="164">
        <f>IF(U42&lt;W42,0,IF(I43&lt;='Data Entry'!$F$9,(U42-(W42+X42)),0))</f>
        <v>39112.130469604541</v>
      </c>
      <c r="V43" s="183">
        <f>SUMIF(monthly_mortgage_schedule[Calendar Year],mortgage[[#This Row],[Calendar Year]],monthly_mortgage_schedule[Interest With Extra Principal Payments])</f>
        <v>1277.5623607289913</v>
      </c>
      <c r="W43" s="4">
        <f>SUMIF(monthly_mortgage_schedule[Calendar Year],mortgage[[#This Row],[Calendar Year]],monthly_mortgage_schedule[Principal With Extra Principal Payments])</f>
        <v>35922.755584831903</v>
      </c>
      <c r="X43" s="4">
        <f>SUMIF(monthly_mortgage_schedule[Calendar Year],mortgage[[#This Row],[Calendar Year]],monthly_mortgage_schedule[Extra Payments Towards Equity])</f>
        <v>0</v>
      </c>
      <c r="Y43" s="4">
        <f>Y42*(1+'Data Entry'!$C$8)</f>
        <v>17252.730140350741</v>
      </c>
      <c r="Z43" s="4">
        <f>SUMIF(monthly_mortgage_schedule[Calendar Year],mortgage[[#This Row],[Calendar Year]],monthly_mortgage_schedule[PMI with Additional Payments])</f>
        <v>0</v>
      </c>
      <c r="AA43" s="4">
        <f>mortgage[[#This Row],[Interest]]+mortgage[[#This Row],[Property Taxes]]</f>
        <v>18530.292501079733</v>
      </c>
      <c r="AB43" s="4">
        <f>AB42*(1+'Data Entry'!$C$10)</f>
        <v>2372.250394298228</v>
      </c>
      <c r="AC43" s="4">
        <f>AC42*(1+'Data Entry'!$C$9)</f>
        <v>12939.54760526306</v>
      </c>
      <c r="AD43" s="4">
        <f>SUMIF(nonroutine_maintenance_expenses[Year (YYYY)],mortgage[[#This Row],[Calendar Year]],nonroutine_maintenance_expenses[Amount ($)])</f>
        <v>0</v>
      </c>
      <c r="AE43" s="4">
        <f>AE42*(1+'Data Entry'!C$7)</f>
        <v>1467575.135229832</v>
      </c>
      <c r="AF43" s="4">
        <f t="shared" si="2"/>
        <v>918940.26496287598</v>
      </c>
      <c r="AG43" s="4">
        <f>mortgage[[#This Row],[Principal]]+mortgage[[#This Row],[Extra Payment Towards Equity]]+AG42</f>
        <v>536810.6251152273</v>
      </c>
      <c r="AH43" s="4">
        <f t="shared" si="3"/>
        <v>506847.95941491699</v>
      </c>
      <c r="AI43" s="4">
        <f>AI42+mortgage[[#This Row],[Principal]]+mortgage[[#This Row],[Extra Payment Towards Equity]]</f>
        <v>596810.6251152273</v>
      </c>
      <c r="AJ43" s="180">
        <f>mortgage[[#This Row],[Cumulative Equity (EOY)]]/purchase_price</f>
        <v>0.99468437519204556</v>
      </c>
      <c r="AK43" s="180">
        <f>mortgage[[#This Row],[Loan Balance (BOY)]]/mortgage[[#This Row],[Est. Home Value (EOY)]]</f>
        <v>2.6650853868193481E-2</v>
      </c>
      <c r="AL43" s="4">
        <f t="shared" si="0"/>
        <v>37200.317945560892</v>
      </c>
      <c r="AM43" s="4">
        <f>SUM(mortgage[[#This Row],[Property Taxes]],mortgage[[#This Row],[PMI]],mortgage[[#This Row],[Homeowners Insurance]],mortgage[[#This Row],[Routine Maintenance]],mortgage[[#This Row],[Non-Routine Maintenance]])</f>
        <v>32564.528139912029</v>
      </c>
      <c r="AN43" s="160">
        <f>mortgage[[#This Row],[Total Annual Indirect Housing Expenses]]+AN42</f>
        <v>670435.46613697894</v>
      </c>
    </row>
    <row r="44" spans="9:40" x14ac:dyDescent="0.25">
      <c r="I44">
        <v>28</v>
      </c>
      <c r="J44">
        <f t="shared" si="1"/>
        <v>2049</v>
      </c>
      <c r="K44" s="198">
        <f>IF(mortgage[[#This Row],[Calendar Year]]&gt;=$C$8,mortgage[[#This Row],[Calendar Year]],NA())</f>
        <v>2049</v>
      </c>
      <c r="L44" s="199">
        <f>IF((mortgage[[#This Row],[Calendar Year]]&gt;=$C$8)*(mortgage[[#This Row],[Calendar Year]]&lt;=$C$10),mortgage[[#This Row],[Calendar Year]],NA())</f>
        <v>2049</v>
      </c>
      <c r="M44" s="214">
        <f>IF((mortgage[[#This Row],[Calendar Year]]&gt;=$C$8)*(mortgage[[#This Row],[Calendar Year]]&lt;=$C$10),mortgage[[#This Row],[Loan Balance (BOY)]],NA())</f>
        <v>3189.3748847726383</v>
      </c>
      <c r="N44" s="214">
        <f>IF((mortgage[[#This Row],[Begin Year (Range)]]&gt;=$C$8)*(mortgage[[#This Row],[Begin Year (Range)]]&lt;=$C$10),mortgage[[#This Row],[Cumulative Interest (EOY)]],NA())</f>
        <v>506863.32958102686</v>
      </c>
      <c r="O44" s="214">
        <f>IF((mortgage[[#This Row],[Year (Range)]]&gt;=$C$8)*(mortgage[[#This Row],[Year (Range)]]&lt;=$C$10),mortgage[[#This Row],[Cumulative Principal (EOY)]],NA())</f>
        <v>542995.30794004421</v>
      </c>
      <c r="P44" s="214">
        <f>IF((mortgage[[#This Row],[Year (Range)]]&gt;=$C$8)*(mortgage[[#This Row],[Year (Range)]]&lt;=$C$10),mortgage[[#This Row],[Cumulative Appreciation (EOY)]],NA())</f>
        <v>972103.17423657654</v>
      </c>
      <c r="Q44" s="214">
        <f>IF((mortgage[[#This Row],[Year (Range)]]&gt;=$C$8)*(mortgage[[#This Row],[Year (Range)]]&lt;=$C$10),mortgage[[#This Row],[Cumulative Equity (EOY)]],NA())</f>
        <v>602995.30794004421</v>
      </c>
      <c r="R44" s="214">
        <f>IF((mortgage[[#This Row],[Year (Range)]]&gt;=$C$8)*(mortgage[[#This Row],[Year (Range)]]&lt;=$C$10),mortgage[[#This Row],[Cumulative Total Indirect Housing Expenses]],NA())</f>
        <v>703976.93012108828</v>
      </c>
      <c r="S44" s="214">
        <f>IF((mortgage[[#This Row],[Year (Range)]]&gt;=$C$8)*(mortgage[[#This Row],[Year (Range)]]&lt;=$C$10),mortgage[[#This Row],[Total Annual Indirect Housing Expenses]],NA())</f>
        <v>33541.463984109389</v>
      </c>
      <c r="T44" s="214">
        <f>IF((mortgage[[#This Row],[Year (Range)]]&gt;=$C$8)*(mortgage[[#This Row],[Year (Range)]]&lt;=$C$10),mortgage[[#This Row],[Est. Home Value (EOY)]],NA())</f>
        <v>1518940.264962876</v>
      </c>
      <c r="U44" s="164">
        <f>IF(U43&lt;W43,0,IF(I44&lt;='Data Entry'!$F$9,(U43-(W43+X43)),0))</f>
        <v>3189.3748847726383</v>
      </c>
      <c r="V44" s="183">
        <f>SUMIF(monthly_mortgage_schedule[Calendar Year],mortgage[[#This Row],[Calendar Year]],monthly_mortgage_schedule[Interest With Extra Principal Payments])</f>
        <v>15.370166109871777</v>
      </c>
      <c r="W44" s="4">
        <f>SUMIF(monthly_mortgage_schedule[Calendar Year],mortgage[[#This Row],[Calendar Year]],monthly_mortgage_schedule[Principal With Extra Principal Payments])</f>
        <v>6184.682824816944</v>
      </c>
      <c r="X44" s="4">
        <f>SUMIF(monthly_mortgage_schedule[Calendar Year],mortgage[[#This Row],[Calendar Year]],monthly_mortgage_schedule[Extra Payments Towards Equity])</f>
        <v>0</v>
      </c>
      <c r="Y44" s="4">
        <f>Y43*(1+'Data Entry'!$C$8)</f>
        <v>17770.312044561262</v>
      </c>
      <c r="Z44" s="4">
        <f>SUMIF(monthly_mortgage_schedule[Calendar Year],mortgage[[#This Row],[Calendar Year]],monthly_mortgage_schedule[PMI with Additional Payments])</f>
        <v>0</v>
      </c>
      <c r="AA44" s="4">
        <f>mortgage[[#This Row],[Interest]]+mortgage[[#This Row],[Property Taxes]]</f>
        <v>17785.682210671133</v>
      </c>
      <c r="AB44" s="4">
        <f>AB43*(1+'Data Entry'!$C$10)</f>
        <v>2443.4179061271748</v>
      </c>
      <c r="AC44" s="4">
        <f>AC43*(1+'Data Entry'!$C$9)</f>
        <v>13327.734033420953</v>
      </c>
      <c r="AD44" s="4">
        <f>SUMIF(nonroutine_maintenance_expenses[Year (YYYY)],mortgage[[#This Row],[Calendar Year]],nonroutine_maintenance_expenses[Amount ($)])</f>
        <v>0</v>
      </c>
      <c r="AE44" s="4">
        <f>AE43*(1+'Data Entry'!C$7)</f>
        <v>1518940.264962876</v>
      </c>
      <c r="AF44" s="4">
        <f t="shared" si="2"/>
        <v>972103.17423657654</v>
      </c>
      <c r="AG44" s="4">
        <f>mortgage[[#This Row],[Principal]]+mortgage[[#This Row],[Extra Payment Towards Equity]]+AG43</f>
        <v>542995.30794004421</v>
      </c>
      <c r="AH44" s="4">
        <f t="shared" si="3"/>
        <v>506863.32958102686</v>
      </c>
      <c r="AI44" s="4">
        <f>AI43+mortgage[[#This Row],[Principal]]+mortgage[[#This Row],[Extra Payment Towards Equity]]</f>
        <v>602995.30794004421</v>
      </c>
      <c r="AJ44" s="180">
        <f>mortgage[[#This Row],[Cumulative Equity (EOY)]]/purchase_price</f>
        <v>1.0049921799000736</v>
      </c>
      <c r="AK44" s="180">
        <f>mortgage[[#This Row],[Loan Balance (BOY)]]/mortgage[[#This Row],[Est. Home Value (EOY)]]</f>
        <v>2.0997368746759697E-3</v>
      </c>
      <c r="AL44" s="4">
        <f t="shared" si="0"/>
        <v>6200.0529909268162</v>
      </c>
      <c r="AM44" s="4">
        <f>SUM(mortgage[[#This Row],[Property Taxes]],mortgage[[#This Row],[PMI]],mortgage[[#This Row],[Homeowners Insurance]],mortgage[[#This Row],[Routine Maintenance]],mortgage[[#This Row],[Non-Routine Maintenance]])</f>
        <v>33541.463984109389</v>
      </c>
      <c r="AN44" s="160">
        <f>mortgage[[#This Row],[Total Annual Indirect Housing Expenses]]+AN43</f>
        <v>703976.93012108828</v>
      </c>
    </row>
    <row r="45" spans="9:40" x14ac:dyDescent="0.25">
      <c r="I45">
        <v>29</v>
      </c>
      <c r="J45">
        <f t="shared" si="1"/>
        <v>2050</v>
      </c>
      <c r="K45" s="198">
        <f>IF(mortgage[[#This Row],[Calendar Year]]&gt;=$C$8,mortgage[[#This Row],[Calendar Year]],NA())</f>
        <v>2050</v>
      </c>
      <c r="L45" s="199" t="e">
        <f>IF((mortgage[[#This Row],[Calendar Year]]&gt;=$C$8)*(mortgage[[#This Row],[Calendar Year]]&lt;=$C$10),mortgage[[#This Row],[Calendar Year]],NA())</f>
        <v>#N/A</v>
      </c>
      <c r="M45" s="214" t="e">
        <f>IF((mortgage[[#This Row],[Calendar Year]]&gt;=$C$8)*(mortgage[[#This Row],[Calendar Year]]&lt;=$C$10),mortgage[[#This Row],[Loan Balance (BOY)]],NA())</f>
        <v>#N/A</v>
      </c>
      <c r="N45" s="214" t="e">
        <f>IF((mortgage[[#This Row],[Begin Year (Range)]]&gt;=$C$8)*(mortgage[[#This Row],[Begin Year (Range)]]&lt;=$C$10),mortgage[[#This Row],[Cumulative Interest (EOY)]],NA())</f>
        <v>#N/A</v>
      </c>
      <c r="O45" s="214" t="e">
        <f>IF((mortgage[[#This Row],[Year (Range)]]&gt;=$C$8)*(mortgage[[#This Row],[Year (Range)]]&lt;=$C$10),mortgage[[#This Row],[Cumulative Principal (EOY)]],NA())</f>
        <v>#N/A</v>
      </c>
      <c r="P45" s="214" t="e">
        <f>IF((mortgage[[#This Row],[Year (Range)]]&gt;=$C$8)*(mortgage[[#This Row],[Year (Range)]]&lt;=$C$10),mortgage[[#This Row],[Cumulative Appreciation (EOY)]],NA())</f>
        <v>#N/A</v>
      </c>
      <c r="Q45" s="214" t="e">
        <f>IF((mortgage[[#This Row],[Year (Range)]]&gt;=$C$8)*(mortgage[[#This Row],[Year (Range)]]&lt;=$C$10),mortgage[[#This Row],[Cumulative Equity (EOY)]],NA())</f>
        <v>#N/A</v>
      </c>
      <c r="R45" s="214" t="e">
        <f>IF((mortgage[[#This Row],[Year (Range)]]&gt;=$C$8)*(mortgage[[#This Row],[Year (Range)]]&lt;=$C$10),mortgage[[#This Row],[Cumulative Total Indirect Housing Expenses]],NA())</f>
        <v>#N/A</v>
      </c>
      <c r="S45" s="214" t="e">
        <f>IF((mortgage[[#This Row],[Year (Range)]]&gt;=$C$8)*(mortgage[[#This Row],[Year (Range)]]&lt;=$C$10),mortgage[[#This Row],[Total Annual Indirect Housing Expenses]],NA())</f>
        <v>#N/A</v>
      </c>
      <c r="T45" s="214" t="e">
        <f>IF((mortgage[[#This Row],[Year (Range)]]&gt;=$C$8)*(mortgage[[#This Row],[Year (Range)]]&lt;=$C$10),mortgage[[#This Row],[Est. Home Value (EOY)]],NA())</f>
        <v>#N/A</v>
      </c>
      <c r="U45" s="164">
        <f>IF(U44&lt;W44,0,IF(I45&lt;='Data Entry'!$F$9,(U44-(W44+X44)),0))</f>
        <v>0</v>
      </c>
      <c r="V45" s="183">
        <f>SUMIF(monthly_mortgage_schedule[Calendar Year],mortgage[[#This Row],[Calendar Year]],monthly_mortgage_schedule[Interest With Extra Principal Payments])</f>
        <v>0</v>
      </c>
      <c r="W45" s="4">
        <f>SUMIF(monthly_mortgage_schedule[Calendar Year],mortgage[[#This Row],[Calendar Year]],monthly_mortgage_schedule[Principal With Extra Principal Payments])</f>
        <v>0</v>
      </c>
      <c r="X45" s="4">
        <f>SUMIF(monthly_mortgage_schedule[Calendar Year],mortgage[[#This Row],[Calendar Year]],monthly_mortgage_schedule[Extra Payments Towards Equity])</f>
        <v>0</v>
      </c>
      <c r="Y45" s="4">
        <f>Y44*(1+'Data Entry'!$C$8)</f>
        <v>18303.421405898102</v>
      </c>
      <c r="Z45" s="4">
        <f>SUMIF(monthly_mortgage_schedule[Calendar Year],mortgage[[#This Row],[Calendar Year]],monthly_mortgage_schedule[PMI with Additional Payments])</f>
        <v>0</v>
      </c>
      <c r="AA45" s="4">
        <f>mortgage[[#This Row],[Interest]]+mortgage[[#This Row],[Property Taxes]]</f>
        <v>18303.421405898102</v>
      </c>
      <c r="AB45" s="4">
        <f>AB44*(1+'Data Entry'!$C$10)</f>
        <v>2516.72044331099</v>
      </c>
      <c r="AC45" s="4">
        <f>AC44*(1+'Data Entry'!$C$9)</f>
        <v>13727.566054423582</v>
      </c>
      <c r="AD45" s="4">
        <f>SUMIF(nonroutine_maintenance_expenses[Year (YYYY)],mortgage[[#This Row],[Calendar Year]],nonroutine_maintenance_expenses[Amount ($)])</f>
        <v>0</v>
      </c>
      <c r="AE45" s="4">
        <f>AE44*(1+'Data Entry'!C$7)</f>
        <v>1572103.1742365765</v>
      </c>
      <c r="AF45" s="4">
        <f t="shared" si="2"/>
        <v>1027126.7853348565</v>
      </c>
      <c r="AG45" s="4">
        <f>mortgage[[#This Row],[Principal]]+mortgage[[#This Row],[Extra Payment Towards Equity]]+AG44</f>
        <v>542995.30794004421</v>
      </c>
      <c r="AH45" s="4">
        <f t="shared" si="3"/>
        <v>506863.32958102686</v>
      </c>
      <c r="AI45" s="4">
        <f>AI44+mortgage[[#This Row],[Principal]]+mortgage[[#This Row],[Extra Payment Towards Equity]]</f>
        <v>602995.30794004421</v>
      </c>
      <c r="AJ45" s="180">
        <f>mortgage[[#This Row],[Cumulative Equity (EOY)]]/purchase_price</f>
        <v>1.0049921799000736</v>
      </c>
      <c r="AK45" s="180">
        <f>mortgage[[#This Row],[Loan Balance (BOY)]]/mortgage[[#This Row],[Est. Home Value (EOY)]]</f>
        <v>0</v>
      </c>
      <c r="AL45" s="4">
        <f t="shared" si="0"/>
        <v>0</v>
      </c>
      <c r="AM45" s="4">
        <f>SUM(mortgage[[#This Row],[Property Taxes]],mortgage[[#This Row],[PMI]],mortgage[[#This Row],[Homeowners Insurance]],mortgage[[#This Row],[Routine Maintenance]],mortgage[[#This Row],[Non-Routine Maintenance]])</f>
        <v>34547.707903632676</v>
      </c>
      <c r="AN45" s="160">
        <f>mortgage[[#This Row],[Total Annual Indirect Housing Expenses]]+AN44</f>
        <v>738524.63802472095</v>
      </c>
    </row>
    <row r="46" spans="9:40" x14ac:dyDescent="0.25">
      <c r="I46">
        <v>30</v>
      </c>
      <c r="J46">
        <f t="shared" si="1"/>
        <v>2051</v>
      </c>
      <c r="K46" s="198">
        <f>IF(mortgage[[#This Row],[Calendar Year]]&gt;=$C$8,mortgage[[#This Row],[Calendar Year]],NA())</f>
        <v>2051</v>
      </c>
      <c r="L46" s="199" t="e">
        <f>IF((mortgage[[#This Row],[Calendar Year]]&gt;=$C$8)*(mortgage[[#This Row],[Calendar Year]]&lt;=$C$10),mortgage[[#This Row],[Calendar Year]],NA())</f>
        <v>#N/A</v>
      </c>
      <c r="M46" s="214" t="e">
        <f>IF((mortgage[[#This Row],[Calendar Year]]&gt;=$C$8)*(mortgage[[#This Row],[Calendar Year]]&lt;=$C$10),mortgage[[#This Row],[Loan Balance (BOY)]],NA())</f>
        <v>#N/A</v>
      </c>
      <c r="N46" s="214" t="e">
        <f>IF((mortgage[[#This Row],[Begin Year (Range)]]&gt;=$C$8)*(mortgage[[#This Row],[Begin Year (Range)]]&lt;=$C$10),mortgage[[#This Row],[Cumulative Interest (EOY)]],NA())</f>
        <v>#N/A</v>
      </c>
      <c r="O46" s="214" t="e">
        <f>IF((mortgage[[#This Row],[Year (Range)]]&gt;=$C$8)*(mortgage[[#This Row],[Year (Range)]]&lt;=$C$10),mortgage[[#This Row],[Cumulative Principal (EOY)]],NA())</f>
        <v>#N/A</v>
      </c>
      <c r="P46" s="214" t="e">
        <f>IF((mortgage[[#This Row],[Year (Range)]]&gt;=$C$8)*(mortgage[[#This Row],[Year (Range)]]&lt;=$C$10),mortgage[[#This Row],[Cumulative Appreciation (EOY)]],NA())</f>
        <v>#N/A</v>
      </c>
      <c r="Q46" s="214" t="e">
        <f>IF((mortgage[[#This Row],[Year (Range)]]&gt;=$C$8)*(mortgage[[#This Row],[Year (Range)]]&lt;=$C$10),mortgage[[#This Row],[Cumulative Equity (EOY)]],NA())</f>
        <v>#N/A</v>
      </c>
      <c r="R46" s="214" t="e">
        <f>IF((mortgage[[#This Row],[Year (Range)]]&gt;=$C$8)*(mortgage[[#This Row],[Year (Range)]]&lt;=$C$10),mortgage[[#This Row],[Cumulative Total Indirect Housing Expenses]],NA())</f>
        <v>#N/A</v>
      </c>
      <c r="S46" s="214" t="e">
        <f>IF((mortgage[[#This Row],[Year (Range)]]&gt;=$C$8)*(mortgage[[#This Row],[Year (Range)]]&lt;=$C$10),mortgage[[#This Row],[Total Annual Indirect Housing Expenses]],NA())</f>
        <v>#N/A</v>
      </c>
      <c r="T46" s="214" t="e">
        <f>IF((mortgage[[#This Row],[Year (Range)]]&gt;=$C$8)*(mortgage[[#This Row],[Year (Range)]]&lt;=$C$10),mortgage[[#This Row],[Est. Home Value (EOY)]],NA())</f>
        <v>#N/A</v>
      </c>
      <c r="U46" s="164">
        <f>IF(U45&lt;W45,0,IF(I46&lt;='Data Entry'!$F$9,(U45-(W45+X45)),0))</f>
        <v>0</v>
      </c>
      <c r="V46" s="183">
        <f>SUMIF(monthly_mortgage_schedule[Calendar Year],mortgage[[#This Row],[Calendar Year]],monthly_mortgage_schedule[Interest With Extra Principal Payments])</f>
        <v>0</v>
      </c>
      <c r="W46" s="4">
        <f>SUMIF(monthly_mortgage_schedule[Calendar Year],mortgage[[#This Row],[Calendar Year]],monthly_mortgage_schedule[Principal With Extra Principal Payments])</f>
        <v>0</v>
      </c>
      <c r="X46" s="4">
        <f>SUMIF(monthly_mortgage_schedule[Calendar Year],mortgage[[#This Row],[Calendar Year]],monthly_mortgage_schedule[Extra Payments Towards Equity])</f>
        <v>0</v>
      </c>
      <c r="Y46" s="4">
        <f>Y45*(1+'Data Entry'!$C$8)</f>
        <v>18852.524048075044</v>
      </c>
      <c r="Z46" s="4">
        <f>SUMIF(monthly_mortgage_schedule[Calendar Year],mortgage[[#This Row],[Calendar Year]],monthly_mortgage_schedule[PMI with Additional Payments])</f>
        <v>0</v>
      </c>
      <c r="AA46" s="4">
        <f>mortgage[[#This Row],[Interest]]+mortgage[[#This Row],[Property Taxes]]</f>
        <v>18852.524048075044</v>
      </c>
      <c r="AB46" s="4">
        <f>AB45*(1+'Data Entry'!$C$10)</f>
        <v>2592.2220566103197</v>
      </c>
      <c r="AC46" s="4">
        <f>AC45*(1+'Data Entry'!$C$9)</f>
        <v>14139.39303605629</v>
      </c>
      <c r="AD46" s="4">
        <f>SUMIF(nonroutine_maintenance_expenses[Year (YYYY)],mortgage[[#This Row],[Calendar Year]],nonroutine_maintenance_expenses[Amount ($)])</f>
        <v>0</v>
      </c>
      <c r="AE46" s="4">
        <f>AE45*(1+'Data Entry'!C$7)</f>
        <v>1627126.7853348565</v>
      </c>
      <c r="AF46" s="4">
        <f t="shared" si="2"/>
        <v>1084076.2228215763</v>
      </c>
      <c r="AG46" s="4">
        <f>mortgage[[#This Row],[Principal]]+mortgage[[#This Row],[Extra Payment Towards Equity]]+AG45</f>
        <v>542995.30794004421</v>
      </c>
      <c r="AH46" s="4">
        <f t="shared" si="3"/>
        <v>506863.32958102686</v>
      </c>
      <c r="AI46" s="4">
        <f>AI45+mortgage[[#This Row],[Principal]]+mortgage[[#This Row],[Extra Payment Towards Equity]]</f>
        <v>602995.30794004421</v>
      </c>
      <c r="AJ46" s="180">
        <f>mortgage[[#This Row],[Cumulative Equity (EOY)]]/purchase_price</f>
        <v>1.0049921799000736</v>
      </c>
      <c r="AK46" s="180">
        <f>mortgage[[#This Row],[Loan Balance (BOY)]]/mortgage[[#This Row],[Est. Home Value (EOY)]]</f>
        <v>0</v>
      </c>
      <c r="AL46" s="4">
        <f t="shared" si="0"/>
        <v>0</v>
      </c>
      <c r="AM46" s="4">
        <f>SUM(mortgage[[#This Row],[Property Taxes]],mortgage[[#This Row],[PMI]],mortgage[[#This Row],[Homeowners Insurance]],mortgage[[#This Row],[Routine Maintenance]],mortgage[[#This Row],[Non-Routine Maintenance]])</f>
        <v>35584.139140741652</v>
      </c>
      <c r="AN46" s="160">
        <f>mortgage[[#This Row],[Total Annual Indirect Housing Expenses]]+AN45</f>
        <v>774108.77716546261</v>
      </c>
    </row>
    <row r="47" spans="9:40" x14ac:dyDescent="0.25">
      <c r="I47">
        <v>31</v>
      </c>
      <c r="J47">
        <f t="shared" si="1"/>
        <v>2052</v>
      </c>
      <c r="K47" s="198">
        <f>IF(mortgage[[#This Row],[Calendar Year]]&gt;=$C$8,mortgage[[#This Row],[Calendar Year]],NA())</f>
        <v>2052</v>
      </c>
      <c r="L47" s="199" t="e">
        <f>IF((mortgage[[#This Row],[Calendar Year]]&gt;=$C$8)*(mortgage[[#This Row],[Calendar Year]]&lt;=$C$10),mortgage[[#This Row],[Calendar Year]],NA())</f>
        <v>#N/A</v>
      </c>
      <c r="M47" s="214" t="e">
        <f>IF((mortgage[[#This Row],[Calendar Year]]&gt;=$C$8)*(mortgage[[#This Row],[Calendar Year]]&lt;=$C$10),mortgage[[#This Row],[Loan Balance (BOY)]],NA())</f>
        <v>#N/A</v>
      </c>
      <c r="N47" s="214" t="e">
        <f>IF((mortgage[[#This Row],[Begin Year (Range)]]&gt;=$C$8)*(mortgage[[#This Row],[Begin Year (Range)]]&lt;=$C$10),mortgage[[#This Row],[Cumulative Interest (EOY)]],NA())</f>
        <v>#N/A</v>
      </c>
      <c r="O47" s="214" t="e">
        <f>IF((mortgage[[#This Row],[Year (Range)]]&gt;=$C$8)*(mortgage[[#This Row],[Year (Range)]]&lt;=$C$10),mortgage[[#This Row],[Cumulative Principal (EOY)]],NA())</f>
        <v>#N/A</v>
      </c>
      <c r="P47" s="214" t="e">
        <f>IF((mortgage[[#This Row],[Year (Range)]]&gt;=$C$8)*(mortgage[[#This Row],[Year (Range)]]&lt;=$C$10),mortgage[[#This Row],[Cumulative Appreciation (EOY)]],NA())</f>
        <v>#N/A</v>
      </c>
      <c r="Q47" s="214" t="e">
        <f>IF((mortgage[[#This Row],[Year (Range)]]&gt;=$C$8)*(mortgage[[#This Row],[Year (Range)]]&lt;=$C$10),mortgage[[#This Row],[Cumulative Equity (EOY)]],NA())</f>
        <v>#N/A</v>
      </c>
      <c r="R47" s="214" t="e">
        <f>IF((mortgage[[#This Row],[Year (Range)]]&gt;=$C$8)*(mortgage[[#This Row],[Year (Range)]]&lt;=$C$10),mortgage[[#This Row],[Cumulative Total Indirect Housing Expenses]],NA())</f>
        <v>#N/A</v>
      </c>
      <c r="S47" s="214" t="e">
        <f>IF((mortgage[[#This Row],[Year (Range)]]&gt;=$C$8)*(mortgage[[#This Row],[Year (Range)]]&lt;=$C$10),mortgage[[#This Row],[Total Annual Indirect Housing Expenses]],NA())</f>
        <v>#N/A</v>
      </c>
      <c r="T47" s="214" t="e">
        <f>IF((mortgage[[#This Row],[Year (Range)]]&gt;=$C$8)*(mortgage[[#This Row],[Year (Range)]]&lt;=$C$10),mortgage[[#This Row],[Est. Home Value (EOY)]],NA())</f>
        <v>#N/A</v>
      </c>
      <c r="U47" s="164">
        <f>IF(U46&lt;W46,0,IF(I43&lt;='Data Entry'!$F$9,(U46-(W46+X46)),0))</f>
        <v>0</v>
      </c>
      <c r="V47" s="183">
        <f>SUMIF(monthly_mortgage_schedule[Calendar Year],mortgage[[#This Row],[Calendar Year]],monthly_mortgage_schedule[Interest With Extra Principal Payments])</f>
        <v>0</v>
      </c>
      <c r="W47" s="4">
        <f>SUMIF(monthly_mortgage_schedule[Calendar Year],mortgage[[#This Row],[Calendar Year]],monthly_mortgage_schedule[Principal With Extra Principal Payments])</f>
        <v>0</v>
      </c>
      <c r="X47" s="4">
        <f>SUMIF(monthly_mortgage_schedule[Calendar Year],mortgage[[#This Row],[Calendar Year]],monthly_mortgage_schedule[Extra Payments Towards Equity])</f>
        <v>0</v>
      </c>
      <c r="Y47" s="4">
        <f>Y46*(1+'Data Entry'!$C$8)</f>
        <v>19418.099769517295</v>
      </c>
      <c r="Z47" s="4">
        <f>SUMIF(monthly_mortgage_schedule[Calendar Year],mortgage[[#This Row],[Calendar Year]],monthly_mortgage_schedule[PMI with Additional Payments])</f>
        <v>0</v>
      </c>
      <c r="AA47" s="4">
        <f>mortgage[[#This Row],[Interest]]+mortgage[[#This Row],[Property Taxes]]</f>
        <v>19418.099769517295</v>
      </c>
      <c r="AB47" s="4">
        <f>AB46*(1+'Data Entry'!$C$10)</f>
        <v>2669.9887183086294</v>
      </c>
      <c r="AC47" s="4">
        <f>AC46*(1+'Data Entry'!$C$9)</f>
        <v>14563.57482713798</v>
      </c>
      <c r="AD47" s="4">
        <f>SUMIF(nonroutine_maintenance_expenses[Year (YYYY)],mortgage[[#This Row],[Calendar Year]],nonroutine_maintenance_expenses[Amount ($)])</f>
        <v>0</v>
      </c>
      <c r="AE47" s="4">
        <f>AE46*(1+'Data Entry'!C$7)</f>
        <v>1684076.2228215763</v>
      </c>
      <c r="AF47" s="4">
        <f t="shared" si="2"/>
        <v>1143018.8906203313</v>
      </c>
      <c r="AG47" s="4">
        <f>mortgage[[#This Row],[Principal]]+mortgage[[#This Row],[Extra Payment Towards Equity]]+AG46</f>
        <v>542995.30794004421</v>
      </c>
      <c r="AH47" s="4">
        <f t="shared" si="3"/>
        <v>506863.32958102686</v>
      </c>
      <c r="AI47" s="4">
        <f>AI46+mortgage[[#This Row],[Principal]]+mortgage[[#This Row],[Extra Payment Towards Equity]]</f>
        <v>602995.30794004421</v>
      </c>
      <c r="AJ47" s="180">
        <f>mortgage[[#This Row],[Cumulative Equity (EOY)]]/purchase_price</f>
        <v>1.0049921799000736</v>
      </c>
      <c r="AK47" s="180">
        <f>mortgage[[#This Row],[Loan Balance (BOY)]]/mortgage[[#This Row],[Est. Home Value (EOY)]]</f>
        <v>0</v>
      </c>
      <c r="AL47" s="4">
        <f t="shared" si="0"/>
        <v>0</v>
      </c>
      <c r="AM47" s="4">
        <f>SUM(mortgage[[#This Row],[Property Taxes]],mortgage[[#This Row],[PMI]],mortgage[[#This Row],[Homeowners Insurance]],mortgage[[#This Row],[Routine Maintenance]],mortgage[[#This Row],[Non-Routine Maintenance]])</f>
        <v>36651.663314963902</v>
      </c>
      <c r="AN47" s="160">
        <f>mortgage[[#This Row],[Total Annual Indirect Housing Expenses]]+AN46</f>
        <v>810760.44048042654</v>
      </c>
    </row>
    <row r="48" spans="9:40" x14ac:dyDescent="0.25">
      <c r="I48">
        <v>32</v>
      </c>
      <c r="J48">
        <f t="shared" si="1"/>
        <v>2053</v>
      </c>
      <c r="K48" s="198">
        <f>IF(mortgage[[#This Row],[Calendar Year]]&gt;=$C$8,mortgage[[#This Row],[Calendar Year]],NA())</f>
        <v>2053</v>
      </c>
      <c r="L48" s="199" t="e">
        <f>IF((mortgage[[#This Row],[Calendar Year]]&gt;=$C$8)*(mortgage[[#This Row],[Calendar Year]]&lt;=$C$10),mortgage[[#This Row],[Calendar Year]],NA())</f>
        <v>#N/A</v>
      </c>
      <c r="M48" s="214" t="e">
        <f>IF((mortgage[[#This Row],[Calendar Year]]&gt;=$C$8)*(mortgage[[#This Row],[Calendar Year]]&lt;=$C$10),mortgage[[#This Row],[Loan Balance (BOY)]],NA())</f>
        <v>#N/A</v>
      </c>
      <c r="N48" s="214" t="e">
        <f>IF((mortgage[[#This Row],[Begin Year (Range)]]&gt;=$C$8)*(mortgage[[#This Row],[Begin Year (Range)]]&lt;=$C$10),mortgage[[#This Row],[Cumulative Interest (EOY)]],NA())</f>
        <v>#N/A</v>
      </c>
      <c r="O48" s="214" t="e">
        <f>IF((mortgage[[#This Row],[Year (Range)]]&gt;=$C$8)*(mortgage[[#This Row],[Year (Range)]]&lt;=$C$10),mortgage[[#This Row],[Cumulative Principal (EOY)]],NA())</f>
        <v>#N/A</v>
      </c>
      <c r="P48" s="214" t="e">
        <f>IF((mortgage[[#This Row],[Year (Range)]]&gt;=$C$8)*(mortgage[[#This Row],[Year (Range)]]&lt;=$C$10),mortgage[[#This Row],[Cumulative Appreciation (EOY)]],NA())</f>
        <v>#N/A</v>
      </c>
      <c r="Q48" s="214" t="e">
        <f>IF((mortgage[[#This Row],[Year (Range)]]&gt;=$C$8)*(mortgage[[#This Row],[Year (Range)]]&lt;=$C$10),mortgage[[#This Row],[Cumulative Equity (EOY)]],NA())</f>
        <v>#N/A</v>
      </c>
      <c r="R48" s="214" t="e">
        <f>IF((mortgage[[#This Row],[Year (Range)]]&gt;=$C$8)*(mortgage[[#This Row],[Year (Range)]]&lt;=$C$10),mortgage[[#This Row],[Cumulative Total Indirect Housing Expenses]],NA())</f>
        <v>#N/A</v>
      </c>
      <c r="S48" s="214" t="e">
        <f>IF((mortgage[[#This Row],[Year (Range)]]&gt;=$C$8)*(mortgage[[#This Row],[Year (Range)]]&lt;=$C$10),mortgage[[#This Row],[Total Annual Indirect Housing Expenses]],NA())</f>
        <v>#N/A</v>
      </c>
      <c r="T48" s="214" t="e">
        <f>IF((mortgage[[#This Row],[Year (Range)]]&gt;=$C$8)*(mortgage[[#This Row],[Year (Range)]]&lt;=$C$10),mortgage[[#This Row],[Est. Home Value (EOY)]],NA())</f>
        <v>#N/A</v>
      </c>
      <c r="U48" s="164">
        <f>IF(U47&lt;W47,0,IF(I48&lt;='Data Entry'!$F$9,(U47-(W47+X47)),0))</f>
        <v>0</v>
      </c>
      <c r="V48" s="183">
        <f>SUMIF(monthly_mortgage_schedule[Calendar Year],mortgage[[#This Row],[Calendar Year]],monthly_mortgage_schedule[Interest With Extra Principal Payments])</f>
        <v>0</v>
      </c>
      <c r="W48" s="4">
        <f>SUMIF(monthly_mortgage_schedule[Calendar Year],mortgage[[#This Row],[Calendar Year]],monthly_mortgage_schedule[Principal With Extra Principal Payments])</f>
        <v>0</v>
      </c>
      <c r="X48" s="4">
        <f>SUMIF(monthly_mortgage_schedule[Calendar Year],mortgage[[#This Row],[Calendar Year]],monthly_mortgage_schedule[Extra Payments Towards Equity])</f>
        <v>0</v>
      </c>
      <c r="Y48" s="4">
        <f>Y47*(1+'Data Entry'!$C$8)</f>
        <v>20000.642762602816</v>
      </c>
      <c r="Z48" s="4">
        <f>SUMIF(monthly_mortgage_schedule[Calendar Year],mortgage[[#This Row],[Calendar Year]],monthly_mortgage_schedule[PMI with Additional Payments])</f>
        <v>0</v>
      </c>
      <c r="AA48" s="4">
        <f>mortgage[[#This Row],[Interest]]+mortgage[[#This Row],[Property Taxes]]</f>
        <v>20000.642762602816</v>
      </c>
      <c r="AB48" s="4">
        <f>AB47*(1+'Data Entry'!$C$10)</f>
        <v>2750.0883798578884</v>
      </c>
      <c r="AC48" s="4">
        <f>AC47*(1+'Data Entry'!$C$9)</f>
        <v>15000.482071952119</v>
      </c>
      <c r="AD48" s="4">
        <f>SUMIF(nonroutine_maintenance_expenses[Year (YYYY)],mortgage[[#This Row],[Calendar Year]],nonroutine_maintenance_expenses[Amount ($)])</f>
        <v>0</v>
      </c>
      <c r="AE48" s="4">
        <f>AE47*(1+'Data Entry'!C$7)</f>
        <v>1743018.8906203313</v>
      </c>
      <c r="AF48" s="4">
        <f t="shared" si="2"/>
        <v>1204024.5517920428</v>
      </c>
      <c r="AG48" s="4">
        <f>mortgage[[#This Row],[Principal]]+mortgage[[#This Row],[Extra Payment Towards Equity]]+AG47</f>
        <v>542995.30794004421</v>
      </c>
      <c r="AH48" s="4">
        <f t="shared" si="3"/>
        <v>506863.32958102686</v>
      </c>
      <c r="AI48" s="4">
        <f>AI47+mortgage[[#This Row],[Principal]]+mortgage[[#This Row],[Extra Payment Towards Equity]]</f>
        <v>602995.30794004421</v>
      </c>
      <c r="AJ48" s="180">
        <f>mortgage[[#This Row],[Cumulative Equity (EOY)]]/purchase_price</f>
        <v>1.0049921799000736</v>
      </c>
      <c r="AK48" s="180">
        <f>mortgage[[#This Row],[Loan Balance (BOY)]]/mortgage[[#This Row],[Est. Home Value (EOY)]]</f>
        <v>0</v>
      </c>
      <c r="AL48" s="4">
        <f t="shared" si="0"/>
        <v>0</v>
      </c>
      <c r="AM48" s="4">
        <f>SUM(mortgage[[#This Row],[Property Taxes]],mortgage[[#This Row],[PMI]],mortgage[[#This Row],[Homeowners Insurance]],mortgage[[#This Row],[Routine Maintenance]],mortgage[[#This Row],[Non-Routine Maintenance]])</f>
        <v>37751.213214412826</v>
      </c>
      <c r="AN48" s="160">
        <f>mortgage[[#This Row],[Total Annual Indirect Housing Expenses]]+AN47</f>
        <v>848511.65369483933</v>
      </c>
    </row>
    <row r="49" spans="9:40" x14ac:dyDescent="0.25">
      <c r="I49">
        <v>33</v>
      </c>
      <c r="J49">
        <f t="shared" si="1"/>
        <v>2054</v>
      </c>
      <c r="K49" s="198">
        <f>IF(mortgage[[#This Row],[Calendar Year]]&gt;=$C$8,mortgage[[#This Row],[Calendar Year]],NA())</f>
        <v>2054</v>
      </c>
      <c r="L49" s="199" t="e">
        <f>IF((mortgage[[#This Row],[Calendar Year]]&gt;=$C$8)*(mortgage[[#This Row],[Calendar Year]]&lt;=$C$10),mortgage[[#This Row],[Calendar Year]],NA())</f>
        <v>#N/A</v>
      </c>
      <c r="M49" s="214" t="e">
        <f>IF((mortgage[[#This Row],[Calendar Year]]&gt;=$C$8)*(mortgage[[#This Row],[Calendar Year]]&lt;=$C$10),mortgage[[#This Row],[Loan Balance (BOY)]],NA())</f>
        <v>#N/A</v>
      </c>
      <c r="N49" s="214" t="e">
        <f>IF((mortgage[[#This Row],[Begin Year (Range)]]&gt;=$C$8)*(mortgage[[#This Row],[Begin Year (Range)]]&lt;=$C$10),mortgage[[#This Row],[Cumulative Interest (EOY)]],NA())</f>
        <v>#N/A</v>
      </c>
      <c r="O49" s="214" t="e">
        <f>IF((mortgage[[#This Row],[Year (Range)]]&gt;=$C$8)*(mortgage[[#This Row],[Year (Range)]]&lt;=$C$10),mortgage[[#This Row],[Cumulative Principal (EOY)]],NA())</f>
        <v>#N/A</v>
      </c>
      <c r="P49" s="214" t="e">
        <f>IF((mortgage[[#This Row],[Year (Range)]]&gt;=$C$8)*(mortgage[[#This Row],[Year (Range)]]&lt;=$C$10),mortgage[[#This Row],[Cumulative Appreciation (EOY)]],NA())</f>
        <v>#N/A</v>
      </c>
      <c r="Q49" s="214" t="e">
        <f>IF((mortgage[[#This Row],[Year (Range)]]&gt;=$C$8)*(mortgage[[#This Row],[Year (Range)]]&lt;=$C$10),mortgage[[#This Row],[Cumulative Equity (EOY)]],NA())</f>
        <v>#N/A</v>
      </c>
      <c r="R49" s="214" t="e">
        <f>IF((mortgage[[#This Row],[Year (Range)]]&gt;=$C$8)*(mortgage[[#This Row],[Year (Range)]]&lt;=$C$10),mortgage[[#This Row],[Cumulative Total Indirect Housing Expenses]],NA())</f>
        <v>#N/A</v>
      </c>
      <c r="S49" s="214" t="e">
        <f>IF((mortgage[[#This Row],[Year (Range)]]&gt;=$C$8)*(mortgage[[#This Row],[Year (Range)]]&lt;=$C$10),mortgage[[#This Row],[Total Annual Indirect Housing Expenses]],NA())</f>
        <v>#N/A</v>
      </c>
      <c r="T49" s="214" t="e">
        <f>IF((mortgage[[#This Row],[Year (Range)]]&gt;=$C$8)*(mortgage[[#This Row],[Year (Range)]]&lt;=$C$10),mortgage[[#This Row],[Est. Home Value (EOY)]],NA())</f>
        <v>#N/A</v>
      </c>
      <c r="U49" s="164">
        <f>IF(U48&lt;W48,0,IF(I49&lt;='Data Entry'!$F$9,(U48-(W48+X48)),0))</f>
        <v>0</v>
      </c>
      <c r="V49" s="183">
        <f>SUMIF(monthly_mortgage_schedule[Calendar Year],mortgage[[#This Row],[Calendar Year]],monthly_mortgage_schedule[Interest With Extra Principal Payments])</f>
        <v>0</v>
      </c>
      <c r="W49" s="4">
        <f>SUMIF(monthly_mortgage_schedule[Calendar Year],mortgage[[#This Row],[Calendar Year]],monthly_mortgage_schedule[Principal With Extra Principal Payments])</f>
        <v>0</v>
      </c>
      <c r="X49" s="4">
        <f>SUMIF(monthly_mortgage_schedule[Calendar Year],mortgage[[#This Row],[Calendar Year]],monthly_mortgage_schedule[Extra Payments Towards Equity])</f>
        <v>0</v>
      </c>
      <c r="Y49" s="4">
        <f>Y48*(1+'Data Entry'!$C$8)</f>
        <v>20600.662045480902</v>
      </c>
      <c r="Z49" s="4">
        <f>SUMIF(monthly_mortgage_schedule[Calendar Year],mortgage[[#This Row],[Calendar Year]],monthly_mortgage_schedule[PMI with Additional Payments])</f>
        <v>0</v>
      </c>
      <c r="AA49" s="4">
        <f>mortgage[[#This Row],[Interest]]+mortgage[[#This Row],[Property Taxes]]</f>
        <v>20600.662045480902</v>
      </c>
      <c r="AB49" s="4">
        <f>AB48*(1+'Data Entry'!$C$10)</f>
        <v>2832.5910312536253</v>
      </c>
      <c r="AC49" s="4">
        <f>AC48*(1+'Data Entry'!$C$9)</f>
        <v>15450.496534110684</v>
      </c>
      <c r="AD49" s="4">
        <f>SUMIF(nonroutine_maintenance_expenses[Year (YYYY)],mortgage[[#This Row],[Calendar Year]],nonroutine_maintenance_expenses[Amount ($)])</f>
        <v>0</v>
      </c>
      <c r="AE49" s="4">
        <f>AE48*(1+'Data Entry'!C$7)</f>
        <v>1804024.5517920428</v>
      </c>
      <c r="AF49" s="4">
        <f t="shared" si="2"/>
        <v>1267165.4111047641</v>
      </c>
      <c r="AG49" s="4">
        <f>mortgage[[#This Row],[Principal]]+mortgage[[#This Row],[Extra Payment Towards Equity]]+AG48</f>
        <v>542995.30794004421</v>
      </c>
      <c r="AH49" s="4">
        <f t="shared" si="3"/>
        <v>506863.32958102686</v>
      </c>
      <c r="AI49" s="4">
        <f>AI48+mortgage[[#This Row],[Principal]]+mortgage[[#This Row],[Extra Payment Towards Equity]]</f>
        <v>602995.30794004421</v>
      </c>
      <c r="AJ49" s="180">
        <f>mortgage[[#This Row],[Cumulative Equity (EOY)]]/purchase_price</f>
        <v>1.0049921799000736</v>
      </c>
      <c r="AK49" s="180">
        <f>mortgage[[#This Row],[Loan Balance (BOY)]]/mortgage[[#This Row],[Est. Home Value (EOY)]]</f>
        <v>0</v>
      </c>
      <c r="AL49" s="4">
        <f t="shared" ref="AL49:AL80" si="4">V49+W49</f>
        <v>0</v>
      </c>
      <c r="AM49" s="4">
        <f>SUM(mortgage[[#This Row],[Property Taxes]],mortgage[[#This Row],[PMI]],mortgage[[#This Row],[Homeowners Insurance]],mortgage[[#This Row],[Routine Maintenance]],mortgage[[#This Row],[Non-Routine Maintenance]])</f>
        <v>38883.749610845211</v>
      </c>
      <c r="AN49" s="160">
        <f>mortgage[[#This Row],[Total Annual Indirect Housing Expenses]]+AN48</f>
        <v>887395.40330568457</v>
      </c>
    </row>
    <row r="50" spans="9:40" x14ac:dyDescent="0.25">
      <c r="I50">
        <v>34</v>
      </c>
      <c r="J50">
        <f t="shared" ref="J50:J81" si="5">purchase_year+I49</f>
        <v>2055</v>
      </c>
      <c r="K50" s="198">
        <f>IF(mortgage[[#This Row],[Calendar Year]]&gt;=$C$8,mortgage[[#This Row],[Calendar Year]],NA())</f>
        <v>2055</v>
      </c>
      <c r="L50" s="199" t="e">
        <f>IF((mortgage[[#This Row],[Calendar Year]]&gt;=$C$8)*(mortgage[[#This Row],[Calendar Year]]&lt;=$C$10),mortgage[[#This Row],[Calendar Year]],NA())</f>
        <v>#N/A</v>
      </c>
      <c r="M50" s="214" t="e">
        <f>IF((mortgage[[#This Row],[Calendar Year]]&gt;=$C$8)*(mortgage[[#This Row],[Calendar Year]]&lt;=$C$10),mortgage[[#This Row],[Loan Balance (BOY)]],NA())</f>
        <v>#N/A</v>
      </c>
      <c r="N50" s="214" t="e">
        <f>IF((mortgage[[#This Row],[Begin Year (Range)]]&gt;=$C$8)*(mortgage[[#This Row],[Begin Year (Range)]]&lt;=$C$10),mortgage[[#This Row],[Cumulative Interest (EOY)]],NA())</f>
        <v>#N/A</v>
      </c>
      <c r="O50" s="214" t="e">
        <f>IF((mortgage[[#This Row],[Year (Range)]]&gt;=$C$8)*(mortgage[[#This Row],[Year (Range)]]&lt;=$C$10),mortgage[[#This Row],[Cumulative Principal (EOY)]],NA())</f>
        <v>#N/A</v>
      </c>
      <c r="P50" s="214" t="e">
        <f>IF((mortgage[[#This Row],[Year (Range)]]&gt;=$C$8)*(mortgage[[#This Row],[Year (Range)]]&lt;=$C$10),mortgage[[#This Row],[Cumulative Appreciation (EOY)]],NA())</f>
        <v>#N/A</v>
      </c>
      <c r="Q50" s="214" t="e">
        <f>IF((mortgage[[#This Row],[Year (Range)]]&gt;=$C$8)*(mortgage[[#This Row],[Year (Range)]]&lt;=$C$10),mortgage[[#This Row],[Cumulative Equity (EOY)]],NA())</f>
        <v>#N/A</v>
      </c>
      <c r="R50" s="214" t="e">
        <f>IF((mortgage[[#This Row],[Year (Range)]]&gt;=$C$8)*(mortgage[[#This Row],[Year (Range)]]&lt;=$C$10),mortgage[[#This Row],[Cumulative Total Indirect Housing Expenses]],NA())</f>
        <v>#N/A</v>
      </c>
      <c r="S50" s="214" t="e">
        <f>IF((mortgage[[#This Row],[Year (Range)]]&gt;=$C$8)*(mortgage[[#This Row],[Year (Range)]]&lt;=$C$10),mortgage[[#This Row],[Total Annual Indirect Housing Expenses]],NA())</f>
        <v>#N/A</v>
      </c>
      <c r="T50" s="214" t="e">
        <f>IF((mortgage[[#This Row],[Year (Range)]]&gt;=$C$8)*(mortgage[[#This Row],[Year (Range)]]&lt;=$C$10),mortgage[[#This Row],[Est. Home Value (EOY)]],NA())</f>
        <v>#N/A</v>
      </c>
      <c r="U50" s="164">
        <f>IF(U49&lt;W49,0,IF(I50&lt;='Data Entry'!$F$9,(U49-(W49+X49)),0))</f>
        <v>0</v>
      </c>
      <c r="V50" s="183">
        <f>SUMIF(monthly_mortgage_schedule[Calendar Year],mortgage[[#This Row],[Calendar Year]],monthly_mortgage_schedule[Interest With Extra Principal Payments])</f>
        <v>0</v>
      </c>
      <c r="W50" s="4">
        <f>SUMIF(monthly_mortgage_schedule[Calendar Year],mortgage[[#This Row],[Calendar Year]],monthly_mortgage_schedule[Principal With Extra Principal Payments])</f>
        <v>0</v>
      </c>
      <c r="X50" s="4">
        <f>SUMIF(monthly_mortgage_schedule[Calendar Year],mortgage[[#This Row],[Calendar Year]],monthly_mortgage_schedule[Extra Payments Towards Equity])</f>
        <v>0</v>
      </c>
      <c r="Y50" s="4">
        <f>Y49*(1+'Data Entry'!$C$8)</f>
        <v>21218.68190684533</v>
      </c>
      <c r="Z50" s="4">
        <f>SUMIF(monthly_mortgage_schedule[Calendar Year],mortgage[[#This Row],[Calendar Year]],monthly_mortgage_schedule[PMI with Additional Payments])</f>
        <v>0</v>
      </c>
      <c r="AA50" s="4">
        <f>mortgage[[#This Row],[Interest]]+mortgage[[#This Row],[Property Taxes]]</f>
        <v>21218.68190684533</v>
      </c>
      <c r="AB50" s="4">
        <f>AB49*(1+'Data Entry'!$C$10)</f>
        <v>2917.5687621912339</v>
      </c>
      <c r="AC50" s="4">
        <f>AC49*(1+'Data Entry'!$C$9)</f>
        <v>15914.011430134004</v>
      </c>
      <c r="AD50" s="4">
        <f>SUMIF(nonroutine_maintenance_expenses[Year (YYYY)],mortgage[[#This Row],[Calendar Year]],nonroutine_maintenance_expenses[Amount ($)])</f>
        <v>0</v>
      </c>
      <c r="AE50" s="4">
        <f>AE49*(1+'Data Entry'!C$7)</f>
        <v>1867165.4111047641</v>
      </c>
      <c r="AF50" s="4">
        <f t="shared" ref="AF50:AF81" si="6">IF(AE51&gt;1,AF49+(AE51-AE50),0)</f>
        <v>1332516.2004934307</v>
      </c>
      <c r="AG50" s="4">
        <f>mortgage[[#This Row],[Principal]]+mortgage[[#This Row],[Extra Payment Towards Equity]]+AG49</f>
        <v>542995.30794004421</v>
      </c>
      <c r="AH50" s="4">
        <f t="shared" ref="AH50:AH81" si="7">V50+AH49</f>
        <v>506863.32958102686</v>
      </c>
      <c r="AI50" s="4">
        <f>AI49+mortgage[[#This Row],[Principal]]+mortgage[[#This Row],[Extra Payment Towards Equity]]</f>
        <v>602995.30794004421</v>
      </c>
      <c r="AJ50" s="180">
        <f>mortgage[[#This Row],[Cumulative Equity (EOY)]]/purchase_price</f>
        <v>1.0049921799000736</v>
      </c>
      <c r="AK50" s="180">
        <f>mortgage[[#This Row],[Loan Balance (BOY)]]/mortgage[[#This Row],[Est. Home Value (EOY)]]</f>
        <v>0</v>
      </c>
      <c r="AL50" s="4">
        <f t="shared" si="4"/>
        <v>0</v>
      </c>
      <c r="AM50" s="4">
        <f>SUM(mortgage[[#This Row],[Property Taxes]],mortgage[[#This Row],[PMI]],mortgage[[#This Row],[Homeowners Insurance]],mortgage[[#This Row],[Routine Maintenance]],mortgage[[#This Row],[Non-Routine Maintenance]])</f>
        <v>40050.262099170563</v>
      </c>
      <c r="AN50" s="160">
        <f>mortgage[[#This Row],[Total Annual Indirect Housing Expenses]]+AN49</f>
        <v>927445.66540485516</v>
      </c>
    </row>
    <row r="51" spans="9:40" x14ac:dyDescent="0.25">
      <c r="I51">
        <v>35</v>
      </c>
      <c r="J51">
        <f t="shared" si="5"/>
        <v>2056</v>
      </c>
      <c r="K51" s="198">
        <f>IF(mortgage[[#This Row],[Calendar Year]]&gt;=$C$8,mortgage[[#This Row],[Calendar Year]],NA())</f>
        <v>2056</v>
      </c>
      <c r="L51" s="199" t="e">
        <f>IF((mortgage[[#This Row],[Calendar Year]]&gt;=$C$8)*(mortgage[[#This Row],[Calendar Year]]&lt;=$C$10),mortgage[[#This Row],[Calendar Year]],NA())</f>
        <v>#N/A</v>
      </c>
      <c r="M51" s="214" t="e">
        <f>IF((mortgage[[#This Row],[Calendar Year]]&gt;=$C$8)*(mortgage[[#This Row],[Calendar Year]]&lt;=$C$10),mortgage[[#This Row],[Loan Balance (BOY)]],NA())</f>
        <v>#N/A</v>
      </c>
      <c r="N51" s="214" t="e">
        <f>IF((mortgage[[#This Row],[Begin Year (Range)]]&gt;=$C$8)*(mortgage[[#This Row],[Begin Year (Range)]]&lt;=$C$10),mortgage[[#This Row],[Cumulative Interest (EOY)]],NA())</f>
        <v>#N/A</v>
      </c>
      <c r="O51" s="214" t="e">
        <f>IF((mortgage[[#This Row],[Year (Range)]]&gt;=$C$8)*(mortgage[[#This Row],[Year (Range)]]&lt;=$C$10),mortgage[[#This Row],[Cumulative Principal (EOY)]],NA())</f>
        <v>#N/A</v>
      </c>
      <c r="P51" s="214" t="e">
        <f>IF((mortgage[[#This Row],[Year (Range)]]&gt;=$C$8)*(mortgage[[#This Row],[Year (Range)]]&lt;=$C$10),mortgage[[#This Row],[Cumulative Appreciation (EOY)]],NA())</f>
        <v>#N/A</v>
      </c>
      <c r="Q51" s="214" t="e">
        <f>IF((mortgage[[#This Row],[Year (Range)]]&gt;=$C$8)*(mortgage[[#This Row],[Year (Range)]]&lt;=$C$10),mortgage[[#This Row],[Cumulative Equity (EOY)]],NA())</f>
        <v>#N/A</v>
      </c>
      <c r="R51" s="214" t="e">
        <f>IF((mortgage[[#This Row],[Year (Range)]]&gt;=$C$8)*(mortgage[[#This Row],[Year (Range)]]&lt;=$C$10),mortgage[[#This Row],[Cumulative Total Indirect Housing Expenses]],NA())</f>
        <v>#N/A</v>
      </c>
      <c r="S51" s="214" t="e">
        <f>IF((mortgage[[#This Row],[Year (Range)]]&gt;=$C$8)*(mortgage[[#This Row],[Year (Range)]]&lt;=$C$10),mortgage[[#This Row],[Total Annual Indirect Housing Expenses]],NA())</f>
        <v>#N/A</v>
      </c>
      <c r="T51" s="214" t="e">
        <f>IF((mortgage[[#This Row],[Year (Range)]]&gt;=$C$8)*(mortgage[[#This Row],[Year (Range)]]&lt;=$C$10),mortgage[[#This Row],[Est. Home Value (EOY)]],NA())</f>
        <v>#N/A</v>
      </c>
      <c r="U51" s="164">
        <f>IF(U50&lt;W50,0,IF(I51&lt;='Data Entry'!$F$9,(U50-(W50+X50)),0))</f>
        <v>0</v>
      </c>
      <c r="V51" s="183">
        <f>SUMIF(monthly_mortgage_schedule[Calendar Year],mortgage[[#This Row],[Calendar Year]],monthly_mortgage_schedule[Interest With Extra Principal Payments])</f>
        <v>0</v>
      </c>
      <c r="W51" s="4">
        <f>SUMIF(monthly_mortgage_schedule[Calendar Year],mortgage[[#This Row],[Calendar Year]],monthly_mortgage_schedule[Principal With Extra Principal Payments])</f>
        <v>0</v>
      </c>
      <c r="X51" s="4">
        <f>SUMIF(monthly_mortgage_schedule[Calendar Year],mortgage[[#This Row],[Calendar Year]],monthly_mortgage_schedule[Extra Payments Towards Equity])</f>
        <v>0</v>
      </c>
      <c r="Y51" s="4">
        <f>Y50*(1+'Data Entry'!$C$8)</f>
        <v>21855.24236405069</v>
      </c>
      <c r="Z51" s="4">
        <f>SUMIF(monthly_mortgage_schedule[Calendar Year],mortgage[[#This Row],[Calendar Year]],monthly_mortgage_schedule[PMI with Additional Payments])</f>
        <v>0</v>
      </c>
      <c r="AA51" s="4">
        <f>mortgage[[#This Row],[Interest]]+mortgage[[#This Row],[Property Taxes]]</f>
        <v>21855.24236405069</v>
      </c>
      <c r="AB51" s="4">
        <f>AB50*(1+'Data Entry'!$C$10)</f>
        <v>3005.0958250569711</v>
      </c>
      <c r="AC51" s="4">
        <f>AC50*(1+'Data Entry'!$C$9)</f>
        <v>16391.431773038024</v>
      </c>
      <c r="AD51" s="4">
        <f>SUMIF(nonroutine_maintenance_expenses[Year (YYYY)],mortgage[[#This Row],[Calendar Year]],nonroutine_maintenance_expenses[Amount ($)])</f>
        <v>0</v>
      </c>
      <c r="AE51" s="4">
        <f>AE50*(1+'Data Entry'!C$7)</f>
        <v>1932516.2004934307</v>
      </c>
      <c r="AF51" s="4">
        <f t="shared" si="6"/>
        <v>1400154.2675107007</v>
      </c>
      <c r="AG51" s="4">
        <f>mortgage[[#This Row],[Principal]]+mortgage[[#This Row],[Extra Payment Towards Equity]]+AG50</f>
        <v>542995.30794004421</v>
      </c>
      <c r="AH51" s="4">
        <f t="shared" si="7"/>
        <v>506863.32958102686</v>
      </c>
      <c r="AI51" s="4">
        <f>AI50+mortgage[[#This Row],[Principal]]+mortgage[[#This Row],[Extra Payment Towards Equity]]</f>
        <v>602995.30794004421</v>
      </c>
      <c r="AJ51" s="180">
        <f>mortgage[[#This Row],[Cumulative Equity (EOY)]]/purchase_price</f>
        <v>1.0049921799000736</v>
      </c>
      <c r="AK51" s="180">
        <f>mortgage[[#This Row],[Loan Balance (BOY)]]/mortgage[[#This Row],[Est. Home Value (EOY)]]</f>
        <v>0</v>
      </c>
      <c r="AL51" s="4">
        <f t="shared" si="4"/>
        <v>0</v>
      </c>
      <c r="AM51" s="4">
        <f>SUM(mortgage[[#This Row],[Property Taxes]],mortgage[[#This Row],[PMI]],mortgage[[#This Row],[Homeowners Insurance]],mortgage[[#This Row],[Routine Maintenance]],mortgage[[#This Row],[Non-Routine Maintenance]])</f>
        <v>41251.769962145685</v>
      </c>
      <c r="AN51" s="160">
        <f>mortgage[[#This Row],[Total Annual Indirect Housing Expenses]]+AN50</f>
        <v>968697.43536700087</v>
      </c>
    </row>
    <row r="52" spans="9:40" x14ac:dyDescent="0.25">
      <c r="I52">
        <v>36</v>
      </c>
      <c r="J52">
        <f t="shared" si="5"/>
        <v>2057</v>
      </c>
      <c r="K52" s="198">
        <f>IF(mortgage[[#This Row],[Calendar Year]]&gt;=$C$8,mortgage[[#This Row],[Calendar Year]],NA())</f>
        <v>2057</v>
      </c>
      <c r="L52" s="199" t="e">
        <f>IF((mortgage[[#This Row],[Calendar Year]]&gt;=$C$8)*(mortgage[[#This Row],[Calendar Year]]&lt;=$C$10),mortgage[[#This Row],[Calendar Year]],NA())</f>
        <v>#N/A</v>
      </c>
      <c r="M52" s="214" t="e">
        <f>IF((mortgage[[#This Row],[Calendar Year]]&gt;=$C$8)*(mortgage[[#This Row],[Calendar Year]]&lt;=$C$10),mortgage[[#This Row],[Loan Balance (BOY)]],NA())</f>
        <v>#N/A</v>
      </c>
      <c r="N52" s="214" t="e">
        <f>IF((mortgage[[#This Row],[Begin Year (Range)]]&gt;=$C$8)*(mortgage[[#This Row],[Begin Year (Range)]]&lt;=$C$10),mortgage[[#This Row],[Cumulative Interest (EOY)]],NA())</f>
        <v>#N/A</v>
      </c>
      <c r="O52" s="214" t="e">
        <f>IF((mortgage[[#This Row],[Year (Range)]]&gt;=$C$8)*(mortgage[[#This Row],[Year (Range)]]&lt;=$C$10),mortgage[[#This Row],[Cumulative Principal (EOY)]],NA())</f>
        <v>#N/A</v>
      </c>
      <c r="P52" s="214" t="e">
        <f>IF((mortgage[[#This Row],[Year (Range)]]&gt;=$C$8)*(mortgage[[#This Row],[Year (Range)]]&lt;=$C$10),mortgage[[#This Row],[Cumulative Appreciation (EOY)]],NA())</f>
        <v>#N/A</v>
      </c>
      <c r="Q52" s="214" t="e">
        <f>IF((mortgage[[#This Row],[Year (Range)]]&gt;=$C$8)*(mortgage[[#This Row],[Year (Range)]]&lt;=$C$10),mortgage[[#This Row],[Cumulative Equity (EOY)]],NA())</f>
        <v>#N/A</v>
      </c>
      <c r="R52" s="214" t="e">
        <f>IF((mortgage[[#This Row],[Year (Range)]]&gt;=$C$8)*(mortgage[[#This Row],[Year (Range)]]&lt;=$C$10),mortgage[[#This Row],[Cumulative Total Indirect Housing Expenses]],NA())</f>
        <v>#N/A</v>
      </c>
      <c r="S52" s="214" t="e">
        <f>IF((mortgage[[#This Row],[Year (Range)]]&gt;=$C$8)*(mortgage[[#This Row],[Year (Range)]]&lt;=$C$10),mortgage[[#This Row],[Total Annual Indirect Housing Expenses]],NA())</f>
        <v>#N/A</v>
      </c>
      <c r="T52" s="214" t="e">
        <f>IF((mortgage[[#This Row],[Year (Range)]]&gt;=$C$8)*(mortgage[[#This Row],[Year (Range)]]&lt;=$C$10),mortgage[[#This Row],[Est. Home Value (EOY)]],NA())</f>
        <v>#N/A</v>
      </c>
      <c r="U52" s="164">
        <f>IF(U51&lt;W51,0,IF(I52&lt;='Data Entry'!$F$9,(U51-(W51+X51)),0))</f>
        <v>0</v>
      </c>
      <c r="V52" s="183">
        <f>SUMIF(monthly_mortgage_schedule[Calendar Year],mortgage[[#This Row],[Calendar Year]],monthly_mortgage_schedule[Interest With Extra Principal Payments])</f>
        <v>0</v>
      </c>
      <c r="W52" s="4">
        <f>SUMIF(monthly_mortgage_schedule[Calendar Year],mortgage[[#This Row],[Calendar Year]],monthly_mortgage_schedule[Principal With Extra Principal Payments])</f>
        <v>0</v>
      </c>
      <c r="X52" s="4">
        <f>SUMIF(monthly_mortgage_schedule[Calendar Year],mortgage[[#This Row],[Calendar Year]],monthly_mortgage_schedule[Extra Payments Towards Equity])</f>
        <v>0</v>
      </c>
      <c r="Y52" s="4">
        <f>Y51*(1+'Data Entry'!$C$8)</f>
        <v>22510.899634972211</v>
      </c>
      <c r="Z52" s="4">
        <f>SUMIF(monthly_mortgage_schedule[Calendar Year],mortgage[[#This Row],[Calendar Year]],monthly_mortgage_schedule[PMI with Additional Payments])</f>
        <v>0</v>
      </c>
      <c r="AA52" s="4">
        <f>mortgage[[#This Row],[Interest]]+mortgage[[#This Row],[Property Taxes]]</f>
        <v>22510.899634972211</v>
      </c>
      <c r="AB52" s="4">
        <f>AB51*(1+'Data Entry'!$C$10)</f>
        <v>3095.2486998086802</v>
      </c>
      <c r="AC52" s="4">
        <f>AC51*(1+'Data Entry'!$C$9)</f>
        <v>16883.174726229165</v>
      </c>
      <c r="AD52" s="4">
        <f>SUMIF(nonroutine_maintenance_expenses[Year (YYYY)],mortgage[[#This Row],[Calendar Year]],nonroutine_maintenance_expenses[Amount ($)])</f>
        <v>0</v>
      </c>
      <c r="AE52" s="4">
        <f>AE51*(1+'Data Entry'!C$7)</f>
        <v>2000154.2675107007</v>
      </c>
      <c r="AF52" s="4">
        <f t="shared" si="6"/>
        <v>1470159.6668735752</v>
      </c>
      <c r="AG52" s="4">
        <f>mortgage[[#This Row],[Principal]]+mortgage[[#This Row],[Extra Payment Towards Equity]]+AG51</f>
        <v>542995.30794004421</v>
      </c>
      <c r="AH52" s="4">
        <f t="shared" si="7"/>
        <v>506863.32958102686</v>
      </c>
      <c r="AI52" s="4">
        <f>AI51+mortgage[[#This Row],[Principal]]+mortgage[[#This Row],[Extra Payment Towards Equity]]</f>
        <v>602995.30794004421</v>
      </c>
      <c r="AJ52" s="180">
        <f>mortgage[[#This Row],[Cumulative Equity (EOY)]]/purchase_price</f>
        <v>1.0049921799000736</v>
      </c>
      <c r="AK52" s="180">
        <f>mortgage[[#This Row],[Loan Balance (BOY)]]/mortgage[[#This Row],[Est. Home Value (EOY)]]</f>
        <v>0</v>
      </c>
      <c r="AL52" s="4">
        <f t="shared" si="4"/>
        <v>0</v>
      </c>
      <c r="AM52" s="4">
        <f>SUM(mortgage[[#This Row],[Property Taxes]],mortgage[[#This Row],[PMI]],mortgage[[#This Row],[Homeowners Insurance]],mortgage[[#This Row],[Routine Maintenance]],mortgage[[#This Row],[Non-Routine Maintenance]])</f>
        <v>42489.323061010058</v>
      </c>
      <c r="AN52" s="160">
        <f>mortgage[[#This Row],[Total Annual Indirect Housing Expenses]]+AN51</f>
        <v>1011186.758428011</v>
      </c>
    </row>
    <row r="53" spans="9:40" x14ac:dyDescent="0.25">
      <c r="I53">
        <v>37</v>
      </c>
      <c r="J53">
        <f t="shared" si="5"/>
        <v>2058</v>
      </c>
      <c r="K53" s="198">
        <f>IF(mortgage[[#This Row],[Calendar Year]]&gt;=$C$8,mortgage[[#This Row],[Calendar Year]],NA())</f>
        <v>2058</v>
      </c>
      <c r="L53" s="199" t="e">
        <f>IF((mortgage[[#This Row],[Calendar Year]]&gt;=$C$8)*(mortgage[[#This Row],[Calendar Year]]&lt;=$C$10),mortgage[[#This Row],[Calendar Year]],NA())</f>
        <v>#N/A</v>
      </c>
      <c r="M53" s="214" t="e">
        <f>IF((mortgage[[#This Row],[Calendar Year]]&gt;=$C$8)*(mortgage[[#This Row],[Calendar Year]]&lt;=$C$10),mortgage[[#This Row],[Loan Balance (BOY)]],NA())</f>
        <v>#N/A</v>
      </c>
      <c r="N53" s="214" t="e">
        <f>IF((mortgage[[#This Row],[Begin Year (Range)]]&gt;=$C$8)*(mortgage[[#This Row],[Begin Year (Range)]]&lt;=$C$10),mortgage[[#This Row],[Cumulative Interest (EOY)]],NA())</f>
        <v>#N/A</v>
      </c>
      <c r="O53" s="214" t="e">
        <f>IF((mortgage[[#This Row],[Year (Range)]]&gt;=$C$8)*(mortgage[[#This Row],[Year (Range)]]&lt;=$C$10),mortgage[[#This Row],[Cumulative Principal (EOY)]],NA())</f>
        <v>#N/A</v>
      </c>
      <c r="P53" s="214" t="e">
        <f>IF((mortgage[[#This Row],[Year (Range)]]&gt;=$C$8)*(mortgage[[#This Row],[Year (Range)]]&lt;=$C$10),mortgage[[#This Row],[Cumulative Appreciation (EOY)]],NA())</f>
        <v>#N/A</v>
      </c>
      <c r="Q53" s="214" t="e">
        <f>IF((mortgage[[#This Row],[Year (Range)]]&gt;=$C$8)*(mortgage[[#This Row],[Year (Range)]]&lt;=$C$10),mortgage[[#This Row],[Cumulative Equity (EOY)]],NA())</f>
        <v>#N/A</v>
      </c>
      <c r="R53" s="214" t="e">
        <f>IF((mortgage[[#This Row],[Year (Range)]]&gt;=$C$8)*(mortgage[[#This Row],[Year (Range)]]&lt;=$C$10),mortgage[[#This Row],[Cumulative Total Indirect Housing Expenses]],NA())</f>
        <v>#N/A</v>
      </c>
      <c r="S53" s="214" t="e">
        <f>IF((mortgage[[#This Row],[Year (Range)]]&gt;=$C$8)*(mortgage[[#This Row],[Year (Range)]]&lt;=$C$10),mortgage[[#This Row],[Total Annual Indirect Housing Expenses]],NA())</f>
        <v>#N/A</v>
      </c>
      <c r="T53" s="214" t="e">
        <f>IF((mortgage[[#This Row],[Year (Range)]]&gt;=$C$8)*(mortgage[[#This Row],[Year (Range)]]&lt;=$C$10),mortgage[[#This Row],[Est. Home Value (EOY)]],NA())</f>
        <v>#N/A</v>
      </c>
      <c r="U53" s="164">
        <f>IF(U52&lt;W52,0,IF(I53&lt;='Data Entry'!$F$9,(U52-(W52+X52)),0))</f>
        <v>0</v>
      </c>
      <c r="V53" s="183">
        <f>SUMIF(monthly_mortgage_schedule[Calendar Year],mortgage[[#This Row],[Calendar Year]],monthly_mortgage_schedule[Interest With Extra Principal Payments])</f>
        <v>0</v>
      </c>
      <c r="W53" s="4">
        <f>SUMIF(monthly_mortgage_schedule[Calendar Year],mortgage[[#This Row],[Calendar Year]],monthly_mortgage_schedule[Principal With Extra Principal Payments])</f>
        <v>0</v>
      </c>
      <c r="X53" s="4">
        <f>SUMIF(monthly_mortgage_schedule[Calendar Year],mortgage[[#This Row],[Calendar Year]],monthly_mortgage_schedule[Extra Payments Towards Equity])</f>
        <v>0</v>
      </c>
      <c r="Y53" s="4">
        <f>Y52*(1+'Data Entry'!$C$8)</f>
        <v>23186.226624021379</v>
      </c>
      <c r="Z53" s="4">
        <f>SUMIF(monthly_mortgage_schedule[Calendar Year],mortgage[[#This Row],[Calendar Year]],monthly_mortgage_schedule[PMI with Additional Payments])</f>
        <v>0</v>
      </c>
      <c r="AA53" s="4">
        <f>mortgage[[#This Row],[Interest]]+mortgage[[#This Row],[Property Taxes]]</f>
        <v>23186.226624021379</v>
      </c>
      <c r="AB53" s="4">
        <f>AB52*(1+'Data Entry'!$C$10)</f>
        <v>3188.1061608029408</v>
      </c>
      <c r="AC53" s="4">
        <f>AC52*(1+'Data Entry'!$C$9)</f>
        <v>17389.669968016042</v>
      </c>
      <c r="AD53" s="4">
        <f>SUMIF(nonroutine_maintenance_expenses[Year (YYYY)],mortgage[[#This Row],[Calendar Year]],nonroutine_maintenance_expenses[Amount ($)])</f>
        <v>0</v>
      </c>
      <c r="AE53" s="4">
        <f>AE52*(1+'Data Entry'!C$7)</f>
        <v>2070159.6668735752</v>
      </c>
      <c r="AF53" s="4">
        <f t="shared" si="6"/>
        <v>1542615.2552141501</v>
      </c>
      <c r="AG53" s="4">
        <f>mortgage[[#This Row],[Principal]]+mortgage[[#This Row],[Extra Payment Towards Equity]]+AG52</f>
        <v>542995.30794004421</v>
      </c>
      <c r="AH53" s="4">
        <f t="shared" si="7"/>
        <v>506863.32958102686</v>
      </c>
      <c r="AI53" s="4">
        <f>AI52+mortgage[[#This Row],[Principal]]+mortgage[[#This Row],[Extra Payment Towards Equity]]</f>
        <v>602995.30794004421</v>
      </c>
      <c r="AJ53" s="180">
        <f>mortgage[[#This Row],[Cumulative Equity (EOY)]]/purchase_price</f>
        <v>1.0049921799000736</v>
      </c>
      <c r="AK53" s="180">
        <f>mortgage[[#This Row],[Loan Balance (BOY)]]/mortgage[[#This Row],[Est. Home Value (EOY)]]</f>
        <v>0</v>
      </c>
      <c r="AL53" s="4">
        <f t="shared" si="4"/>
        <v>0</v>
      </c>
      <c r="AM53" s="4">
        <f>SUM(mortgage[[#This Row],[Property Taxes]],mortgage[[#This Row],[PMI]],mortgage[[#This Row],[Homeowners Insurance]],mortgage[[#This Row],[Routine Maintenance]],mortgage[[#This Row],[Non-Routine Maintenance]])</f>
        <v>43764.002752840359</v>
      </c>
      <c r="AN53" s="160">
        <f>mortgage[[#This Row],[Total Annual Indirect Housing Expenses]]+AN52</f>
        <v>1054950.7611808514</v>
      </c>
    </row>
    <row r="54" spans="9:40" x14ac:dyDescent="0.25">
      <c r="I54">
        <v>38</v>
      </c>
      <c r="J54">
        <f t="shared" si="5"/>
        <v>2059</v>
      </c>
      <c r="K54" s="198">
        <f>IF(mortgage[[#This Row],[Calendar Year]]&gt;=$C$8,mortgage[[#This Row],[Calendar Year]],NA())</f>
        <v>2059</v>
      </c>
      <c r="L54" s="199" t="e">
        <f>IF((mortgage[[#This Row],[Calendar Year]]&gt;=$C$8)*(mortgage[[#This Row],[Calendar Year]]&lt;=$C$10),mortgage[[#This Row],[Calendar Year]],NA())</f>
        <v>#N/A</v>
      </c>
      <c r="M54" s="214" t="e">
        <f>IF((mortgage[[#This Row],[Calendar Year]]&gt;=$C$8)*(mortgage[[#This Row],[Calendar Year]]&lt;=$C$10),mortgage[[#This Row],[Loan Balance (BOY)]],NA())</f>
        <v>#N/A</v>
      </c>
      <c r="N54" s="214" t="e">
        <f>IF((mortgage[[#This Row],[Begin Year (Range)]]&gt;=$C$8)*(mortgage[[#This Row],[Begin Year (Range)]]&lt;=$C$10),mortgage[[#This Row],[Cumulative Interest (EOY)]],NA())</f>
        <v>#N/A</v>
      </c>
      <c r="O54" s="214" t="e">
        <f>IF((mortgage[[#This Row],[Year (Range)]]&gt;=$C$8)*(mortgage[[#This Row],[Year (Range)]]&lt;=$C$10),mortgage[[#This Row],[Cumulative Principal (EOY)]],NA())</f>
        <v>#N/A</v>
      </c>
      <c r="P54" s="214" t="e">
        <f>IF((mortgage[[#This Row],[Year (Range)]]&gt;=$C$8)*(mortgage[[#This Row],[Year (Range)]]&lt;=$C$10),mortgage[[#This Row],[Cumulative Appreciation (EOY)]],NA())</f>
        <v>#N/A</v>
      </c>
      <c r="Q54" s="214" t="e">
        <f>IF((mortgage[[#This Row],[Year (Range)]]&gt;=$C$8)*(mortgage[[#This Row],[Year (Range)]]&lt;=$C$10),mortgage[[#This Row],[Cumulative Equity (EOY)]],NA())</f>
        <v>#N/A</v>
      </c>
      <c r="R54" s="214" t="e">
        <f>IF((mortgage[[#This Row],[Year (Range)]]&gt;=$C$8)*(mortgage[[#This Row],[Year (Range)]]&lt;=$C$10),mortgage[[#This Row],[Cumulative Total Indirect Housing Expenses]],NA())</f>
        <v>#N/A</v>
      </c>
      <c r="S54" s="214" t="e">
        <f>IF((mortgage[[#This Row],[Year (Range)]]&gt;=$C$8)*(mortgage[[#This Row],[Year (Range)]]&lt;=$C$10),mortgage[[#This Row],[Total Annual Indirect Housing Expenses]],NA())</f>
        <v>#N/A</v>
      </c>
      <c r="T54" s="214" t="e">
        <f>IF((mortgage[[#This Row],[Year (Range)]]&gt;=$C$8)*(mortgage[[#This Row],[Year (Range)]]&lt;=$C$10),mortgage[[#This Row],[Est. Home Value (EOY)]],NA())</f>
        <v>#N/A</v>
      </c>
      <c r="U54" s="164">
        <f>IF(U53&lt;W53,0,IF(I54&lt;='Data Entry'!$F$9,(U53-(W53+X53)),0))</f>
        <v>0</v>
      </c>
      <c r="V54" s="183">
        <f>SUMIF(monthly_mortgage_schedule[Calendar Year],mortgage[[#This Row],[Calendar Year]],monthly_mortgage_schedule[Interest With Extra Principal Payments])</f>
        <v>0</v>
      </c>
      <c r="W54" s="4">
        <f>SUMIF(monthly_mortgage_schedule[Calendar Year],mortgage[[#This Row],[Calendar Year]],monthly_mortgage_schedule[Principal With Extra Principal Payments])</f>
        <v>0</v>
      </c>
      <c r="X54" s="4">
        <f>SUMIF(monthly_mortgage_schedule[Calendar Year],mortgage[[#This Row],[Calendar Year]],monthly_mortgage_schedule[Extra Payments Towards Equity])</f>
        <v>0</v>
      </c>
      <c r="Y54" s="4">
        <f>Y53*(1+'Data Entry'!$C$8)</f>
        <v>23881.81342274202</v>
      </c>
      <c r="Z54" s="4">
        <f>SUMIF(monthly_mortgage_schedule[Calendar Year],mortgage[[#This Row],[Calendar Year]],monthly_mortgage_schedule[PMI with Additional Payments])</f>
        <v>0</v>
      </c>
      <c r="AA54" s="4">
        <f>mortgage[[#This Row],[Interest]]+mortgage[[#This Row],[Property Taxes]]</f>
        <v>23881.81342274202</v>
      </c>
      <c r="AB54" s="4">
        <f>AB53*(1+'Data Entry'!$C$10)</f>
        <v>3283.749345627029</v>
      </c>
      <c r="AC54" s="4">
        <f>AC53*(1+'Data Entry'!$C$9)</f>
        <v>17911.360067056525</v>
      </c>
      <c r="AD54" s="4">
        <f>SUMIF(nonroutine_maintenance_expenses[Year (YYYY)],mortgage[[#This Row],[Calendar Year]],nonroutine_maintenance_expenses[Amount ($)])</f>
        <v>0</v>
      </c>
      <c r="AE54" s="4">
        <f>AE53*(1+'Data Entry'!C$7)</f>
        <v>2142615.2552141501</v>
      </c>
      <c r="AF54" s="4">
        <f t="shared" si="6"/>
        <v>1617606.789146645</v>
      </c>
      <c r="AG54" s="4">
        <f>mortgage[[#This Row],[Principal]]+mortgage[[#This Row],[Extra Payment Towards Equity]]+AG53</f>
        <v>542995.30794004421</v>
      </c>
      <c r="AH54" s="4">
        <f t="shared" si="7"/>
        <v>506863.32958102686</v>
      </c>
      <c r="AI54" s="4">
        <f>AI53+mortgage[[#This Row],[Principal]]+mortgage[[#This Row],[Extra Payment Towards Equity]]</f>
        <v>602995.30794004421</v>
      </c>
      <c r="AJ54" s="180">
        <f>mortgage[[#This Row],[Cumulative Equity (EOY)]]/purchase_price</f>
        <v>1.0049921799000736</v>
      </c>
      <c r="AK54" s="180">
        <f>mortgage[[#This Row],[Loan Balance (BOY)]]/mortgage[[#This Row],[Est. Home Value (EOY)]]</f>
        <v>0</v>
      </c>
      <c r="AL54" s="4">
        <f t="shared" si="4"/>
        <v>0</v>
      </c>
      <c r="AM54" s="4">
        <f>SUM(mortgage[[#This Row],[Property Taxes]],mortgage[[#This Row],[PMI]],mortgage[[#This Row],[Homeowners Insurance]],mortgage[[#This Row],[Routine Maintenance]],mortgage[[#This Row],[Non-Routine Maintenance]])</f>
        <v>45076.922835425576</v>
      </c>
      <c r="AN54" s="160">
        <f>mortgage[[#This Row],[Total Annual Indirect Housing Expenses]]+AN53</f>
        <v>1100027.6840162768</v>
      </c>
    </row>
    <row r="55" spans="9:40" x14ac:dyDescent="0.25">
      <c r="I55">
        <v>39</v>
      </c>
      <c r="J55">
        <f t="shared" si="5"/>
        <v>2060</v>
      </c>
      <c r="K55" s="198">
        <f>IF(mortgage[[#This Row],[Calendar Year]]&gt;=$C$8,mortgage[[#This Row],[Calendar Year]],NA())</f>
        <v>2060</v>
      </c>
      <c r="L55" s="199" t="e">
        <f>IF((mortgage[[#This Row],[Calendar Year]]&gt;=$C$8)*(mortgage[[#This Row],[Calendar Year]]&lt;=$C$10),mortgage[[#This Row],[Calendar Year]],NA())</f>
        <v>#N/A</v>
      </c>
      <c r="M55" s="214" t="e">
        <f>IF((mortgage[[#This Row],[Calendar Year]]&gt;=$C$8)*(mortgage[[#This Row],[Calendar Year]]&lt;=$C$10),mortgage[[#This Row],[Loan Balance (BOY)]],NA())</f>
        <v>#N/A</v>
      </c>
      <c r="N55" s="214" t="e">
        <f>IF((mortgage[[#This Row],[Begin Year (Range)]]&gt;=$C$8)*(mortgage[[#This Row],[Begin Year (Range)]]&lt;=$C$10),mortgage[[#This Row],[Cumulative Interest (EOY)]],NA())</f>
        <v>#N/A</v>
      </c>
      <c r="O55" s="214" t="e">
        <f>IF((mortgage[[#This Row],[Year (Range)]]&gt;=$C$8)*(mortgage[[#This Row],[Year (Range)]]&lt;=$C$10),mortgage[[#This Row],[Cumulative Principal (EOY)]],NA())</f>
        <v>#N/A</v>
      </c>
      <c r="P55" s="214" t="e">
        <f>IF((mortgage[[#This Row],[Year (Range)]]&gt;=$C$8)*(mortgage[[#This Row],[Year (Range)]]&lt;=$C$10),mortgage[[#This Row],[Cumulative Appreciation (EOY)]],NA())</f>
        <v>#N/A</v>
      </c>
      <c r="Q55" s="214" t="e">
        <f>IF((mortgage[[#This Row],[Year (Range)]]&gt;=$C$8)*(mortgage[[#This Row],[Year (Range)]]&lt;=$C$10),mortgage[[#This Row],[Cumulative Equity (EOY)]],NA())</f>
        <v>#N/A</v>
      </c>
      <c r="R55" s="214" t="e">
        <f>IF((mortgage[[#This Row],[Year (Range)]]&gt;=$C$8)*(mortgage[[#This Row],[Year (Range)]]&lt;=$C$10),mortgage[[#This Row],[Cumulative Total Indirect Housing Expenses]],NA())</f>
        <v>#N/A</v>
      </c>
      <c r="S55" s="214" t="e">
        <f>IF((mortgage[[#This Row],[Year (Range)]]&gt;=$C$8)*(mortgage[[#This Row],[Year (Range)]]&lt;=$C$10),mortgage[[#This Row],[Total Annual Indirect Housing Expenses]],NA())</f>
        <v>#N/A</v>
      </c>
      <c r="T55" s="214" t="e">
        <f>IF((mortgage[[#This Row],[Year (Range)]]&gt;=$C$8)*(mortgage[[#This Row],[Year (Range)]]&lt;=$C$10),mortgage[[#This Row],[Est. Home Value (EOY)]],NA())</f>
        <v>#N/A</v>
      </c>
      <c r="U55" s="164">
        <f>IF(U54&lt;W54,0,IF(I55&lt;='Data Entry'!$F$9,(U54-(W54+X54)),0))</f>
        <v>0</v>
      </c>
      <c r="V55" s="183">
        <f>SUMIF(monthly_mortgage_schedule[Calendar Year],mortgage[[#This Row],[Calendar Year]],monthly_mortgage_schedule[Interest With Extra Principal Payments])</f>
        <v>0</v>
      </c>
      <c r="W55" s="4">
        <f>SUMIF(monthly_mortgage_schedule[Calendar Year],mortgage[[#This Row],[Calendar Year]],monthly_mortgage_schedule[Principal With Extra Principal Payments])</f>
        <v>0</v>
      </c>
      <c r="X55" s="4">
        <f>SUMIF(monthly_mortgage_schedule[Calendar Year],mortgage[[#This Row],[Calendar Year]],monthly_mortgage_schedule[Extra Payments Towards Equity])</f>
        <v>0</v>
      </c>
      <c r="Y55" s="4">
        <f>Y54*(1+'Data Entry'!$C$8)</f>
        <v>24598.267825424282</v>
      </c>
      <c r="Z55" s="4">
        <f>SUMIF(monthly_mortgage_schedule[Calendar Year],mortgage[[#This Row],[Calendar Year]],monthly_mortgage_schedule[PMI with Additional Payments])</f>
        <v>0</v>
      </c>
      <c r="AA55" s="4">
        <f>mortgage[[#This Row],[Interest]]+mortgage[[#This Row],[Property Taxes]]</f>
        <v>24598.267825424282</v>
      </c>
      <c r="AB55" s="4">
        <f>AB54*(1+'Data Entry'!$C$10)</f>
        <v>3382.2618259958399</v>
      </c>
      <c r="AC55" s="4">
        <f>AC54*(1+'Data Entry'!$C$9)</f>
        <v>18448.70086906822</v>
      </c>
      <c r="AD55" s="4">
        <f>SUMIF(nonroutine_maintenance_expenses[Year (YYYY)],mortgage[[#This Row],[Calendar Year]],nonroutine_maintenance_expenses[Amount ($)])</f>
        <v>0</v>
      </c>
      <c r="AE55" s="4">
        <f>AE54*(1+'Data Entry'!C$7)</f>
        <v>2217606.789146645</v>
      </c>
      <c r="AF55" s="4">
        <f t="shared" si="6"/>
        <v>1695223.0267667775</v>
      </c>
      <c r="AG55" s="4">
        <f>mortgage[[#This Row],[Principal]]+mortgage[[#This Row],[Extra Payment Towards Equity]]+AG54</f>
        <v>542995.30794004421</v>
      </c>
      <c r="AH55" s="4">
        <f t="shared" si="7"/>
        <v>506863.32958102686</v>
      </c>
      <c r="AI55" s="4">
        <f>AI54+mortgage[[#This Row],[Principal]]+mortgage[[#This Row],[Extra Payment Towards Equity]]</f>
        <v>602995.30794004421</v>
      </c>
      <c r="AJ55" s="180">
        <f>mortgage[[#This Row],[Cumulative Equity (EOY)]]/purchase_price</f>
        <v>1.0049921799000736</v>
      </c>
      <c r="AK55" s="180">
        <f>mortgage[[#This Row],[Loan Balance (BOY)]]/mortgage[[#This Row],[Est. Home Value (EOY)]]</f>
        <v>0</v>
      </c>
      <c r="AL55" s="4">
        <f t="shared" si="4"/>
        <v>0</v>
      </c>
      <c r="AM55" s="4">
        <f>SUM(mortgage[[#This Row],[Property Taxes]],mortgage[[#This Row],[PMI]],mortgage[[#This Row],[Homeowners Insurance]],mortgage[[#This Row],[Routine Maintenance]],mortgage[[#This Row],[Non-Routine Maintenance]])</f>
        <v>46429.230520488345</v>
      </c>
      <c r="AN55" s="160">
        <f>mortgage[[#This Row],[Total Annual Indirect Housing Expenses]]+AN54</f>
        <v>1146456.9145367653</v>
      </c>
    </row>
    <row r="56" spans="9:40" x14ac:dyDescent="0.25">
      <c r="I56">
        <v>40</v>
      </c>
      <c r="J56">
        <f t="shared" si="5"/>
        <v>2061</v>
      </c>
      <c r="K56" s="198">
        <f>IF(mortgage[[#This Row],[Calendar Year]]&gt;=$C$8,mortgage[[#This Row],[Calendar Year]],NA())</f>
        <v>2061</v>
      </c>
      <c r="L56" s="199" t="e">
        <f>IF((mortgage[[#This Row],[Calendar Year]]&gt;=$C$8)*(mortgage[[#This Row],[Calendar Year]]&lt;=$C$10),mortgage[[#This Row],[Calendar Year]],NA())</f>
        <v>#N/A</v>
      </c>
      <c r="M56" s="214" t="e">
        <f>IF((mortgage[[#This Row],[Calendar Year]]&gt;=$C$8)*(mortgage[[#This Row],[Calendar Year]]&lt;=$C$10),mortgage[[#This Row],[Loan Balance (BOY)]],NA())</f>
        <v>#N/A</v>
      </c>
      <c r="N56" s="214" t="e">
        <f>IF((mortgage[[#This Row],[Begin Year (Range)]]&gt;=$C$8)*(mortgage[[#This Row],[Begin Year (Range)]]&lt;=$C$10),mortgage[[#This Row],[Cumulative Interest (EOY)]],NA())</f>
        <v>#N/A</v>
      </c>
      <c r="O56" s="214" t="e">
        <f>IF((mortgage[[#This Row],[Year (Range)]]&gt;=$C$8)*(mortgage[[#This Row],[Year (Range)]]&lt;=$C$10),mortgage[[#This Row],[Cumulative Principal (EOY)]],NA())</f>
        <v>#N/A</v>
      </c>
      <c r="P56" s="214" t="e">
        <f>IF((mortgage[[#This Row],[Year (Range)]]&gt;=$C$8)*(mortgage[[#This Row],[Year (Range)]]&lt;=$C$10),mortgage[[#This Row],[Cumulative Appreciation (EOY)]],NA())</f>
        <v>#N/A</v>
      </c>
      <c r="Q56" s="214" t="e">
        <f>IF((mortgage[[#This Row],[Year (Range)]]&gt;=$C$8)*(mortgage[[#This Row],[Year (Range)]]&lt;=$C$10),mortgage[[#This Row],[Cumulative Equity (EOY)]],NA())</f>
        <v>#N/A</v>
      </c>
      <c r="R56" s="214" t="e">
        <f>IF((mortgage[[#This Row],[Year (Range)]]&gt;=$C$8)*(mortgage[[#This Row],[Year (Range)]]&lt;=$C$10),mortgage[[#This Row],[Cumulative Total Indirect Housing Expenses]],NA())</f>
        <v>#N/A</v>
      </c>
      <c r="S56" s="214" t="e">
        <f>IF((mortgage[[#This Row],[Year (Range)]]&gt;=$C$8)*(mortgage[[#This Row],[Year (Range)]]&lt;=$C$10),mortgage[[#This Row],[Total Annual Indirect Housing Expenses]],NA())</f>
        <v>#N/A</v>
      </c>
      <c r="T56" s="214" t="e">
        <f>IF((mortgage[[#This Row],[Year (Range)]]&gt;=$C$8)*(mortgage[[#This Row],[Year (Range)]]&lt;=$C$10),mortgage[[#This Row],[Est. Home Value (EOY)]],NA())</f>
        <v>#N/A</v>
      </c>
      <c r="U56" s="164">
        <f>IF(U55&lt;W55,0,IF(I56&lt;='Data Entry'!$F$9,(U55-(W55+X55)),0))</f>
        <v>0</v>
      </c>
      <c r="V56" s="183">
        <f>SUMIF(monthly_mortgage_schedule[Calendar Year],mortgage[[#This Row],[Calendar Year]],monthly_mortgage_schedule[Interest With Extra Principal Payments])</f>
        <v>0</v>
      </c>
      <c r="W56" s="4">
        <f>SUMIF(monthly_mortgage_schedule[Calendar Year],mortgage[[#This Row],[Calendar Year]],monthly_mortgage_schedule[Principal With Extra Principal Payments])</f>
        <v>0</v>
      </c>
      <c r="X56" s="4">
        <f>SUMIF(monthly_mortgage_schedule[Calendar Year],mortgage[[#This Row],[Calendar Year]],monthly_mortgage_schedule[Extra Payments Towards Equity])</f>
        <v>0</v>
      </c>
      <c r="Y56" s="4">
        <f>Y55*(1+'Data Entry'!$C$8)</f>
        <v>25336.215860187011</v>
      </c>
      <c r="Z56" s="4">
        <f>SUMIF(monthly_mortgage_schedule[Calendar Year],mortgage[[#This Row],[Calendar Year]],monthly_mortgage_schedule[PMI with Additional Payments])</f>
        <v>0</v>
      </c>
      <c r="AA56" s="4">
        <f>mortgage[[#This Row],[Interest]]+mortgage[[#This Row],[Property Taxes]]</f>
        <v>25336.215860187011</v>
      </c>
      <c r="AB56" s="4">
        <f>AB55*(1+'Data Entry'!$C$10)</f>
        <v>3483.7296807757152</v>
      </c>
      <c r="AC56" s="4">
        <f>AC55*(1+'Data Entry'!$C$9)</f>
        <v>19002.161895140267</v>
      </c>
      <c r="AD56" s="4">
        <f>SUMIF(nonroutine_maintenance_expenses[Year (YYYY)],mortgage[[#This Row],[Calendar Year]],nonroutine_maintenance_expenses[Amount ($)])</f>
        <v>0</v>
      </c>
      <c r="AE56" s="4">
        <f>AE55*(1+'Data Entry'!C$7)</f>
        <v>2295223.0267667775</v>
      </c>
      <c r="AF56" s="4">
        <f t="shared" si="6"/>
        <v>1775555.8327036146</v>
      </c>
      <c r="AG56" s="4">
        <f>mortgage[[#This Row],[Principal]]+mortgage[[#This Row],[Extra Payment Towards Equity]]+AG55</f>
        <v>542995.30794004421</v>
      </c>
      <c r="AH56" s="4">
        <f t="shared" si="7"/>
        <v>506863.32958102686</v>
      </c>
      <c r="AI56" s="4">
        <f>AI55+mortgage[[#This Row],[Principal]]+mortgage[[#This Row],[Extra Payment Towards Equity]]</f>
        <v>602995.30794004421</v>
      </c>
      <c r="AJ56" s="180">
        <f>mortgage[[#This Row],[Cumulative Equity (EOY)]]/purchase_price</f>
        <v>1.0049921799000736</v>
      </c>
      <c r="AK56" s="180">
        <f>mortgage[[#This Row],[Loan Balance (BOY)]]/mortgage[[#This Row],[Est. Home Value (EOY)]]</f>
        <v>0</v>
      </c>
      <c r="AL56" s="4">
        <f t="shared" si="4"/>
        <v>0</v>
      </c>
      <c r="AM56" s="4">
        <f>SUM(mortgage[[#This Row],[Property Taxes]],mortgage[[#This Row],[PMI]],mortgage[[#This Row],[Homeowners Insurance]],mortgage[[#This Row],[Routine Maintenance]],mortgage[[#This Row],[Non-Routine Maintenance]])</f>
        <v>47822.10743610299</v>
      </c>
      <c r="AN56" s="160">
        <f>mortgage[[#This Row],[Total Annual Indirect Housing Expenses]]+AN55</f>
        <v>1194279.0219728684</v>
      </c>
    </row>
    <row r="57" spans="9:40" x14ac:dyDescent="0.25">
      <c r="I57">
        <v>41</v>
      </c>
      <c r="J57">
        <f t="shared" si="5"/>
        <v>2062</v>
      </c>
      <c r="K57" s="198">
        <f>IF(mortgage[[#This Row],[Calendar Year]]&gt;=$C$8,mortgage[[#This Row],[Calendar Year]],NA())</f>
        <v>2062</v>
      </c>
      <c r="L57" s="199" t="e">
        <f>IF((mortgage[[#This Row],[Calendar Year]]&gt;=$C$8)*(mortgage[[#This Row],[Calendar Year]]&lt;=$C$10),mortgage[[#This Row],[Calendar Year]],NA())</f>
        <v>#N/A</v>
      </c>
      <c r="M57" s="214" t="e">
        <f>IF((mortgage[[#This Row],[Calendar Year]]&gt;=$C$8)*(mortgage[[#This Row],[Calendar Year]]&lt;=$C$10),mortgage[[#This Row],[Loan Balance (BOY)]],NA())</f>
        <v>#N/A</v>
      </c>
      <c r="N57" s="214" t="e">
        <f>IF((mortgage[[#This Row],[Begin Year (Range)]]&gt;=$C$8)*(mortgage[[#This Row],[Begin Year (Range)]]&lt;=$C$10),mortgage[[#This Row],[Cumulative Interest (EOY)]],NA())</f>
        <v>#N/A</v>
      </c>
      <c r="O57" s="214" t="e">
        <f>IF((mortgage[[#This Row],[Year (Range)]]&gt;=$C$8)*(mortgage[[#This Row],[Year (Range)]]&lt;=$C$10),mortgage[[#This Row],[Cumulative Principal (EOY)]],NA())</f>
        <v>#N/A</v>
      </c>
      <c r="P57" s="214" t="e">
        <f>IF((mortgage[[#This Row],[Year (Range)]]&gt;=$C$8)*(mortgage[[#This Row],[Year (Range)]]&lt;=$C$10),mortgage[[#This Row],[Cumulative Appreciation (EOY)]],NA())</f>
        <v>#N/A</v>
      </c>
      <c r="Q57" s="214" t="e">
        <f>IF((mortgage[[#This Row],[Year (Range)]]&gt;=$C$8)*(mortgage[[#This Row],[Year (Range)]]&lt;=$C$10),mortgage[[#This Row],[Cumulative Equity (EOY)]],NA())</f>
        <v>#N/A</v>
      </c>
      <c r="R57" s="214" t="e">
        <f>IF((mortgage[[#This Row],[Year (Range)]]&gt;=$C$8)*(mortgage[[#This Row],[Year (Range)]]&lt;=$C$10),mortgage[[#This Row],[Cumulative Total Indirect Housing Expenses]],NA())</f>
        <v>#N/A</v>
      </c>
      <c r="S57" s="214" t="e">
        <f>IF((mortgage[[#This Row],[Year (Range)]]&gt;=$C$8)*(mortgage[[#This Row],[Year (Range)]]&lt;=$C$10),mortgage[[#This Row],[Total Annual Indirect Housing Expenses]],NA())</f>
        <v>#N/A</v>
      </c>
      <c r="T57" s="214" t="e">
        <f>IF((mortgage[[#This Row],[Year (Range)]]&gt;=$C$8)*(mortgage[[#This Row],[Year (Range)]]&lt;=$C$10),mortgage[[#This Row],[Est. Home Value (EOY)]],NA())</f>
        <v>#N/A</v>
      </c>
      <c r="U57" s="164">
        <f>IF(U56&lt;W56,0,IF(I57&lt;='Data Entry'!$F$9,(U56-(W56+X56)),0))</f>
        <v>0</v>
      </c>
      <c r="V57" s="183">
        <f>SUMIF(monthly_mortgage_schedule[Calendar Year],mortgage[[#This Row],[Calendar Year]],monthly_mortgage_schedule[Interest With Extra Principal Payments])</f>
        <v>0</v>
      </c>
      <c r="W57" s="4">
        <f>SUMIF(monthly_mortgage_schedule[Calendar Year],mortgage[[#This Row],[Calendar Year]],monthly_mortgage_schedule[Principal With Extra Principal Payments])</f>
        <v>0</v>
      </c>
      <c r="X57" s="4">
        <f>SUMIF(monthly_mortgage_schedule[Calendar Year],mortgage[[#This Row],[Calendar Year]],monthly_mortgage_schedule[Extra Payments Towards Equity])</f>
        <v>0</v>
      </c>
      <c r="Y57" s="4">
        <f>Y56*(1+'Data Entry'!$C$8)</f>
        <v>26096.302335992623</v>
      </c>
      <c r="Z57" s="4">
        <f>SUMIF(monthly_mortgage_schedule[Calendar Year],mortgage[[#This Row],[Calendar Year]],monthly_mortgage_schedule[PMI with Additional Payments])</f>
        <v>0</v>
      </c>
      <c r="AA57" s="4">
        <f>mortgage[[#This Row],[Interest]]+mortgage[[#This Row],[Property Taxes]]</f>
        <v>26096.302335992623</v>
      </c>
      <c r="AB57" s="4">
        <f>AB56*(1+'Data Entry'!$C$10)</f>
        <v>3588.2415711989865</v>
      </c>
      <c r="AC57" s="4">
        <f>AC56*(1+'Data Entry'!$C$9)</f>
        <v>19572.226751994476</v>
      </c>
      <c r="AD57" s="4">
        <f>SUMIF(nonroutine_maintenance_expenses[Year (YYYY)],mortgage[[#This Row],[Calendar Year]],nonroutine_maintenance_expenses[Amount ($)])</f>
        <v>0</v>
      </c>
      <c r="AE57" s="4">
        <f>AE56*(1+'Data Entry'!C$7)</f>
        <v>2375555.8327036146</v>
      </c>
      <c r="AF57" s="4">
        <f t="shared" si="6"/>
        <v>1858700.286848241</v>
      </c>
      <c r="AG57" s="4">
        <f>mortgage[[#This Row],[Principal]]+mortgage[[#This Row],[Extra Payment Towards Equity]]+AG56</f>
        <v>542995.30794004421</v>
      </c>
      <c r="AH57" s="4">
        <f t="shared" si="7"/>
        <v>506863.32958102686</v>
      </c>
      <c r="AI57" s="4">
        <f>AI56+mortgage[[#This Row],[Principal]]+mortgage[[#This Row],[Extra Payment Towards Equity]]</f>
        <v>602995.30794004421</v>
      </c>
      <c r="AJ57" s="180">
        <f>mortgage[[#This Row],[Cumulative Equity (EOY)]]/purchase_price</f>
        <v>1.0049921799000736</v>
      </c>
      <c r="AK57" s="180">
        <f>mortgage[[#This Row],[Loan Balance (BOY)]]/mortgage[[#This Row],[Est. Home Value (EOY)]]</f>
        <v>0</v>
      </c>
      <c r="AL57" s="4">
        <f t="shared" si="4"/>
        <v>0</v>
      </c>
      <c r="AM57" s="4">
        <f>SUM(mortgage[[#This Row],[Property Taxes]],mortgage[[#This Row],[PMI]],mortgage[[#This Row],[Homeowners Insurance]],mortgage[[#This Row],[Routine Maintenance]],mortgage[[#This Row],[Non-Routine Maintenance]])</f>
        <v>49256.770659186084</v>
      </c>
      <c r="AN57" s="160">
        <f>mortgage[[#This Row],[Total Annual Indirect Housing Expenses]]+AN56</f>
        <v>1243535.7926320545</v>
      </c>
    </row>
    <row r="58" spans="9:40" x14ac:dyDescent="0.25">
      <c r="I58">
        <v>42</v>
      </c>
      <c r="J58">
        <f t="shared" si="5"/>
        <v>2063</v>
      </c>
      <c r="K58" s="198">
        <f>IF(mortgage[[#This Row],[Calendar Year]]&gt;=$C$8,mortgage[[#This Row],[Calendar Year]],NA())</f>
        <v>2063</v>
      </c>
      <c r="L58" s="199" t="e">
        <f>IF((mortgage[[#This Row],[Calendar Year]]&gt;=$C$8)*(mortgage[[#This Row],[Calendar Year]]&lt;=$C$10),mortgage[[#This Row],[Calendar Year]],NA())</f>
        <v>#N/A</v>
      </c>
      <c r="M58" s="214" t="e">
        <f>IF((mortgage[[#This Row],[Calendar Year]]&gt;=$C$8)*(mortgage[[#This Row],[Calendar Year]]&lt;=$C$10),mortgage[[#This Row],[Loan Balance (BOY)]],NA())</f>
        <v>#N/A</v>
      </c>
      <c r="N58" s="214" t="e">
        <f>IF((mortgage[[#This Row],[Begin Year (Range)]]&gt;=$C$8)*(mortgage[[#This Row],[Begin Year (Range)]]&lt;=$C$10),mortgage[[#This Row],[Cumulative Interest (EOY)]],NA())</f>
        <v>#N/A</v>
      </c>
      <c r="O58" s="214" t="e">
        <f>IF((mortgage[[#This Row],[Year (Range)]]&gt;=$C$8)*(mortgage[[#This Row],[Year (Range)]]&lt;=$C$10),mortgage[[#This Row],[Cumulative Principal (EOY)]],NA())</f>
        <v>#N/A</v>
      </c>
      <c r="P58" s="214" t="e">
        <f>IF((mortgage[[#This Row],[Year (Range)]]&gt;=$C$8)*(mortgage[[#This Row],[Year (Range)]]&lt;=$C$10),mortgage[[#This Row],[Cumulative Appreciation (EOY)]],NA())</f>
        <v>#N/A</v>
      </c>
      <c r="Q58" s="214" t="e">
        <f>IF((mortgage[[#This Row],[Year (Range)]]&gt;=$C$8)*(mortgage[[#This Row],[Year (Range)]]&lt;=$C$10),mortgage[[#This Row],[Cumulative Equity (EOY)]],NA())</f>
        <v>#N/A</v>
      </c>
      <c r="R58" s="214" t="e">
        <f>IF((mortgage[[#This Row],[Year (Range)]]&gt;=$C$8)*(mortgage[[#This Row],[Year (Range)]]&lt;=$C$10),mortgage[[#This Row],[Cumulative Total Indirect Housing Expenses]],NA())</f>
        <v>#N/A</v>
      </c>
      <c r="S58" s="214" t="e">
        <f>IF((mortgage[[#This Row],[Year (Range)]]&gt;=$C$8)*(mortgage[[#This Row],[Year (Range)]]&lt;=$C$10),mortgage[[#This Row],[Total Annual Indirect Housing Expenses]],NA())</f>
        <v>#N/A</v>
      </c>
      <c r="T58" s="214" t="e">
        <f>IF((mortgage[[#This Row],[Year (Range)]]&gt;=$C$8)*(mortgage[[#This Row],[Year (Range)]]&lt;=$C$10),mortgage[[#This Row],[Est. Home Value (EOY)]],NA())</f>
        <v>#N/A</v>
      </c>
      <c r="U58" s="164">
        <f>IF(U57&lt;W57,0,IF(I58&lt;='Data Entry'!$F$9,(U57-(W57+X57)),0))</f>
        <v>0</v>
      </c>
      <c r="V58" s="183">
        <f>SUMIF(monthly_mortgage_schedule[Calendar Year],mortgage[[#This Row],[Calendar Year]],monthly_mortgage_schedule[Interest With Extra Principal Payments])</f>
        <v>0</v>
      </c>
      <c r="W58" s="4">
        <f>SUMIF(monthly_mortgage_schedule[Calendar Year],mortgage[[#This Row],[Calendar Year]],monthly_mortgage_schedule[Principal With Extra Principal Payments])</f>
        <v>0</v>
      </c>
      <c r="X58" s="4">
        <f>SUMIF(monthly_mortgage_schedule[Calendar Year],mortgage[[#This Row],[Calendar Year]],monthly_mortgage_schedule[Extra Payments Towards Equity])</f>
        <v>0</v>
      </c>
      <c r="Y58" s="4">
        <f>Y57*(1+'Data Entry'!$C$8)</f>
        <v>26879.191406072401</v>
      </c>
      <c r="Z58" s="4">
        <f>SUMIF(monthly_mortgage_schedule[Calendar Year],mortgage[[#This Row],[Calendar Year]],monthly_mortgage_schedule[PMI with Additional Payments])</f>
        <v>0</v>
      </c>
      <c r="AA58" s="4">
        <f>mortgage[[#This Row],[Interest]]+mortgage[[#This Row],[Property Taxes]]</f>
        <v>26879.191406072401</v>
      </c>
      <c r="AB58" s="4">
        <f>AB57*(1+'Data Entry'!$C$10)</f>
        <v>3695.8888183349563</v>
      </c>
      <c r="AC58" s="4">
        <f>AC57*(1+'Data Entry'!$C$9)</f>
        <v>20159.39355455431</v>
      </c>
      <c r="AD58" s="4">
        <f>SUMIF(nonroutine_maintenance_expenses[Year (YYYY)],mortgage[[#This Row],[Calendar Year]],nonroutine_maintenance_expenses[Amount ($)])</f>
        <v>0</v>
      </c>
      <c r="AE58" s="4">
        <f>AE57*(1+'Data Entry'!C$7)</f>
        <v>2458700.286848241</v>
      </c>
      <c r="AF58" s="4">
        <f t="shared" si="6"/>
        <v>1944754.7968879291</v>
      </c>
      <c r="AG58" s="4">
        <f>mortgage[[#This Row],[Principal]]+mortgage[[#This Row],[Extra Payment Towards Equity]]+AG57</f>
        <v>542995.30794004421</v>
      </c>
      <c r="AH58" s="4">
        <f t="shared" si="7"/>
        <v>506863.32958102686</v>
      </c>
      <c r="AI58" s="4">
        <f>AI57+mortgage[[#This Row],[Principal]]+mortgage[[#This Row],[Extra Payment Towards Equity]]</f>
        <v>602995.30794004421</v>
      </c>
      <c r="AJ58" s="180">
        <f>mortgage[[#This Row],[Cumulative Equity (EOY)]]/purchase_price</f>
        <v>1.0049921799000736</v>
      </c>
      <c r="AK58" s="180">
        <f>mortgage[[#This Row],[Loan Balance (BOY)]]/mortgage[[#This Row],[Est. Home Value (EOY)]]</f>
        <v>0</v>
      </c>
      <c r="AL58" s="4">
        <f t="shared" si="4"/>
        <v>0</v>
      </c>
      <c r="AM58" s="4">
        <f>SUM(mortgage[[#This Row],[Property Taxes]],mortgage[[#This Row],[PMI]],mortgage[[#This Row],[Homeowners Insurance]],mortgage[[#This Row],[Routine Maintenance]],mortgage[[#This Row],[Non-Routine Maintenance]])</f>
        <v>50734.473778961663</v>
      </c>
      <c r="AN58" s="160">
        <f>mortgage[[#This Row],[Total Annual Indirect Housing Expenses]]+AN57</f>
        <v>1294270.2664110162</v>
      </c>
    </row>
    <row r="59" spans="9:40" x14ac:dyDescent="0.25">
      <c r="I59">
        <v>43</v>
      </c>
      <c r="J59">
        <f t="shared" si="5"/>
        <v>2064</v>
      </c>
      <c r="K59" s="198">
        <f>IF(mortgage[[#This Row],[Calendar Year]]&gt;=$C$8,mortgage[[#This Row],[Calendar Year]],NA())</f>
        <v>2064</v>
      </c>
      <c r="L59" s="199" t="e">
        <f>IF((mortgage[[#This Row],[Calendar Year]]&gt;=$C$8)*(mortgage[[#This Row],[Calendar Year]]&lt;=$C$10),mortgage[[#This Row],[Calendar Year]],NA())</f>
        <v>#N/A</v>
      </c>
      <c r="M59" s="214" t="e">
        <f>IF((mortgage[[#This Row],[Calendar Year]]&gt;=$C$8)*(mortgage[[#This Row],[Calendar Year]]&lt;=$C$10),mortgage[[#This Row],[Loan Balance (BOY)]],NA())</f>
        <v>#N/A</v>
      </c>
      <c r="N59" s="214" t="e">
        <f>IF((mortgage[[#This Row],[Begin Year (Range)]]&gt;=$C$8)*(mortgage[[#This Row],[Begin Year (Range)]]&lt;=$C$10),mortgage[[#This Row],[Cumulative Interest (EOY)]],NA())</f>
        <v>#N/A</v>
      </c>
      <c r="O59" s="214" t="e">
        <f>IF((mortgage[[#This Row],[Year (Range)]]&gt;=$C$8)*(mortgage[[#This Row],[Year (Range)]]&lt;=$C$10),mortgage[[#This Row],[Cumulative Principal (EOY)]],NA())</f>
        <v>#N/A</v>
      </c>
      <c r="P59" s="214" t="e">
        <f>IF((mortgage[[#This Row],[Year (Range)]]&gt;=$C$8)*(mortgage[[#This Row],[Year (Range)]]&lt;=$C$10),mortgage[[#This Row],[Cumulative Appreciation (EOY)]],NA())</f>
        <v>#N/A</v>
      </c>
      <c r="Q59" s="214" t="e">
        <f>IF((mortgage[[#This Row],[Year (Range)]]&gt;=$C$8)*(mortgage[[#This Row],[Year (Range)]]&lt;=$C$10),mortgage[[#This Row],[Cumulative Equity (EOY)]],NA())</f>
        <v>#N/A</v>
      </c>
      <c r="R59" s="214" t="e">
        <f>IF((mortgage[[#This Row],[Year (Range)]]&gt;=$C$8)*(mortgage[[#This Row],[Year (Range)]]&lt;=$C$10),mortgage[[#This Row],[Cumulative Total Indirect Housing Expenses]],NA())</f>
        <v>#N/A</v>
      </c>
      <c r="S59" s="214" t="e">
        <f>IF((mortgage[[#This Row],[Year (Range)]]&gt;=$C$8)*(mortgage[[#This Row],[Year (Range)]]&lt;=$C$10),mortgage[[#This Row],[Total Annual Indirect Housing Expenses]],NA())</f>
        <v>#N/A</v>
      </c>
      <c r="T59" s="214" t="e">
        <f>IF((mortgage[[#This Row],[Year (Range)]]&gt;=$C$8)*(mortgage[[#This Row],[Year (Range)]]&lt;=$C$10),mortgage[[#This Row],[Est. Home Value (EOY)]],NA())</f>
        <v>#N/A</v>
      </c>
      <c r="U59" s="164">
        <f>IF(U58&lt;W58,0,IF(I59&lt;='Data Entry'!$F$9,(U58-(W58+X58)),0))</f>
        <v>0</v>
      </c>
      <c r="V59" s="183">
        <f>SUMIF(monthly_mortgage_schedule[Calendar Year],mortgage[[#This Row],[Calendar Year]],monthly_mortgage_schedule[Interest With Extra Principal Payments])</f>
        <v>0</v>
      </c>
      <c r="W59" s="4">
        <f>SUMIF(monthly_mortgage_schedule[Calendar Year],mortgage[[#This Row],[Calendar Year]],monthly_mortgage_schedule[Principal With Extra Principal Payments])</f>
        <v>0</v>
      </c>
      <c r="X59" s="4">
        <f>SUMIF(monthly_mortgage_schedule[Calendar Year],mortgage[[#This Row],[Calendar Year]],monthly_mortgage_schedule[Extra Payments Towards Equity])</f>
        <v>0</v>
      </c>
      <c r="Y59" s="4">
        <f>Y58*(1+'Data Entry'!$C$8)</f>
        <v>27685.567148254573</v>
      </c>
      <c r="Z59" s="4">
        <f>SUMIF(monthly_mortgage_schedule[Calendar Year],mortgage[[#This Row],[Calendar Year]],monthly_mortgage_schedule[PMI with Additional Payments])</f>
        <v>0</v>
      </c>
      <c r="AA59" s="4">
        <f>mortgage[[#This Row],[Interest]]+mortgage[[#This Row],[Property Taxes]]</f>
        <v>27685.567148254573</v>
      </c>
      <c r="AB59" s="4">
        <f>AB58*(1+'Data Entry'!$C$10)</f>
        <v>3806.765482885005</v>
      </c>
      <c r="AC59" s="4">
        <f>AC58*(1+'Data Entry'!$C$9)</f>
        <v>20764.175361190941</v>
      </c>
      <c r="AD59" s="4">
        <f>SUMIF(nonroutine_maintenance_expenses[Year (YYYY)],mortgage[[#This Row],[Calendar Year]],nonroutine_maintenance_expenses[Amount ($)])</f>
        <v>0</v>
      </c>
      <c r="AE59" s="4">
        <f>AE58*(1+'Data Entry'!C$7)</f>
        <v>2544754.7968879291</v>
      </c>
      <c r="AF59" s="4">
        <f t="shared" si="6"/>
        <v>2033821.2147790063</v>
      </c>
      <c r="AG59" s="4">
        <f>mortgage[[#This Row],[Principal]]+mortgage[[#This Row],[Extra Payment Towards Equity]]+AG58</f>
        <v>542995.30794004421</v>
      </c>
      <c r="AH59" s="4">
        <f t="shared" si="7"/>
        <v>506863.32958102686</v>
      </c>
      <c r="AI59" s="4">
        <f>AI58+mortgage[[#This Row],[Principal]]+mortgage[[#This Row],[Extra Payment Towards Equity]]</f>
        <v>602995.30794004421</v>
      </c>
      <c r="AJ59" s="180">
        <f>mortgage[[#This Row],[Cumulative Equity (EOY)]]/purchase_price</f>
        <v>1.0049921799000736</v>
      </c>
      <c r="AK59" s="180">
        <f>mortgage[[#This Row],[Loan Balance (BOY)]]/mortgage[[#This Row],[Est. Home Value (EOY)]]</f>
        <v>0</v>
      </c>
      <c r="AL59" s="4">
        <f t="shared" si="4"/>
        <v>0</v>
      </c>
      <c r="AM59" s="4">
        <f>SUM(mortgage[[#This Row],[Property Taxes]],mortgage[[#This Row],[PMI]],mortgage[[#This Row],[Homeowners Insurance]],mortgage[[#This Row],[Routine Maintenance]],mortgage[[#This Row],[Non-Routine Maintenance]])</f>
        <v>52256.507992330517</v>
      </c>
      <c r="AN59" s="160">
        <f>mortgage[[#This Row],[Total Annual Indirect Housing Expenses]]+AN58</f>
        <v>1346526.7744033467</v>
      </c>
    </row>
    <row r="60" spans="9:40" x14ac:dyDescent="0.25">
      <c r="I60">
        <v>44</v>
      </c>
      <c r="J60">
        <f t="shared" si="5"/>
        <v>2065</v>
      </c>
      <c r="K60" s="198">
        <f>IF(mortgage[[#This Row],[Calendar Year]]&gt;=$C$8,mortgage[[#This Row],[Calendar Year]],NA())</f>
        <v>2065</v>
      </c>
      <c r="L60" s="199" t="e">
        <f>IF((mortgage[[#This Row],[Calendar Year]]&gt;=$C$8)*(mortgage[[#This Row],[Calendar Year]]&lt;=$C$10),mortgage[[#This Row],[Calendar Year]],NA())</f>
        <v>#N/A</v>
      </c>
      <c r="M60" s="214" t="e">
        <f>IF((mortgage[[#This Row],[Calendar Year]]&gt;=$C$8)*(mortgage[[#This Row],[Calendar Year]]&lt;=$C$10),mortgage[[#This Row],[Loan Balance (BOY)]],NA())</f>
        <v>#N/A</v>
      </c>
      <c r="N60" s="214" t="e">
        <f>IF((mortgage[[#This Row],[Begin Year (Range)]]&gt;=$C$8)*(mortgage[[#This Row],[Begin Year (Range)]]&lt;=$C$10),mortgage[[#This Row],[Cumulative Interest (EOY)]],NA())</f>
        <v>#N/A</v>
      </c>
      <c r="O60" s="214" t="e">
        <f>IF((mortgage[[#This Row],[Year (Range)]]&gt;=$C$8)*(mortgage[[#This Row],[Year (Range)]]&lt;=$C$10),mortgage[[#This Row],[Cumulative Principal (EOY)]],NA())</f>
        <v>#N/A</v>
      </c>
      <c r="P60" s="214" t="e">
        <f>IF((mortgage[[#This Row],[Year (Range)]]&gt;=$C$8)*(mortgage[[#This Row],[Year (Range)]]&lt;=$C$10),mortgage[[#This Row],[Cumulative Appreciation (EOY)]],NA())</f>
        <v>#N/A</v>
      </c>
      <c r="Q60" s="214" t="e">
        <f>IF((mortgage[[#This Row],[Year (Range)]]&gt;=$C$8)*(mortgage[[#This Row],[Year (Range)]]&lt;=$C$10),mortgage[[#This Row],[Cumulative Equity (EOY)]],NA())</f>
        <v>#N/A</v>
      </c>
      <c r="R60" s="214" t="e">
        <f>IF((mortgage[[#This Row],[Year (Range)]]&gt;=$C$8)*(mortgage[[#This Row],[Year (Range)]]&lt;=$C$10),mortgage[[#This Row],[Cumulative Total Indirect Housing Expenses]],NA())</f>
        <v>#N/A</v>
      </c>
      <c r="S60" s="214" t="e">
        <f>IF((mortgage[[#This Row],[Year (Range)]]&gt;=$C$8)*(mortgage[[#This Row],[Year (Range)]]&lt;=$C$10),mortgage[[#This Row],[Total Annual Indirect Housing Expenses]],NA())</f>
        <v>#N/A</v>
      </c>
      <c r="T60" s="214" t="e">
        <f>IF((mortgage[[#This Row],[Year (Range)]]&gt;=$C$8)*(mortgage[[#This Row],[Year (Range)]]&lt;=$C$10),mortgage[[#This Row],[Est. Home Value (EOY)]],NA())</f>
        <v>#N/A</v>
      </c>
      <c r="U60" s="164">
        <f>IF(U59&lt;W59,0,IF(I60&lt;='Data Entry'!$F$9,(U59-(W59+X59)),0))</f>
        <v>0</v>
      </c>
      <c r="V60" s="183">
        <f>SUMIF(monthly_mortgage_schedule[Calendar Year],mortgage[[#This Row],[Calendar Year]],monthly_mortgage_schedule[Interest With Extra Principal Payments])</f>
        <v>0</v>
      </c>
      <c r="W60" s="4">
        <f>SUMIF(monthly_mortgage_schedule[Calendar Year],mortgage[[#This Row],[Calendar Year]],monthly_mortgage_schedule[Principal With Extra Principal Payments])</f>
        <v>0</v>
      </c>
      <c r="X60" s="4">
        <f>SUMIF(monthly_mortgage_schedule[Calendar Year],mortgage[[#This Row],[Calendar Year]],monthly_mortgage_schedule[Extra Payments Towards Equity])</f>
        <v>0</v>
      </c>
      <c r="Y60" s="4">
        <f>Y59*(1+'Data Entry'!$C$8)</f>
        <v>28516.134162702212</v>
      </c>
      <c r="Z60" s="4">
        <f>SUMIF(monthly_mortgage_schedule[Calendar Year],mortgage[[#This Row],[Calendar Year]],monthly_mortgage_schedule[PMI with Additional Payments])</f>
        <v>0</v>
      </c>
      <c r="AA60" s="4">
        <f>mortgage[[#This Row],[Interest]]+mortgage[[#This Row],[Property Taxes]]</f>
        <v>28516.134162702212</v>
      </c>
      <c r="AB60" s="4">
        <f>AB59*(1+'Data Entry'!$C$10)</f>
        <v>3920.9684473715552</v>
      </c>
      <c r="AC60" s="4">
        <f>AC59*(1+'Data Entry'!$C$9)</f>
        <v>21387.100622026668</v>
      </c>
      <c r="AD60" s="4">
        <f>SUMIF(nonroutine_maintenance_expenses[Year (YYYY)],mortgage[[#This Row],[Calendar Year]],nonroutine_maintenance_expenses[Amount ($)])</f>
        <v>0</v>
      </c>
      <c r="AE60" s="4">
        <f>AE59*(1+'Data Entry'!C$7)</f>
        <v>2633821.2147790063</v>
      </c>
      <c r="AF60" s="4">
        <f t="shared" si="6"/>
        <v>2126004.9572962713</v>
      </c>
      <c r="AG60" s="4">
        <f>mortgage[[#This Row],[Principal]]+mortgage[[#This Row],[Extra Payment Towards Equity]]+AG59</f>
        <v>542995.30794004421</v>
      </c>
      <c r="AH60" s="4">
        <f t="shared" si="7"/>
        <v>506863.32958102686</v>
      </c>
      <c r="AI60" s="4">
        <f>AI59+mortgage[[#This Row],[Principal]]+mortgage[[#This Row],[Extra Payment Towards Equity]]</f>
        <v>602995.30794004421</v>
      </c>
      <c r="AJ60" s="180">
        <f>mortgage[[#This Row],[Cumulative Equity (EOY)]]/purchase_price</f>
        <v>1.0049921799000736</v>
      </c>
      <c r="AK60" s="180">
        <f>mortgage[[#This Row],[Loan Balance (BOY)]]/mortgage[[#This Row],[Est. Home Value (EOY)]]</f>
        <v>0</v>
      </c>
      <c r="AL60" s="4">
        <f t="shared" si="4"/>
        <v>0</v>
      </c>
      <c r="AM60" s="4">
        <f>SUM(mortgage[[#This Row],[Property Taxes]],mortgage[[#This Row],[PMI]],mortgage[[#This Row],[Homeowners Insurance]],mortgage[[#This Row],[Routine Maintenance]],mortgage[[#This Row],[Non-Routine Maintenance]])</f>
        <v>53824.203232100437</v>
      </c>
      <c r="AN60" s="160">
        <f>mortgage[[#This Row],[Total Annual Indirect Housing Expenses]]+AN59</f>
        <v>1400350.9776354472</v>
      </c>
    </row>
    <row r="61" spans="9:40" x14ac:dyDescent="0.25">
      <c r="I61">
        <v>45</v>
      </c>
      <c r="J61">
        <f t="shared" si="5"/>
        <v>2066</v>
      </c>
      <c r="K61" s="198">
        <f>IF(mortgage[[#This Row],[Calendar Year]]&gt;=$C$8,mortgage[[#This Row],[Calendar Year]],NA())</f>
        <v>2066</v>
      </c>
      <c r="L61" s="199" t="e">
        <f>IF((mortgage[[#This Row],[Calendar Year]]&gt;=$C$8)*(mortgage[[#This Row],[Calendar Year]]&lt;=$C$10),mortgage[[#This Row],[Calendar Year]],NA())</f>
        <v>#N/A</v>
      </c>
      <c r="M61" s="214" t="e">
        <f>IF((mortgage[[#This Row],[Calendar Year]]&gt;=$C$8)*(mortgage[[#This Row],[Calendar Year]]&lt;=$C$10),mortgage[[#This Row],[Loan Balance (BOY)]],NA())</f>
        <v>#N/A</v>
      </c>
      <c r="N61" s="214" t="e">
        <f>IF((mortgage[[#This Row],[Begin Year (Range)]]&gt;=$C$8)*(mortgage[[#This Row],[Begin Year (Range)]]&lt;=$C$10),mortgage[[#This Row],[Cumulative Interest (EOY)]],NA())</f>
        <v>#N/A</v>
      </c>
      <c r="O61" s="214" t="e">
        <f>IF((mortgage[[#This Row],[Year (Range)]]&gt;=$C$8)*(mortgage[[#This Row],[Year (Range)]]&lt;=$C$10),mortgage[[#This Row],[Cumulative Principal (EOY)]],NA())</f>
        <v>#N/A</v>
      </c>
      <c r="P61" s="214" t="e">
        <f>IF((mortgage[[#This Row],[Year (Range)]]&gt;=$C$8)*(mortgage[[#This Row],[Year (Range)]]&lt;=$C$10),mortgage[[#This Row],[Cumulative Appreciation (EOY)]],NA())</f>
        <v>#N/A</v>
      </c>
      <c r="Q61" s="214" t="e">
        <f>IF((mortgage[[#This Row],[Year (Range)]]&gt;=$C$8)*(mortgage[[#This Row],[Year (Range)]]&lt;=$C$10),mortgage[[#This Row],[Cumulative Equity (EOY)]],NA())</f>
        <v>#N/A</v>
      </c>
      <c r="R61" s="214" t="e">
        <f>IF((mortgage[[#This Row],[Year (Range)]]&gt;=$C$8)*(mortgage[[#This Row],[Year (Range)]]&lt;=$C$10),mortgage[[#This Row],[Cumulative Total Indirect Housing Expenses]],NA())</f>
        <v>#N/A</v>
      </c>
      <c r="S61" s="214" t="e">
        <f>IF((mortgage[[#This Row],[Year (Range)]]&gt;=$C$8)*(mortgage[[#This Row],[Year (Range)]]&lt;=$C$10),mortgage[[#This Row],[Total Annual Indirect Housing Expenses]],NA())</f>
        <v>#N/A</v>
      </c>
      <c r="T61" s="214" t="e">
        <f>IF((mortgage[[#This Row],[Year (Range)]]&gt;=$C$8)*(mortgage[[#This Row],[Year (Range)]]&lt;=$C$10),mortgage[[#This Row],[Est. Home Value (EOY)]],NA())</f>
        <v>#N/A</v>
      </c>
      <c r="U61" s="164">
        <f>IF(U60&lt;W60,0,IF(I61&lt;='Data Entry'!$F$9,(U60-(W60+X60)),0))</f>
        <v>0</v>
      </c>
      <c r="V61" s="183">
        <f>SUMIF(monthly_mortgage_schedule[Calendar Year],mortgage[[#This Row],[Calendar Year]],monthly_mortgage_schedule[Interest With Extra Principal Payments])</f>
        <v>0</v>
      </c>
      <c r="W61" s="4">
        <f>SUMIF(monthly_mortgage_schedule[Calendar Year],mortgage[[#This Row],[Calendar Year]],monthly_mortgage_schedule[Principal With Extra Principal Payments])</f>
        <v>0</v>
      </c>
      <c r="X61" s="4">
        <f>SUMIF(monthly_mortgage_schedule[Calendar Year],mortgage[[#This Row],[Calendar Year]],monthly_mortgage_schedule[Extra Payments Towards Equity])</f>
        <v>0</v>
      </c>
      <c r="Y61" s="4">
        <f>Y60*(1+'Data Entry'!$C$8)</f>
        <v>29371.618187583281</v>
      </c>
      <c r="Z61" s="4">
        <f>SUMIF(monthly_mortgage_schedule[Calendar Year],mortgage[[#This Row],[Calendar Year]],monthly_mortgage_schedule[PMI with Additional Payments])</f>
        <v>0</v>
      </c>
      <c r="AA61" s="4">
        <f>mortgage[[#This Row],[Interest]]+mortgage[[#This Row],[Property Taxes]]</f>
        <v>29371.618187583281</v>
      </c>
      <c r="AB61" s="4">
        <f>AB60*(1+'Data Entry'!$C$10)</f>
        <v>4038.5975007927018</v>
      </c>
      <c r="AC61" s="4">
        <f>AC60*(1+'Data Entry'!$C$9)</f>
        <v>22028.713640687467</v>
      </c>
      <c r="AD61" s="4">
        <f>SUMIF(nonroutine_maintenance_expenses[Year (YYYY)],mortgage[[#This Row],[Calendar Year]],nonroutine_maintenance_expenses[Amount ($)])</f>
        <v>0</v>
      </c>
      <c r="AE61" s="4">
        <f>AE60*(1+'Data Entry'!C$7)</f>
        <v>2726004.9572962713</v>
      </c>
      <c r="AF61" s="4">
        <f t="shared" si="6"/>
        <v>2221415.1308016405</v>
      </c>
      <c r="AG61" s="4">
        <f>mortgage[[#This Row],[Principal]]+mortgage[[#This Row],[Extra Payment Towards Equity]]+AG60</f>
        <v>542995.30794004421</v>
      </c>
      <c r="AH61" s="4">
        <f t="shared" si="7"/>
        <v>506863.32958102686</v>
      </c>
      <c r="AI61" s="4">
        <f>AI60+mortgage[[#This Row],[Principal]]+mortgage[[#This Row],[Extra Payment Towards Equity]]</f>
        <v>602995.30794004421</v>
      </c>
      <c r="AJ61" s="180">
        <f>mortgage[[#This Row],[Cumulative Equity (EOY)]]/purchase_price</f>
        <v>1.0049921799000736</v>
      </c>
      <c r="AK61" s="180">
        <f>mortgage[[#This Row],[Loan Balance (BOY)]]/mortgage[[#This Row],[Est. Home Value (EOY)]]</f>
        <v>0</v>
      </c>
      <c r="AL61" s="4">
        <f t="shared" si="4"/>
        <v>0</v>
      </c>
      <c r="AM61" s="4">
        <f>SUM(mortgage[[#This Row],[Property Taxes]],mortgage[[#This Row],[PMI]],mortgage[[#This Row],[Homeowners Insurance]],mortgage[[#This Row],[Routine Maintenance]],mortgage[[#This Row],[Non-Routine Maintenance]])</f>
        <v>55438.929329063452</v>
      </c>
      <c r="AN61" s="160">
        <f>mortgage[[#This Row],[Total Annual Indirect Housing Expenses]]+AN60</f>
        <v>1455789.9069645107</v>
      </c>
    </row>
    <row r="62" spans="9:40" x14ac:dyDescent="0.25">
      <c r="I62">
        <v>46</v>
      </c>
      <c r="J62">
        <f t="shared" si="5"/>
        <v>2067</v>
      </c>
      <c r="K62" s="198">
        <f>IF(mortgage[[#This Row],[Calendar Year]]&gt;=$C$8,mortgage[[#This Row],[Calendar Year]],NA())</f>
        <v>2067</v>
      </c>
      <c r="L62" s="199" t="e">
        <f>IF((mortgage[[#This Row],[Calendar Year]]&gt;=$C$8)*(mortgage[[#This Row],[Calendar Year]]&lt;=$C$10),mortgage[[#This Row],[Calendar Year]],NA())</f>
        <v>#N/A</v>
      </c>
      <c r="M62" s="214" t="e">
        <f>IF((mortgage[[#This Row],[Calendar Year]]&gt;=$C$8)*(mortgage[[#This Row],[Calendar Year]]&lt;=$C$10),mortgage[[#This Row],[Loan Balance (BOY)]],NA())</f>
        <v>#N/A</v>
      </c>
      <c r="N62" s="214" t="e">
        <f>IF((mortgage[[#This Row],[Begin Year (Range)]]&gt;=$C$8)*(mortgage[[#This Row],[Begin Year (Range)]]&lt;=$C$10),mortgage[[#This Row],[Cumulative Interest (EOY)]],NA())</f>
        <v>#N/A</v>
      </c>
      <c r="O62" s="214" t="e">
        <f>IF((mortgage[[#This Row],[Year (Range)]]&gt;=$C$8)*(mortgage[[#This Row],[Year (Range)]]&lt;=$C$10),mortgage[[#This Row],[Cumulative Principal (EOY)]],NA())</f>
        <v>#N/A</v>
      </c>
      <c r="P62" s="214" t="e">
        <f>IF((mortgage[[#This Row],[Year (Range)]]&gt;=$C$8)*(mortgage[[#This Row],[Year (Range)]]&lt;=$C$10),mortgage[[#This Row],[Cumulative Appreciation (EOY)]],NA())</f>
        <v>#N/A</v>
      </c>
      <c r="Q62" s="214" t="e">
        <f>IF((mortgage[[#This Row],[Year (Range)]]&gt;=$C$8)*(mortgage[[#This Row],[Year (Range)]]&lt;=$C$10),mortgage[[#This Row],[Cumulative Equity (EOY)]],NA())</f>
        <v>#N/A</v>
      </c>
      <c r="R62" s="214" t="e">
        <f>IF((mortgage[[#This Row],[Year (Range)]]&gt;=$C$8)*(mortgage[[#This Row],[Year (Range)]]&lt;=$C$10),mortgage[[#This Row],[Cumulative Total Indirect Housing Expenses]],NA())</f>
        <v>#N/A</v>
      </c>
      <c r="S62" s="214" t="e">
        <f>IF((mortgage[[#This Row],[Year (Range)]]&gt;=$C$8)*(mortgage[[#This Row],[Year (Range)]]&lt;=$C$10),mortgage[[#This Row],[Total Annual Indirect Housing Expenses]],NA())</f>
        <v>#N/A</v>
      </c>
      <c r="T62" s="214" t="e">
        <f>IF((mortgage[[#This Row],[Year (Range)]]&gt;=$C$8)*(mortgage[[#This Row],[Year (Range)]]&lt;=$C$10),mortgage[[#This Row],[Est. Home Value (EOY)]],NA())</f>
        <v>#N/A</v>
      </c>
      <c r="U62" s="164">
        <f>IF(U61&lt;W61,0,IF(I62&lt;='Data Entry'!$F$9,(U61-(W61+X61)),0))</f>
        <v>0</v>
      </c>
      <c r="V62" s="183">
        <f>SUMIF(monthly_mortgage_schedule[Calendar Year],mortgage[[#This Row],[Calendar Year]],monthly_mortgage_schedule[Interest With Extra Principal Payments])</f>
        <v>0</v>
      </c>
      <c r="W62" s="4">
        <f>SUMIF(monthly_mortgage_schedule[Calendar Year],mortgage[[#This Row],[Calendar Year]],monthly_mortgage_schedule[Principal With Extra Principal Payments])</f>
        <v>0</v>
      </c>
      <c r="X62" s="4">
        <f>SUMIF(monthly_mortgage_schedule[Calendar Year],mortgage[[#This Row],[Calendar Year]],monthly_mortgage_schedule[Extra Payments Towards Equity])</f>
        <v>0</v>
      </c>
      <c r="Y62" s="4">
        <f>Y61*(1+'Data Entry'!$C$8)</f>
        <v>30252.766733210781</v>
      </c>
      <c r="Z62" s="4">
        <f>SUMIF(monthly_mortgage_schedule[Calendar Year],mortgage[[#This Row],[Calendar Year]],monthly_mortgage_schedule[PMI with Additional Payments])</f>
        <v>0</v>
      </c>
      <c r="AA62" s="4">
        <f>mortgage[[#This Row],[Interest]]+mortgage[[#This Row],[Property Taxes]]</f>
        <v>30252.766733210781</v>
      </c>
      <c r="AB62" s="4">
        <f>AB61*(1+'Data Entry'!$C$10)</f>
        <v>4159.7554258164828</v>
      </c>
      <c r="AC62" s="4">
        <f>AC61*(1+'Data Entry'!$C$9)</f>
        <v>22689.575049908093</v>
      </c>
      <c r="AD62" s="4">
        <f>SUMIF(nonroutine_maintenance_expenses[Year (YYYY)],mortgage[[#This Row],[Calendar Year]],nonroutine_maintenance_expenses[Amount ($)])</f>
        <v>0</v>
      </c>
      <c r="AE62" s="4">
        <f>AE61*(1+'Data Entry'!C$7)</f>
        <v>2821415.1308016405</v>
      </c>
      <c r="AF62" s="4">
        <f t="shared" si="6"/>
        <v>2320164.6603796976</v>
      </c>
      <c r="AG62" s="4">
        <f>mortgage[[#This Row],[Principal]]+mortgage[[#This Row],[Extra Payment Towards Equity]]+AG61</f>
        <v>542995.30794004421</v>
      </c>
      <c r="AH62" s="4">
        <f t="shared" si="7"/>
        <v>506863.32958102686</v>
      </c>
      <c r="AI62" s="4">
        <f>AI61+mortgage[[#This Row],[Principal]]+mortgage[[#This Row],[Extra Payment Towards Equity]]</f>
        <v>602995.30794004421</v>
      </c>
      <c r="AJ62" s="180">
        <f>mortgage[[#This Row],[Cumulative Equity (EOY)]]/purchase_price</f>
        <v>1.0049921799000736</v>
      </c>
      <c r="AK62" s="180">
        <f>mortgage[[#This Row],[Loan Balance (BOY)]]/mortgage[[#This Row],[Est. Home Value (EOY)]]</f>
        <v>0</v>
      </c>
      <c r="AL62" s="4">
        <f t="shared" si="4"/>
        <v>0</v>
      </c>
      <c r="AM62" s="4">
        <f>SUM(mortgage[[#This Row],[Property Taxes]],mortgage[[#This Row],[PMI]],mortgage[[#This Row],[Homeowners Insurance]],mortgage[[#This Row],[Routine Maintenance]],mortgage[[#This Row],[Non-Routine Maintenance]])</f>
        <v>57102.09720893536</v>
      </c>
      <c r="AN62" s="160">
        <f>mortgage[[#This Row],[Total Annual Indirect Housing Expenses]]+AN61</f>
        <v>1512892.004173446</v>
      </c>
    </row>
    <row r="63" spans="9:40" x14ac:dyDescent="0.25">
      <c r="I63">
        <v>47</v>
      </c>
      <c r="J63">
        <f t="shared" si="5"/>
        <v>2068</v>
      </c>
      <c r="K63" s="198">
        <f>IF(mortgage[[#This Row],[Calendar Year]]&gt;=$C$8,mortgage[[#This Row],[Calendar Year]],NA())</f>
        <v>2068</v>
      </c>
      <c r="L63" s="199" t="e">
        <f>IF((mortgage[[#This Row],[Calendar Year]]&gt;=$C$8)*(mortgage[[#This Row],[Calendar Year]]&lt;=$C$10),mortgage[[#This Row],[Calendar Year]],NA())</f>
        <v>#N/A</v>
      </c>
      <c r="M63" s="214" t="e">
        <f>IF((mortgage[[#This Row],[Calendar Year]]&gt;=$C$8)*(mortgage[[#This Row],[Calendar Year]]&lt;=$C$10),mortgage[[#This Row],[Loan Balance (BOY)]],NA())</f>
        <v>#N/A</v>
      </c>
      <c r="N63" s="214" t="e">
        <f>IF((mortgage[[#This Row],[Begin Year (Range)]]&gt;=$C$8)*(mortgage[[#This Row],[Begin Year (Range)]]&lt;=$C$10),mortgage[[#This Row],[Cumulative Interest (EOY)]],NA())</f>
        <v>#N/A</v>
      </c>
      <c r="O63" s="214" t="e">
        <f>IF((mortgage[[#This Row],[Year (Range)]]&gt;=$C$8)*(mortgage[[#This Row],[Year (Range)]]&lt;=$C$10),mortgage[[#This Row],[Cumulative Principal (EOY)]],NA())</f>
        <v>#N/A</v>
      </c>
      <c r="P63" s="214" t="e">
        <f>IF((mortgage[[#This Row],[Year (Range)]]&gt;=$C$8)*(mortgage[[#This Row],[Year (Range)]]&lt;=$C$10),mortgage[[#This Row],[Cumulative Appreciation (EOY)]],NA())</f>
        <v>#N/A</v>
      </c>
      <c r="Q63" s="214" t="e">
        <f>IF((mortgage[[#This Row],[Year (Range)]]&gt;=$C$8)*(mortgage[[#This Row],[Year (Range)]]&lt;=$C$10),mortgage[[#This Row],[Cumulative Equity (EOY)]],NA())</f>
        <v>#N/A</v>
      </c>
      <c r="R63" s="214" t="e">
        <f>IF((mortgage[[#This Row],[Year (Range)]]&gt;=$C$8)*(mortgage[[#This Row],[Year (Range)]]&lt;=$C$10),mortgage[[#This Row],[Cumulative Total Indirect Housing Expenses]],NA())</f>
        <v>#N/A</v>
      </c>
      <c r="S63" s="214" t="e">
        <f>IF((mortgage[[#This Row],[Year (Range)]]&gt;=$C$8)*(mortgage[[#This Row],[Year (Range)]]&lt;=$C$10),mortgage[[#This Row],[Total Annual Indirect Housing Expenses]],NA())</f>
        <v>#N/A</v>
      </c>
      <c r="T63" s="214" t="e">
        <f>IF((mortgage[[#This Row],[Year (Range)]]&gt;=$C$8)*(mortgage[[#This Row],[Year (Range)]]&lt;=$C$10),mortgage[[#This Row],[Est. Home Value (EOY)]],NA())</f>
        <v>#N/A</v>
      </c>
      <c r="U63" s="164">
        <f>IF(U62&lt;W62,0,IF(I63&lt;='Data Entry'!$F$9,(U62-(W62+X62)),0))</f>
        <v>0</v>
      </c>
      <c r="V63" s="183">
        <f>SUMIF(monthly_mortgage_schedule[Calendar Year],mortgage[[#This Row],[Calendar Year]],monthly_mortgage_schedule[Interest With Extra Principal Payments])</f>
        <v>0</v>
      </c>
      <c r="W63" s="4">
        <f>SUMIF(monthly_mortgage_schedule[Calendar Year],mortgage[[#This Row],[Calendar Year]],monthly_mortgage_schedule[Principal With Extra Principal Payments])</f>
        <v>0</v>
      </c>
      <c r="X63" s="4">
        <f>SUMIF(monthly_mortgage_schedule[Calendar Year],mortgage[[#This Row],[Calendar Year]],monthly_mortgage_schedule[Extra Payments Towards Equity])</f>
        <v>0</v>
      </c>
      <c r="Y63" s="4">
        <f>Y62*(1+'Data Entry'!$C$8)</f>
        <v>31160.349735207106</v>
      </c>
      <c r="Z63" s="4">
        <f>SUMIF(monthly_mortgage_schedule[Calendar Year],mortgage[[#This Row],[Calendar Year]],monthly_mortgage_schedule[PMI with Additional Payments])</f>
        <v>0</v>
      </c>
      <c r="AA63" s="4">
        <f>mortgage[[#This Row],[Interest]]+mortgage[[#This Row],[Property Taxes]]</f>
        <v>31160.349735207106</v>
      </c>
      <c r="AB63" s="4">
        <f>AB62*(1+'Data Entry'!$C$10)</f>
        <v>4284.5480885909774</v>
      </c>
      <c r="AC63" s="4">
        <f>AC62*(1+'Data Entry'!$C$9)</f>
        <v>23370.262301405335</v>
      </c>
      <c r="AD63" s="4">
        <f>SUMIF(nonroutine_maintenance_expenses[Year (YYYY)],mortgage[[#This Row],[Calendar Year]],nonroutine_maintenance_expenses[Amount ($)])</f>
        <v>0</v>
      </c>
      <c r="AE63" s="4">
        <f>AE62*(1+'Data Entry'!C$7)</f>
        <v>2920164.6603796976</v>
      </c>
      <c r="AF63" s="4">
        <f t="shared" si="6"/>
        <v>2422370.4234929867</v>
      </c>
      <c r="AG63" s="4">
        <f>mortgage[[#This Row],[Principal]]+mortgage[[#This Row],[Extra Payment Towards Equity]]+AG62</f>
        <v>542995.30794004421</v>
      </c>
      <c r="AH63" s="4">
        <f t="shared" si="7"/>
        <v>506863.32958102686</v>
      </c>
      <c r="AI63" s="4">
        <f>AI62+mortgage[[#This Row],[Principal]]+mortgage[[#This Row],[Extra Payment Towards Equity]]</f>
        <v>602995.30794004421</v>
      </c>
      <c r="AJ63" s="180">
        <f>mortgage[[#This Row],[Cumulative Equity (EOY)]]/purchase_price</f>
        <v>1.0049921799000736</v>
      </c>
      <c r="AK63" s="180">
        <f>mortgage[[#This Row],[Loan Balance (BOY)]]/mortgage[[#This Row],[Est. Home Value (EOY)]]</f>
        <v>0</v>
      </c>
      <c r="AL63" s="4">
        <f t="shared" si="4"/>
        <v>0</v>
      </c>
      <c r="AM63" s="4">
        <f>SUM(mortgage[[#This Row],[Property Taxes]],mortgage[[#This Row],[PMI]],mortgage[[#This Row],[Homeowners Insurance]],mortgage[[#This Row],[Routine Maintenance]],mortgage[[#This Row],[Non-Routine Maintenance]])</f>
        <v>58815.160125203416</v>
      </c>
      <c r="AN63" s="160">
        <f>mortgage[[#This Row],[Total Annual Indirect Housing Expenses]]+AN62</f>
        <v>1571707.1642986494</v>
      </c>
    </row>
    <row r="64" spans="9:40" x14ac:dyDescent="0.25">
      <c r="I64">
        <v>48</v>
      </c>
      <c r="J64">
        <f t="shared" si="5"/>
        <v>2069</v>
      </c>
      <c r="K64" s="198">
        <f>IF(mortgage[[#This Row],[Calendar Year]]&gt;=$C$8,mortgage[[#This Row],[Calendar Year]],NA())</f>
        <v>2069</v>
      </c>
      <c r="L64" s="199" t="e">
        <f>IF((mortgage[[#This Row],[Calendar Year]]&gt;=$C$8)*(mortgage[[#This Row],[Calendar Year]]&lt;=$C$10),mortgage[[#This Row],[Calendar Year]],NA())</f>
        <v>#N/A</v>
      </c>
      <c r="M64" s="214" t="e">
        <f>IF((mortgage[[#This Row],[Calendar Year]]&gt;=$C$8)*(mortgage[[#This Row],[Calendar Year]]&lt;=$C$10),mortgage[[#This Row],[Loan Balance (BOY)]],NA())</f>
        <v>#N/A</v>
      </c>
      <c r="N64" s="214" t="e">
        <f>IF((mortgage[[#This Row],[Begin Year (Range)]]&gt;=$C$8)*(mortgage[[#This Row],[Begin Year (Range)]]&lt;=$C$10),mortgage[[#This Row],[Cumulative Interest (EOY)]],NA())</f>
        <v>#N/A</v>
      </c>
      <c r="O64" s="214" t="e">
        <f>IF((mortgage[[#This Row],[Year (Range)]]&gt;=$C$8)*(mortgage[[#This Row],[Year (Range)]]&lt;=$C$10),mortgage[[#This Row],[Cumulative Principal (EOY)]],NA())</f>
        <v>#N/A</v>
      </c>
      <c r="P64" s="214" t="e">
        <f>IF((mortgage[[#This Row],[Year (Range)]]&gt;=$C$8)*(mortgage[[#This Row],[Year (Range)]]&lt;=$C$10),mortgage[[#This Row],[Cumulative Appreciation (EOY)]],NA())</f>
        <v>#N/A</v>
      </c>
      <c r="Q64" s="214" t="e">
        <f>IF((mortgage[[#This Row],[Year (Range)]]&gt;=$C$8)*(mortgage[[#This Row],[Year (Range)]]&lt;=$C$10),mortgage[[#This Row],[Cumulative Equity (EOY)]],NA())</f>
        <v>#N/A</v>
      </c>
      <c r="R64" s="214" t="e">
        <f>IF((mortgage[[#This Row],[Year (Range)]]&gt;=$C$8)*(mortgage[[#This Row],[Year (Range)]]&lt;=$C$10),mortgage[[#This Row],[Cumulative Total Indirect Housing Expenses]],NA())</f>
        <v>#N/A</v>
      </c>
      <c r="S64" s="214" t="e">
        <f>IF((mortgage[[#This Row],[Year (Range)]]&gt;=$C$8)*(mortgage[[#This Row],[Year (Range)]]&lt;=$C$10),mortgage[[#This Row],[Total Annual Indirect Housing Expenses]],NA())</f>
        <v>#N/A</v>
      </c>
      <c r="T64" s="214" t="e">
        <f>IF((mortgage[[#This Row],[Year (Range)]]&gt;=$C$8)*(mortgage[[#This Row],[Year (Range)]]&lt;=$C$10),mortgage[[#This Row],[Est. Home Value (EOY)]],NA())</f>
        <v>#N/A</v>
      </c>
      <c r="U64" s="164">
        <f>IF(U63&lt;W63,0,IF(I64&lt;='Data Entry'!$F$9,(U63-(W63+X63)),0))</f>
        <v>0</v>
      </c>
      <c r="V64" s="183">
        <f>SUMIF(monthly_mortgage_schedule[Calendar Year],mortgage[[#This Row],[Calendar Year]],monthly_mortgage_schedule[Interest With Extra Principal Payments])</f>
        <v>0</v>
      </c>
      <c r="W64" s="4">
        <f>SUMIF(monthly_mortgage_schedule[Calendar Year],mortgage[[#This Row],[Calendar Year]],monthly_mortgage_schedule[Principal With Extra Principal Payments])</f>
        <v>0</v>
      </c>
      <c r="X64" s="4">
        <f>SUMIF(monthly_mortgage_schedule[Calendar Year],mortgage[[#This Row],[Calendar Year]],monthly_mortgage_schedule[Extra Payments Towards Equity])</f>
        <v>0</v>
      </c>
      <c r="Y64" s="4">
        <f>Y63*(1+'Data Entry'!$C$8)</f>
        <v>32095.160227263321</v>
      </c>
      <c r="Z64" s="4">
        <f>SUMIF(monthly_mortgage_schedule[Calendar Year],mortgage[[#This Row],[Calendar Year]],monthly_mortgage_schedule[PMI with Additional Payments])</f>
        <v>0</v>
      </c>
      <c r="AA64" s="4">
        <f>mortgage[[#This Row],[Interest]]+mortgage[[#This Row],[Property Taxes]]</f>
        <v>32095.160227263321</v>
      </c>
      <c r="AB64" s="4">
        <f>AB63*(1+'Data Entry'!$C$10)</f>
        <v>4413.0845312487072</v>
      </c>
      <c r="AC64" s="4">
        <f>AC63*(1+'Data Entry'!$C$9)</f>
        <v>24071.370170447495</v>
      </c>
      <c r="AD64" s="4">
        <f>SUMIF(nonroutine_maintenance_expenses[Year (YYYY)],mortgage[[#This Row],[Calendar Year]],nonroutine_maintenance_expenses[Amount ($)])</f>
        <v>0</v>
      </c>
      <c r="AE64" s="4">
        <f>AE63*(1+'Data Entry'!C$7)</f>
        <v>3022370.4234929867</v>
      </c>
      <c r="AF64" s="4">
        <f t="shared" si="6"/>
        <v>2528153.3883152409</v>
      </c>
      <c r="AG64" s="4">
        <f>mortgage[[#This Row],[Principal]]+mortgage[[#This Row],[Extra Payment Towards Equity]]+AG63</f>
        <v>542995.30794004421</v>
      </c>
      <c r="AH64" s="4">
        <f t="shared" si="7"/>
        <v>506863.32958102686</v>
      </c>
      <c r="AI64" s="4">
        <f>AI63+mortgage[[#This Row],[Principal]]+mortgage[[#This Row],[Extra Payment Towards Equity]]</f>
        <v>602995.30794004421</v>
      </c>
      <c r="AJ64" s="180">
        <f>mortgage[[#This Row],[Cumulative Equity (EOY)]]/purchase_price</f>
        <v>1.0049921799000736</v>
      </c>
      <c r="AK64" s="180">
        <f>mortgage[[#This Row],[Loan Balance (BOY)]]/mortgage[[#This Row],[Est. Home Value (EOY)]]</f>
        <v>0</v>
      </c>
      <c r="AL64" s="4">
        <f t="shared" si="4"/>
        <v>0</v>
      </c>
      <c r="AM64" s="4">
        <f>SUM(mortgage[[#This Row],[Property Taxes]],mortgage[[#This Row],[PMI]],mortgage[[#This Row],[Homeowners Insurance]],mortgage[[#This Row],[Routine Maintenance]],mortgage[[#This Row],[Non-Routine Maintenance]])</f>
        <v>60579.61492895952</v>
      </c>
      <c r="AN64" s="160">
        <f>mortgage[[#This Row],[Total Annual Indirect Housing Expenses]]+AN63</f>
        <v>1632286.7792276088</v>
      </c>
    </row>
    <row r="65" spans="9:40" x14ac:dyDescent="0.25">
      <c r="I65">
        <v>49</v>
      </c>
      <c r="J65">
        <f t="shared" si="5"/>
        <v>2070</v>
      </c>
      <c r="K65" s="198">
        <f>IF(mortgage[[#This Row],[Calendar Year]]&gt;=$C$8,mortgage[[#This Row],[Calendar Year]],NA())</f>
        <v>2070</v>
      </c>
      <c r="L65" s="199" t="e">
        <f>IF((mortgage[[#This Row],[Calendar Year]]&gt;=$C$8)*(mortgage[[#This Row],[Calendar Year]]&lt;=$C$10),mortgage[[#This Row],[Calendar Year]],NA())</f>
        <v>#N/A</v>
      </c>
      <c r="M65" s="214" t="e">
        <f>IF((mortgage[[#This Row],[Calendar Year]]&gt;=$C$8)*(mortgage[[#This Row],[Calendar Year]]&lt;=$C$10),mortgage[[#This Row],[Loan Balance (BOY)]],NA())</f>
        <v>#N/A</v>
      </c>
      <c r="N65" s="214" t="e">
        <f>IF((mortgage[[#This Row],[Begin Year (Range)]]&gt;=$C$8)*(mortgage[[#This Row],[Begin Year (Range)]]&lt;=$C$10),mortgage[[#This Row],[Cumulative Interest (EOY)]],NA())</f>
        <v>#N/A</v>
      </c>
      <c r="O65" s="214" t="e">
        <f>IF((mortgage[[#This Row],[Year (Range)]]&gt;=$C$8)*(mortgage[[#This Row],[Year (Range)]]&lt;=$C$10),mortgage[[#This Row],[Cumulative Principal (EOY)]],NA())</f>
        <v>#N/A</v>
      </c>
      <c r="P65" s="214" t="e">
        <f>IF((mortgage[[#This Row],[Year (Range)]]&gt;=$C$8)*(mortgage[[#This Row],[Year (Range)]]&lt;=$C$10),mortgage[[#This Row],[Cumulative Appreciation (EOY)]],NA())</f>
        <v>#N/A</v>
      </c>
      <c r="Q65" s="214" t="e">
        <f>IF((mortgage[[#This Row],[Year (Range)]]&gt;=$C$8)*(mortgage[[#This Row],[Year (Range)]]&lt;=$C$10),mortgage[[#This Row],[Cumulative Equity (EOY)]],NA())</f>
        <v>#N/A</v>
      </c>
      <c r="R65" s="214" t="e">
        <f>IF((mortgage[[#This Row],[Year (Range)]]&gt;=$C$8)*(mortgage[[#This Row],[Year (Range)]]&lt;=$C$10),mortgage[[#This Row],[Cumulative Total Indirect Housing Expenses]],NA())</f>
        <v>#N/A</v>
      </c>
      <c r="S65" s="214" t="e">
        <f>IF((mortgage[[#This Row],[Year (Range)]]&gt;=$C$8)*(mortgage[[#This Row],[Year (Range)]]&lt;=$C$10),mortgage[[#This Row],[Total Annual Indirect Housing Expenses]],NA())</f>
        <v>#N/A</v>
      </c>
      <c r="T65" s="214" t="e">
        <f>IF((mortgage[[#This Row],[Year (Range)]]&gt;=$C$8)*(mortgage[[#This Row],[Year (Range)]]&lt;=$C$10),mortgage[[#This Row],[Est. Home Value (EOY)]],NA())</f>
        <v>#N/A</v>
      </c>
      <c r="U65" s="164">
        <f>IF(U64&lt;W64,0,IF(I65&lt;='Data Entry'!$F$9,(U64-(W64+X64)),0))</f>
        <v>0</v>
      </c>
      <c r="V65" s="183">
        <f>SUMIF(monthly_mortgage_schedule[Calendar Year],mortgage[[#This Row],[Calendar Year]],monthly_mortgage_schedule[Interest With Extra Principal Payments])</f>
        <v>0</v>
      </c>
      <c r="W65" s="4">
        <f>SUMIF(monthly_mortgage_schedule[Calendar Year],mortgage[[#This Row],[Calendar Year]],monthly_mortgage_schedule[Principal With Extra Principal Payments])</f>
        <v>0</v>
      </c>
      <c r="X65" s="4">
        <f>SUMIF(monthly_mortgage_schedule[Calendar Year],mortgage[[#This Row],[Calendar Year]],monthly_mortgage_schedule[Extra Payments Towards Equity])</f>
        <v>0</v>
      </c>
      <c r="Y65" s="4">
        <f>Y64*(1+'Data Entry'!$C$8)</f>
        <v>33058.015034081218</v>
      </c>
      <c r="Z65" s="4">
        <f>SUMIF(monthly_mortgage_schedule[Calendar Year],mortgage[[#This Row],[Calendar Year]],monthly_mortgage_schedule[PMI with Additional Payments])</f>
        <v>0</v>
      </c>
      <c r="AA65" s="4">
        <f>mortgage[[#This Row],[Interest]]+mortgage[[#This Row],[Property Taxes]]</f>
        <v>33058.015034081218</v>
      </c>
      <c r="AB65" s="4">
        <f>AB64*(1+'Data Entry'!$C$10)</f>
        <v>4545.4770671861688</v>
      </c>
      <c r="AC65" s="4">
        <f>AC64*(1+'Data Entry'!$C$9)</f>
        <v>24793.511275560919</v>
      </c>
      <c r="AD65" s="4">
        <f>SUMIF(nonroutine_maintenance_expenses[Year (YYYY)],mortgage[[#This Row],[Calendar Year]],nonroutine_maintenance_expenses[Amount ($)])</f>
        <v>0</v>
      </c>
      <c r="AE65" s="4">
        <f>AE64*(1+'Data Entry'!C$7)</f>
        <v>3128153.3883152409</v>
      </c>
      <c r="AF65" s="4">
        <f t="shared" si="6"/>
        <v>2637638.7569062742</v>
      </c>
      <c r="AG65" s="4">
        <f>mortgage[[#This Row],[Principal]]+mortgage[[#This Row],[Extra Payment Towards Equity]]+AG64</f>
        <v>542995.30794004421</v>
      </c>
      <c r="AH65" s="4">
        <f t="shared" si="7"/>
        <v>506863.32958102686</v>
      </c>
      <c r="AI65" s="4">
        <f>AI64+mortgage[[#This Row],[Principal]]+mortgage[[#This Row],[Extra Payment Towards Equity]]</f>
        <v>602995.30794004421</v>
      </c>
      <c r="AJ65" s="180">
        <f>mortgage[[#This Row],[Cumulative Equity (EOY)]]/purchase_price</f>
        <v>1.0049921799000736</v>
      </c>
      <c r="AK65" s="180">
        <f>mortgage[[#This Row],[Loan Balance (BOY)]]/mortgage[[#This Row],[Est. Home Value (EOY)]]</f>
        <v>0</v>
      </c>
      <c r="AL65" s="4">
        <f t="shared" si="4"/>
        <v>0</v>
      </c>
      <c r="AM65" s="4">
        <f>SUM(mortgage[[#This Row],[Property Taxes]],mortgage[[#This Row],[PMI]],mortgage[[#This Row],[Homeowners Insurance]],mortgage[[#This Row],[Routine Maintenance]],mortgage[[#This Row],[Non-Routine Maintenance]])</f>
        <v>62397.003376828303</v>
      </c>
      <c r="AN65" s="160">
        <f>mortgage[[#This Row],[Total Annual Indirect Housing Expenses]]+AN64</f>
        <v>1694683.7826044371</v>
      </c>
    </row>
    <row r="66" spans="9:40" x14ac:dyDescent="0.25">
      <c r="I66">
        <v>50</v>
      </c>
      <c r="J66">
        <f t="shared" si="5"/>
        <v>2071</v>
      </c>
      <c r="K66" s="198">
        <f>IF(mortgage[[#This Row],[Calendar Year]]&gt;=$C$8,mortgage[[#This Row],[Calendar Year]],NA())</f>
        <v>2071</v>
      </c>
      <c r="L66" s="199" t="e">
        <f>IF((mortgage[[#This Row],[Calendar Year]]&gt;=$C$8)*(mortgage[[#This Row],[Calendar Year]]&lt;=$C$10),mortgage[[#This Row],[Calendar Year]],NA())</f>
        <v>#N/A</v>
      </c>
      <c r="M66" s="214" t="e">
        <f>IF((mortgage[[#This Row],[Calendar Year]]&gt;=$C$8)*(mortgage[[#This Row],[Calendar Year]]&lt;=$C$10),mortgage[[#This Row],[Loan Balance (BOY)]],NA())</f>
        <v>#N/A</v>
      </c>
      <c r="N66" s="214" t="e">
        <f>IF((mortgage[[#This Row],[Begin Year (Range)]]&gt;=$C$8)*(mortgage[[#This Row],[Begin Year (Range)]]&lt;=$C$10),mortgage[[#This Row],[Cumulative Interest (EOY)]],NA())</f>
        <v>#N/A</v>
      </c>
      <c r="O66" s="214" t="e">
        <f>IF((mortgage[[#This Row],[Year (Range)]]&gt;=$C$8)*(mortgage[[#This Row],[Year (Range)]]&lt;=$C$10),mortgage[[#This Row],[Cumulative Principal (EOY)]],NA())</f>
        <v>#N/A</v>
      </c>
      <c r="P66" s="214" t="e">
        <f>IF((mortgage[[#This Row],[Year (Range)]]&gt;=$C$8)*(mortgage[[#This Row],[Year (Range)]]&lt;=$C$10),mortgage[[#This Row],[Cumulative Appreciation (EOY)]],NA())</f>
        <v>#N/A</v>
      </c>
      <c r="Q66" s="214" t="e">
        <f>IF((mortgage[[#This Row],[Year (Range)]]&gt;=$C$8)*(mortgage[[#This Row],[Year (Range)]]&lt;=$C$10),mortgage[[#This Row],[Cumulative Equity (EOY)]],NA())</f>
        <v>#N/A</v>
      </c>
      <c r="R66" s="214" t="e">
        <f>IF((mortgage[[#This Row],[Year (Range)]]&gt;=$C$8)*(mortgage[[#This Row],[Year (Range)]]&lt;=$C$10),mortgage[[#This Row],[Cumulative Total Indirect Housing Expenses]],NA())</f>
        <v>#N/A</v>
      </c>
      <c r="S66" s="214" t="e">
        <f>IF((mortgage[[#This Row],[Year (Range)]]&gt;=$C$8)*(mortgage[[#This Row],[Year (Range)]]&lt;=$C$10),mortgage[[#This Row],[Total Annual Indirect Housing Expenses]],NA())</f>
        <v>#N/A</v>
      </c>
      <c r="T66" s="214" t="e">
        <f>IF((mortgage[[#This Row],[Year (Range)]]&gt;=$C$8)*(mortgage[[#This Row],[Year (Range)]]&lt;=$C$10),mortgage[[#This Row],[Est. Home Value (EOY)]],NA())</f>
        <v>#N/A</v>
      </c>
      <c r="U66" s="164">
        <f>IF(U65&lt;W65,0,IF(I66&lt;='Data Entry'!$F$9,(U65-(W65+X65)),0))</f>
        <v>0</v>
      </c>
      <c r="V66" s="183">
        <f>SUMIF(monthly_mortgage_schedule[Calendar Year],mortgage[[#This Row],[Calendar Year]],monthly_mortgage_schedule[Interest With Extra Principal Payments])</f>
        <v>0</v>
      </c>
      <c r="W66" s="4">
        <f>SUMIF(monthly_mortgage_schedule[Calendar Year],mortgage[[#This Row],[Calendar Year]],monthly_mortgage_schedule[Principal With Extra Principal Payments])</f>
        <v>0</v>
      </c>
      <c r="X66" s="4">
        <f>SUMIF(monthly_mortgage_schedule[Calendar Year],mortgage[[#This Row],[Calendar Year]],monthly_mortgage_schedule[Extra Payments Towards Equity])</f>
        <v>0</v>
      </c>
      <c r="Y66" s="4">
        <f>Y65*(1+'Data Entry'!$C$8)</f>
        <v>34049.755485103655</v>
      </c>
      <c r="Z66" s="4">
        <f>SUMIF(monthly_mortgage_schedule[Calendar Year],mortgage[[#This Row],[Calendar Year]],monthly_mortgage_schedule[PMI with Additional Payments])</f>
        <v>0</v>
      </c>
      <c r="AA66" s="4">
        <f>mortgage[[#This Row],[Interest]]+mortgage[[#This Row],[Property Taxes]]</f>
        <v>34049.755485103655</v>
      </c>
      <c r="AB66" s="4">
        <f>AB65*(1+'Data Entry'!$C$10)</f>
        <v>4681.8413792017536</v>
      </c>
      <c r="AC66" s="4">
        <f>AC65*(1+'Data Entry'!$C$9)</f>
        <v>25537.316613827748</v>
      </c>
      <c r="AD66" s="4">
        <f>SUMIF(nonroutine_maintenance_expenses[Year (YYYY)],mortgage[[#This Row],[Calendar Year]],nonroutine_maintenance_expenses[Amount ($)])</f>
        <v>0</v>
      </c>
      <c r="AE66" s="4">
        <f>AE65*(1+'Data Entry'!C$7)</f>
        <v>3237638.7569062742</v>
      </c>
      <c r="AF66" s="4">
        <f t="shared" si="6"/>
        <v>2750956.1133979936</v>
      </c>
      <c r="AG66" s="4">
        <f>mortgage[[#This Row],[Principal]]+mortgage[[#This Row],[Extra Payment Towards Equity]]+AG65</f>
        <v>542995.30794004421</v>
      </c>
      <c r="AH66" s="4">
        <f t="shared" si="7"/>
        <v>506863.32958102686</v>
      </c>
      <c r="AI66" s="4">
        <f>AI65+mortgage[[#This Row],[Principal]]+mortgage[[#This Row],[Extra Payment Towards Equity]]</f>
        <v>602995.30794004421</v>
      </c>
      <c r="AJ66" s="180">
        <f>mortgage[[#This Row],[Cumulative Equity (EOY)]]/purchase_price</f>
        <v>1.0049921799000736</v>
      </c>
      <c r="AK66" s="180">
        <f>mortgage[[#This Row],[Loan Balance (BOY)]]/mortgage[[#This Row],[Est. Home Value (EOY)]]</f>
        <v>0</v>
      </c>
      <c r="AL66" s="4">
        <f t="shared" si="4"/>
        <v>0</v>
      </c>
      <c r="AM66" s="4">
        <f>SUM(mortgage[[#This Row],[Property Taxes]],mortgage[[#This Row],[PMI]],mortgage[[#This Row],[Homeowners Insurance]],mortgage[[#This Row],[Routine Maintenance]],mortgage[[#This Row],[Non-Routine Maintenance]])</f>
        <v>64268.913478133152</v>
      </c>
      <c r="AN66" s="160">
        <f>mortgage[[#This Row],[Total Annual Indirect Housing Expenses]]+AN65</f>
        <v>1758952.6960825701</v>
      </c>
    </row>
    <row r="67" spans="9:40" x14ac:dyDescent="0.25">
      <c r="I67">
        <v>51</v>
      </c>
      <c r="J67">
        <f t="shared" si="5"/>
        <v>2072</v>
      </c>
      <c r="K67" s="198">
        <f>IF(mortgage[[#This Row],[Calendar Year]]&gt;=$C$8,mortgage[[#This Row],[Calendar Year]],NA())</f>
        <v>2072</v>
      </c>
      <c r="L67" s="199" t="e">
        <f>IF((mortgage[[#This Row],[Calendar Year]]&gt;=$C$8)*(mortgage[[#This Row],[Calendar Year]]&lt;=$C$10),mortgage[[#This Row],[Calendar Year]],NA())</f>
        <v>#N/A</v>
      </c>
      <c r="M67" s="214" t="e">
        <f>IF((mortgage[[#This Row],[Calendar Year]]&gt;=$C$8)*(mortgage[[#This Row],[Calendar Year]]&lt;=$C$10),mortgage[[#This Row],[Loan Balance (BOY)]],NA())</f>
        <v>#N/A</v>
      </c>
      <c r="N67" s="214" t="e">
        <f>IF((mortgage[[#This Row],[Begin Year (Range)]]&gt;=$C$8)*(mortgage[[#This Row],[Begin Year (Range)]]&lt;=$C$10),mortgage[[#This Row],[Cumulative Interest (EOY)]],NA())</f>
        <v>#N/A</v>
      </c>
      <c r="O67" s="214" t="e">
        <f>IF((mortgage[[#This Row],[Year (Range)]]&gt;=$C$8)*(mortgage[[#This Row],[Year (Range)]]&lt;=$C$10),mortgage[[#This Row],[Cumulative Principal (EOY)]],NA())</f>
        <v>#N/A</v>
      </c>
      <c r="P67" s="214" t="e">
        <f>IF((mortgage[[#This Row],[Year (Range)]]&gt;=$C$8)*(mortgage[[#This Row],[Year (Range)]]&lt;=$C$10),mortgage[[#This Row],[Cumulative Appreciation (EOY)]],NA())</f>
        <v>#N/A</v>
      </c>
      <c r="Q67" s="214" t="e">
        <f>IF((mortgage[[#This Row],[Year (Range)]]&gt;=$C$8)*(mortgage[[#This Row],[Year (Range)]]&lt;=$C$10),mortgage[[#This Row],[Cumulative Equity (EOY)]],NA())</f>
        <v>#N/A</v>
      </c>
      <c r="R67" s="214" t="e">
        <f>IF((mortgage[[#This Row],[Year (Range)]]&gt;=$C$8)*(mortgage[[#This Row],[Year (Range)]]&lt;=$C$10),mortgage[[#This Row],[Cumulative Total Indirect Housing Expenses]],NA())</f>
        <v>#N/A</v>
      </c>
      <c r="S67" s="214" t="e">
        <f>IF((mortgage[[#This Row],[Year (Range)]]&gt;=$C$8)*(mortgage[[#This Row],[Year (Range)]]&lt;=$C$10),mortgage[[#This Row],[Total Annual Indirect Housing Expenses]],NA())</f>
        <v>#N/A</v>
      </c>
      <c r="T67" s="214" t="e">
        <f>IF((mortgage[[#This Row],[Year (Range)]]&gt;=$C$8)*(mortgage[[#This Row],[Year (Range)]]&lt;=$C$10),mortgage[[#This Row],[Est. Home Value (EOY)]],NA())</f>
        <v>#N/A</v>
      </c>
      <c r="U67" s="164">
        <f>IF(U66&lt;W66,0,IF(I67&lt;='Data Entry'!$F$9,(U66-(W66+X66)),0))</f>
        <v>0</v>
      </c>
      <c r="V67" s="183">
        <f>SUMIF(monthly_mortgage_schedule[Calendar Year],mortgage[[#This Row],[Calendar Year]],monthly_mortgage_schedule[Interest With Extra Principal Payments])</f>
        <v>0</v>
      </c>
      <c r="W67" s="4">
        <f>SUMIF(monthly_mortgage_schedule[Calendar Year],mortgage[[#This Row],[Calendar Year]],monthly_mortgage_schedule[Principal With Extra Principal Payments])</f>
        <v>0</v>
      </c>
      <c r="X67" s="4">
        <f>SUMIF(monthly_mortgage_schedule[Calendar Year],mortgage[[#This Row],[Calendar Year]],monthly_mortgage_schedule[Extra Payments Towards Equity])</f>
        <v>0</v>
      </c>
      <c r="Y67" s="4">
        <f>Y66*(1+'Data Entry'!$C$8)</f>
        <v>35071.248149656763</v>
      </c>
      <c r="Z67" s="4">
        <f>SUMIF(monthly_mortgage_schedule[Calendar Year],mortgage[[#This Row],[Calendar Year]],monthly_mortgage_schedule[PMI with Additional Payments])</f>
        <v>0</v>
      </c>
      <c r="AA67" s="4">
        <f>mortgage[[#This Row],[Interest]]+mortgage[[#This Row],[Property Taxes]]</f>
        <v>35071.248149656763</v>
      </c>
      <c r="AB67" s="4">
        <f>AB66*(1+'Data Entry'!$C$10)</f>
        <v>4822.2966205778066</v>
      </c>
      <c r="AC67" s="4">
        <f>AC66*(1+'Data Entry'!$C$9)</f>
        <v>26303.43611224258</v>
      </c>
      <c r="AD67" s="4">
        <f>SUMIF(nonroutine_maintenance_expenses[Year (YYYY)],mortgage[[#This Row],[Calendar Year]],nonroutine_maintenance_expenses[Amount ($)])</f>
        <v>0</v>
      </c>
      <c r="AE67" s="4">
        <f>AE66*(1+'Data Entry'!C$7)</f>
        <v>3350956.1133979936</v>
      </c>
      <c r="AF67" s="4">
        <f t="shared" si="6"/>
        <v>2868239.577366923</v>
      </c>
      <c r="AG67" s="4">
        <f>mortgage[[#This Row],[Principal]]+mortgage[[#This Row],[Extra Payment Towards Equity]]+AG66</f>
        <v>542995.30794004421</v>
      </c>
      <c r="AH67" s="4">
        <f t="shared" si="7"/>
        <v>506863.32958102686</v>
      </c>
      <c r="AI67" s="4">
        <f>AI66+mortgage[[#This Row],[Principal]]+mortgage[[#This Row],[Extra Payment Towards Equity]]</f>
        <v>602995.30794004421</v>
      </c>
      <c r="AJ67" s="180">
        <f>mortgage[[#This Row],[Cumulative Equity (EOY)]]/purchase_price</f>
        <v>1.0049921799000736</v>
      </c>
      <c r="AK67" s="180">
        <f>mortgage[[#This Row],[Loan Balance (BOY)]]/mortgage[[#This Row],[Est. Home Value (EOY)]]</f>
        <v>0</v>
      </c>
      <c r="AL67" s="4">
        <f t="shared" si="4"/>
        <v>0</v>
      </c>
      <c r="AM67" s="4">
        <f>SUM(mortgage[[#This Row],[Property Taxes]],mortgage[[#This Row],[PMI]],mortgage[[#This Row],[Homeowners Insurance]],mortgage[[#This Row],[Routine Maintenance]],mortgage[[#This Row],[Non-Routine Maintenance]])</f>
        <v>66196.980882477146</v>
      </c>
      <c r="AN67" s="160">
        <f>mortgage[[#This Row],[Total Annual Indirect Housing Expenses]]+AN66</f>
        <v>1825149.6769650474</v>
      </c>
    </row>
    <row r="68" spans="9:40" x14ac:dyDescent="0.25">
      <c r="I68">
        <v>52</v>
      </c>
      <c r="J68">
        <f t="shared" si="5"/>
        <v>2073</v>
      </c>
      <c r="K68" s="198">
        <f>IF(mortgage[[#This Row],[Calendar Year]]&gt;=$C$8,mortgage[[#This Row],[Calendar Year]],NA())</f>
        <v>2073</v>
      </c>
      <c r="L68" s="199" t="e">
        <f>IF((mortgage[[#This Row],[Calendar Year]]&gt;=$C$8)*(mortgage[[#This Row],[Calendar Year]]&lt;=$C$10),mortgage[[#This Row],[Calendar Year]],NA())</f>
        <v>#N/A</v>
      </c>
      <c r="M68" s="214" t="e">
        <f>IF((mortgage[[#This Row],[Calendar Year]]&gt;=$C$8)*(mortgage[[#This Row],[Calendar Year]]&lt;=$C$10),mortgage[[#This Row],[Loan Balance (BOY)]],NA())</f>
        <v>#N/A</v>
      </c>
      <c r="N68" s="214" t="e">
        <f>IF((mortgage[[#This Row],[Begin Year (Range)]]&gt;=$C$8)*(mortgage[[#This Row],[Begin Year (Range)]]&lt;=$C$10),mortgage[[#This Row],[Cumulative Interest (EOY)]],NA())</f>
        <v>#N/A</v>
      </c>
      <c r="O68" s="214" t="e">
        <f>IF((mortgage[[#This Row],[Year (Range)]]&gt;=$C$8)*(mortgage[[#This Row],[Year (Range)]]&lt;=$C$10),mortgage[[#This Row],[Cumulative Principal (EOY)]],NA())</f>
        <v>#N/A</v>
      </c>
      <c r="P68" s="214" t="e">
        <f>IF((mortgage[[#This Row],[Year (Range)]]&gt;=$C$8)*(mortgage[[#This Row],[Year (Range)]]&lt;=$C$10),mortgage[[#This Row],[Cumulative Appreciation (EOY)]],NA())</f>
        <v>#N/A</v>
      </c>
      <c r="Q68" s="214" t="e">
        <f>IF((mortgage[[#This Row],[Year (Range)]]&gt;=$C$8)*(mortgage[[#This Row],[Year (Range)]]&lt;=$C$10),mortgage[[#This Row],[Cumulative Equity (EOY)]],NA())</f>
        <v>#N/A</v>
      </c>
      <c r="R68" s="214" t="e">
        <f>IF((mortgage[[#This Row],[Year (Range)]]&gt;=$C$8)*(mortgage[[#This Row],[Year (Range)]]&lt;=$C$10),mortgage[[#This Row],[Cumulative Total Indirect Housing Expenses]],NA())</f>
        <v>#N/A</v>
      </c>
      <c r="S68" s="214" t="e">
        <f>IF((mortgage[[#This Row],[Year (Range)]]&gt;=$C$8)*(mortgage[[#This Row],[Year (Range)]]&lt;=$C$10),mortgage[[#This Row],[Total Annual Indirect Housing Expenses]],NA())</f>
        <v>#N/A</v>
      </c>
      <c r="T68" s="214" t="e">
        <f>IF((mortgage[[#This Row],[Year (Range)]]&gt;=$C$8)*(mortgage[[#This Row],[Year (Range)]]&lt;=$C$10),mortgage[[#This Row],[Est. Home Value (EOY)]],NA())</f>
        <v>#N/A</v>
      </c>
      <c r="U68" s="164">
        <f>IF(U67&lt;W67,0,IF(I68&lt;='Data Entry'!$F$9,(U67-(W67+X67)),0))</f>
        <v>0</v>
      </c>
      <c r="V68" s="183">
        <f>SUMIF(monthly_mortgage_schedule[Calendar Year],mortgage[[#This Row],[Calendar Year]],monthly_mortgage_schedule[Interest With Extra Principal Payments])</f>
        <v>0</v>
      </c>
      <c r="W68" s="4">
        <f>SUMIF(monthly_mortgage_schedule[Calendar Year],mortgage[[#This Row],[Calendar Year]],monthly_mortgage_schedule[Principal With Extra Principal Payments])</f>
        <v>0</v>
      </c>
      <c r="X68" s="4">
        <f>SUMIF(monthly_mortgage_schedule[Calendar Year],mortgage[[#This Row],[Calendar Year]],monthly_mortgage_schedule[Extra Payments Towards Equity])</f>
        <v>0</v>
      </c>
      <c r="Y68" s="4">
        <f>Y67*(1+'Data Entry'!$C$8)</f>
        <v>36123.385594146464</v>
      </c>
      <c r="Z68" s="4">
        <f>SUMIF(monthly_mortgage_schedule[Calendar Year],mortgage[[#This Row],[Calendar Year]],monthly_mortgage_schedule[PMI with Additional Payments])</f>
        <v>0</v>
      </c>
      <c r="AA68" s="4">
        <f>mortgage[[#This Row],[Interest]]+mortgage[[#This Row],[Property Taxes]]</f>
        <v>36123.385594146464</v>
      </c>
      <c r="AB68" s="4">
        <f>AB67*(1+'Data Entry'!$C$10)</f>
        <v>4966.9655191951406</v>
      </c>
      <c r="AC68" s="4">
        <f>AC67*(1+'Data Entry'!$C$9)</f>
        <v>27092.539195609857</v>
      </c>
      <c r="AD68" s="4">
        <f>SUMIF(nonroutine_maintenance_expenses[Year (YYYY)],mortgage[[#This Row],[Calendar Year]],nonroutine_maintenance_expenses[Amount ($)])</f>
        <v>0</v>
      </c>
      <c r="AE68" s="4">
        <f>AE67*(1+'Data Entry'!C$7)</f>
        <v>3468239.577366923</v>
      </c>
      <c r="AF68" s="4">
        <f t="shared" si="6"/>
        <v>2989627.9625747651</v>
      </c>
      <c r="AG68" s="4">
        <f>mortgage[[#This Row],[Principal]]+mortgage[[#This Row],[Extra Payment Towards Equity]]+AG67</f>
        <v>542995.30794004421</v>
      </c>
      <c r="AH68" s="4">
        <f t="shared" si="7"/>
        <v>506863.32958102686</v>
      </c>
      <c r="AI68" s="4">
        <f>AI67+mortgage[[#This Row],[Principal]]+mortgage[[#This Row],[Extra Payment Towards Equity]]</f>
        <v>602995.30794004421</v>
      </c>
      <c r="AJ68" s="180">
        <f>mortgage[[#This Row],[Cumulative Equity (EOY)]]/purchase_price</f>
        <v>1.0049921799000736</v>
      </c>
      <c r="AK68" s="180">
        <f>mortgage[[#This Row],[Loan Balance (BOY)]]/mortgage[[#This Row],[Est. Home Value (EOY)]]</f>
        <v>0</v>
      </c>
      <c r="AL68" s="4">
        <f t="shared" si="4"/>
        <v>0</v>
      </c>
      <c r="AM68" s="4">
        <f>SUM(mortgage[[#This Row],[Property Taxes]],mortgage[[#This Row],[PMI]],mortgage[[#This Row],[Homeowners Insurance]],mortgage[[#This Row],[Routine Maintenance]],mortgage[[#This Row],[Non-Routine Maintenance]])</f>
        <v>68182.890308951464</v>
      </c>
      <c r="AN68" s="160">
        <f>mortgage[[#This Row],[Total Annual Indirect Housing Expenses]]+AN67</f>
        <v>1893332.5672739989</v>
      </c>
    </row>
    <row r="69" spans="9:40" x14ac:dyDescent="0.25">
      <c r="I69">
        <v>53</v>
      </c>
      <c r="J69">
        <f t="shared" si="5"/>
        <v>2074</v>
      </c>
      <c r="K69" s="198">
        <f>IF(mortgage[[#This Row],[Calendar Year]]&gt;=$C$8,mortgage[[#This Row],[Calendar Year]],NA())</f>
        <v>2074</v>
      </c>
      <c r="L69" s="199" t="e">
        <f>IF((mortgage[[#This Row],[Calendar Year]]&gt;=$C$8)*(mortgage[[#This Row],[Calendar Year]]&lt;=$C$10),mortgage[[#This Row],[Calendar Year]],NA())</f>
        <v>#N/A</v>
      </c>
      <c r="M69" s="214" t="e">
        <f>IF((mortgage[[#This Row],[Calendar Year]]&gt;=$C$8)*(mortgage[[#This Row],[Calendar Year]]&lt;=$C$10),mortgage[[#This Row],[Loan Balance (BOY)]],NA())</f>
        <v>#N/A</v>
      </c>
      <c r="N69" s="214" t="e">
        <f>IF((mortgage[[#This Row],[Begin Year (Range)]]&gt;=$C$8)*(mortgage[[#This Row],[Begin Year (Range)]]&lt;=$C$10),mortgage[[#This Row],[Cumulative Interest (EOY)]],NA())</f>
        <v>#N/A</v>
      </c>
      <c r="O69" s="214" t="e">
        <f>IF((mortgage[[#This Row],[Year (Range)]]&gt;=$C$8)*(mortgage[[#This Row],[Year (Range)]]&lt;=$C$10),mortgage[[#This Row],[Cumulative Principal (EOY)]],NA())</f>
        <v>#N/A</v>
      </c>
      <c r="P69" s="214" t="e">
        <f>IF((mortgage[[#This Row],[Year (Range)]]&gt;=$C$8)*(mortgage[[#This Row],[Year (Range)]]&lt;=$C$10),mortgage[[#This Row],[Cumulative Appreciation (EOY)]],NA())</f>
        <v>#N/A</v>
      </c>
      <c r="Q69" s="214" t="e">
        <f>IF((mortgage[[#This Row],[Year (Range)]]&gt;=$C$8)*(mortgage[[#This Row],[Year (Range)]]&lt;=$C$10),mortgage[[#This Row],[Cumulative Equity (EOY)]],NA())</f>
        <v>#N/A</v>
      </c>
      <c r="R69" s="214" t="e">
        <f>IF((mortgage[[#This Row],[Year (Range)]]&gt;=$C$8)*(mortgage[[#This Row],[Year (Range)]]&lt;=$C$10),mortgage[[#This Row],[Cumulative Total Indirect Housing Expenses]],NA())</f>
        <v>#N/A</v>
      </c>
      <c r="S69" s="214" t="e">
        <f>IF((mortgage[[#This Row],[Year (Range)]]&gt;=$C$8)*(mortgage[[#This Row],[Year (Range)]]&lt;=$C$10),mortgage[[#This Row],[Total Annual Indirect Housing Expenses]],NA())</f>
        <v>#N/A</v>
      </c>
      <c r="T69" s="214" t="e">
        <f>IF((mortgage[[#This Row],[Year (Range)]]&gt;=$C$8)*(mortgage[[#This Row],[Year (Range)]]&lt;=$C$10),mortgage[[#This Row],[Est. Home Value (EOY)]],NA())</f>
        <v>#N/A</v>
      </c>
      <c r="U69" s="164">
        <f>IF(U68&lt;W68,0,IF(I69&lt;='Data Entry'!$F$9,(U68-(W68+X68)),0))</f>
        <v>0</v>
      </c>
      <c r="V69" s="183">
        <f>SUMIF(monthly_mortgage_schedule[Calendar Year],mortgage[[#This Row],[Calendar Year]],monthly_mortgage_schedule[Interest With Extra Principal Payments])</f>
        <v>0</v>
      </c>
      <c r="W69" s="4">
        <f>SUMIF(monthly_mortgage_schedule[Calendar Year],mortgage[[#This Row],[Calendar Year]],monthly_mortgage_schedule[Principal With Extra Principal Payments])</f>
        <v>0</v>
      </c>
      <c r="X69" s="4">
        <f>SUMIF(monthly_mortgage_schedule[Calendar Year],mortgage[[#This Row],[Calendar Year]],monthly_mortgage_schedule[Extra Payments Towards Equity])</f>
        <v>0</v>
      </c>
      <c r="Y69" s="4">
        <f>Y68*(1+'Data Entry'!$C$8)</f>
        <v>37207.087161970856</v>
      </c>
      <c r="Z69" s="4">
        <f>SUMIF(monthly_mortgage_schedule[Calendar Year],mortgage[[#This Row],[Calendar Year]],monthly_mortgage_schedule[PMI with Additional Payments])</f>
        <v>0</v>
      </c>
      <c r="AA69" s="4">
        <f>mortgage[[#This Row],[Interest]]+mortgage[[#This Row],[Property Taxes]]</f>
        <v>37207.087161970856</v>
      </c>
      <c r="AB69" s="4">
        <f>AB68*(1+'Data Entry'!$C$10)</f>
        <v>5115.9744847709953</v>
      </c>
      <c r="AC69" s="4">
        <f>AC68*(1+'Data Entry'!$C$9)</f>
        <v>27905.315371478155</v>
      </c>
      <c r="AD69" s="4">
        <f>SUMIF(nonroutine_maintenance_expenses[Year (YYYY)],mortgage[[#This Row],[Calendar Year]],nonroutine_maintenance_expenses[Amount ($)])</f>
        <v>0</v>
      </c>
      <c r="AE69" s="4">
        <f>AE68*(1+'Data Entry'!C$7)</f>
        <v>3589627.9625747651</v>
      </c>
      <c r="AF69" s="4">
        <f t="shared" si="6"/>
        <v>3115264.9412648818</v>
      </c>
      <c r="AG69" s="4">
        <f>mortgage[[#This Row],[Principal]]+mortgage[[#This Row],[Extra Payment Towards Equity]]+AG68</f>
        <v>542995.30794004421</v>
      </c>
      <c r="AH69" s="4">
        <f t="shared" si="7"/>
        <v>506863.32958102686</v>
      </c>
      <c r="AI69" s="4">
        <f>AI68+mortgage[[#This Row],[Principal]]+mortgage[[#This Row],[Extra Payment Towards Equity]]</f>
        <v>602995.30794004421</v>
      </c>
      <c r="AJ69" s="180">
        <f>mortgage[[#This Row],[Cumulative Equity (EOY)]]/purchase_price</f>
        <v>1.0049921799000736</v>
      </c>
      <c r="AK69" s="180">
        <f>mortgage[[#This Row],[Loan Balance (BOY)]]/mortgage[[#This Row],[Est. Home Value (EOY)]]</f>
        <v>0</v>
      </c>
      <c r="AL69" s="4">
        <f t="shared" si="4"/>
        <v>0</v>
      </c>
      <c r="AM69" s="4">
        <f>SUM(mortgage[[#This Row],[Property Taxes]],mortgage[[#This Row],[PMI]],mortgage[[#This Row],[Homeowners Insurance]],mortgage[[#This Row],[Routine Maintenance]],mortgage[[#This Row],[Non-Routine Maintenance]])</f>
        <v>70228.37701822001</v>
      </c>
      <c r="AN69" s="160">
        <f>mortgage[[#This Row],[Total Annual Indirect Housing Expenses]]+AN68</f>
        <v>1963560.9442922189</v>
      </c>
    </row>
    <row r="70" spans="9:40" x14ac:dyDescent="0.25">
      <c r="I70">
        <v>54</v>
      </c>
      <c r="J70">
        <f t="shared" si="5"/>
        <v>2075</v>
      </c>
      <c r="K70" s="198">
        <f>IF(mortgage[[#This Row],[Calendar Year]]&gt;=$C$8,mortgage[[#This Row],[Calendar Year]],NA())</f>
        <v>2075</v>
      </c>
      <c r="L70" s="199" t="e">
        <f>IF((mortgage[[#This Row],[Calendar Year]]&gt;=$C$8)*(mortgage[[#This Row],[Calendar Year]]&lt;=$C$10),mortgage[[#This Row],[Calendar Year]],NA())</f>
        <v>#N/A</v>
      </c>
      <c r="M70" s="214" t="e">
        <f>IF((mortgage[[#This Row],[Calendar Year]]&gt;=$C$8)*(mortgage[[#This Row],[Calendar Year]]&lt;=$C$10),mortgage[[#This Row],[Loan Balance (BOY)]],NA())</f>
        <v>#N/A</v>
      </c>
      <c r="N70" s="214" t="e">
        <f>IF((mortgage[[#This Row],[Begin Year (Range)]]&gt;=$C$8)*(mortgage[[#This Row],[Begin Year (Range)]]&lt;=$C$10),mortgage[[#This Row],[Cumulative Interest (EOY)]],NA())</f>
        <v>#N/A</v>
      </c>
      <c r="O70" s="214" t="e">
        <f>IF((mortgage[[#This Row],[Year (Range)]]&gt;=$C$8)*(mortgage[[#This Row],[Year (Range)]]&lt;=$C$10),mortgage[[#This Row],[Cumulative Principal (EOY)]],NA())</f>
        <v>#N/A</v>
      </c>
      <c r="P70" s="214" t="e">
        <f>IF((mortgage[[#This Row],[Year (Range)]]&gt;=$C$8)*(mortgage[[#This Row],[Year (Range)]]&lt;=$C$10),mortgage[[#This Row],[Cumulative Appreciation (EOY)]],NA())</f>
        <v>#N/A</v>
      </c>
      <c r="Q70" s="214" t="e">
        <f>IF((mortgage[[#This Row],[Year (Range)]]&gt;=$C$8)*(mortgage[[#This Row],[Year (Range)]]&lt;=$C$10),mortgage[[#This Row],[Cumulative Equity (EOY)]],NA())</f>
        <v>#N/A</v>
      </c>
      <c r="R70" s="214" t="e">
        <f>IF((mortgage[[#This Row],[Year (Range)]]&gt;=$C$8)*(mortgage[[#This Row],[Year (Range)]]&lt;=$C$10),mortgage[[#This Row],[Cumulative Total Indirect Housing Expenses]],NA())</f>
        <v>#N/A</v>
      </c>
      <c r="S70" s="214" t="e">
        <f>IF((mortgage[[#This Row],[Year (Range)]]&gt;=$C$8)*(mortgage[[#This Row],[Year (Range)]]&lt;=$C$10),mortgage[[#This Row],[Total Annual Indirect Housing Expenses]],NA())</f>
        <v>#N/A</v>
      </c>
      <c r="T70" s="214" t="e">
        <f>IF((mortgage[[#This Row],[Year (Range)]]&gt;=$C$8)*(mortgage[[#This Row],[Year (Range)]]&lt;=$C$10),mortgage[[#This Row],[Est. Home Value (EOY)]],NA())</f>
        <v>#N/A</v>
      </c>
      <c r="U70" s="164">
        <f>IF(U69&lt;W69,0,IF(I70&lt;='Data Entry'!$F$9,(U69-(W69+X69)),0))</f>
        <v>0</v>
      </c>
      <c r="V70" s="183">
        <f>SUMIF(monthly_mortgage_schedule[Calendar Year],mortgage[[#This Row],[Calendar Year]],monthly_mortgage_schedule[Interest With Extra Principal Payments])</f>
        <v>0</v>
      </c>
      <c r="W70" s="4">
        <f>SUMIF(monthly_mortgage_schedule[Calendar Year],mortgage[[#This Row],[Calendar Year]],monthly_mortgage_schedule[Principal With Extra Principal Payments])</f>
        <v>0</v>
      </c>
      <c r="X70" s="4">
        <f>SUMIF(monthly_mortgage_schedule[Calendar Year],mortgage[[#This Row],[Calendar Year]],monthly_mortgage_schedule[Extra Payments Towards Equity])</f>
        <v>0</v>
      </c>
      <c r="Y70" s="4">
        <f>Y69*(1+'Data Entry'!$C$8)</f>
        <v>38323.299776829983</v>
      </c>
      <c r="Z70" s="4">
        <f>SUMIF(monthly_mortgage_schedule[Calendar Year],mortgage[[#This Row],[Calendar Year]],monthly_mortgage_schedule[PMI with Additional Payments])</f>
        <v>0</v>
      </c>
      <c r="AA70" s="4">
        <f>mortgage[[#This Row],[Interest]]+mortgage[[#This Row],[Property Taxes]]</f>
        <v>38323.299776829983</v>
      </c>
      <c r="AB70" s="4">
        <f>AB69*(1+'Data Entry'!$C$10)</f>
        <v>5269.453719314125</v>
      </c>
      <c r="AC70" s="4">
        <f>AC69*(1+'Data Entry'!$C$9)</f>
        <v>28742.474832622502</v>
      </c>
      <c r="AD70" s="4">
        <f>SUMIF(nonroutine_maintenance_expenses[Year (YYYY)],mortgage[[#This Row],[Calendar Year]],nonroutine_maintenance_expenses[Amount ($)])</f>
        <v>0</v>
      </c>
      <c r="AE70" s="4">
        <f>AE69*(1+'Data Entry'!C$7)</f>
        <v>3715264.9412648818</v>
      </c>
      <c r="AF70" s="4">
        <f t="shared" si="6"/>
        <v>3245299.2142091524</v>
      </c>
      <c r="AG70" s="4">
        <f>mortgage[[#This Row],[Principal]]+mortgage[[#This Row],[Extra Payment Towards Equity]]+AG69</f>
        <v>542995.30794004421</v>
      </c>
      <c r="AH70" s="4">
        <f t="shared" si="7"/>
        <v>506863.32958102686</v>
      </c>
      <c r="AI70" s="4">
        <f>AI69+mortgage[[#This Row],[Principal]]+mortgage[[#This Row],[Extra Payment Towards Equity]]</f>
        <v>602995.30794004421</v>
      </c>
      <c r="AJ70" s="180">
        <f>mortgage[[#This Row],[Cumulative Equity (EOY)]]/purchase_price</f>
        <v>1.0049921799000736</v>
      </c>
      <c r="AK70" s="180">
        <f>mortgage[[#This Row],[Loan Balance (BOY)]]/mortgage[[#This Row],[Est. Home Value (EOY)]]</f>
        <v>0</v>
      </c>
      <c r="AL70" s="4">
        <f t="shared" si="4"/>
        <v>0</v>
      </c>
      <c r="AM70" s="4">
        <f>SUM(mortgage[[#This Row],[Property Taxes]],mortgage[[#This Row],[PMI]],mortgage[[#This Row],[Homeowners Insurance]],mortgage[[#This Row],[Routine Maintenance]],mortgage[[#This Row],[Non-Routine Maintenance]])</f>
        <v>72335.228328766607</v>
      </c>
      <c r="AN70" s="160">
        <f>mortgage[[#This Row],[Total Annual Indirect Housing Expenses]]+AN69</f>
        <v>2035896.1726209854</v>
      </c>
    </row>
    <row r="71" spans="9:40" x14ac:dyDescent="0.25">
      <c r="I71">
        <v>55</v>
      </c>
      <c r="J71">
        <f t="shared" si="5"/>
        <v>2076</v>
      </c>
      <c r="K71" s="198">
        <f>IF(mortgage[[#This Row],[Calendar Year]]&gt;=$C$8,mortgage[[#This Row],[Calendar Year]],NA())</f>
        <v>2076</v>
      </c>
      <c r="L71" s="199" t="e">
        <f>IF((mortgage[[#This Row],[Calendar Year]]&gt;=$C$8)*(mortgage[[#This Row],[Calendar Year]]&lt;=$C$10),mortgage[[#This Row],[Calendar Year]],NA())</f>
        <v>#N/A</v>
      </c>
      <c r="M71" s="214" t="e">
        <f>IF((mortgage[[#This Row],[Calendar Year]]&gt;=$C$8)*(mortgage[[#This Row],[Calendar Year]]&lt;=$C$10),mortgage[[#This Row],[Loan Balance (BOY)]],NA())</f>
        <v>#N/A</v>
      </c>
      <c r="N71" s="214" t="e">
        <f>IF((mortgage[[#This Row],[Begin Year (Range)]]&gt;=$C$8)*(mortgage[[#This Row],[Begin Year (Range)]]&lt;=$C$10),mortgage[[#This Row],[Cumulative Interest (EOY)]],NA())</f>
        <v>#N/A</v>
      </c>
      <c r="O71" s="214" t="e">
        <f>IF((mortgage[[#This Row],[Year (Range)]]&gt;=$C$8)*(mortgage[[#This Row],[Year (Range)]]&lt;=$C$10),mortgage[[#This Row],[Cumulative Principal (EOY)]],NA())</f>
        <v>#N/A</v>
      </c>
      <c r="P71" s="214" t="e">
        <f>IF((mortgage[[#This Row],[Year (Range)]]&gt;=$C$8)*(mortgage[[#This Row],[Year (Range)]]&lt;=$C$10),mortgage[[#This Row],[Cumulative Appreciation (EOY)]],NA())</f>
        <v>#N/A</v>
      </c>
      <c r="Q71" s="214" t="e">
        <f>IF((mortgage[[#This Row],[Year (Range)]]&gt;=$C$8)*(mortgage[[#This Row],[Year (Range)]]&lt;=$C$10),mortgage[[#This Row],[Cumulative Equity (EOY)]],NA())</f>
        <v>#N/A</v>
      </c>
      <c r="R71" s="214" t="e">
        <f>IF((mortgage[[#This Row],[Year (Range)]]&gt;=$C$8)*(mortgage[[#This Row],[Year (Range)]]&lt;=$C$10),mortgage[[#This Row],[Cumulative Total Indirect Housing Expenses]],NA())</f>
        <v>#N/A</v>
      </c>
      <c r="S71" s="214" t="e">
        <f>IF((mortgage[[#This Row],[Year (Range)]]&gt;=$C$8)*(mortgage[[#This Row],[Year (Range)]]&lt;=$C$10),mortgage[[#This Row],[Total Annual Indirect Housing Expenses]],NA())</f>
        <v>#N/A</v>
      </c>
      <c r="T71" s="214" t="e">
        <f>IF((mortgage[[#This Row],[Year (Range)]]&gt;=$C$8)*(mortgage[[#This Row],[Year (Range)]]&lt;=$C$10),mortgage[[#This Row],[Est. Home Value (EOY)]],NA())</f>
        <v>#N/A</v>
      </c>
      <c r="U71" s="164">
        <f>IF(U70&lt;W70,0,IF(I71&lt;='Data Entry'!$F$9,(U70-(W70+X70)),0))</f>
        <v>0</v>
      </c>
      <c r="V71" s="183">
        <f>SUMIF(monthly_mortgage_schedule[Calendar Year],mortgage[[#This Row],[Calendar Year]],monthly_mortgage_schedule[Interest With Extra Principal Payments])</f>
        <v>0</v>
      </c>
      <c r="W71" s="4">
        <f>SUMIF(monthly_mortgage_schedule[Calendar Year],mortgage[[#This Row],[Calendar Year]],monthly_mortgage_schedule[Principal With Extra Principal Payments])</f>
        <v>0</v>
      </c>
      <c r="X71" s="4">
        <f>SUMIF(monthly_mortgage_schedule[Calendar Year],mortgage[[#This Row],[Calendar Year]],monthly_mortgage_schedule[Extra Payments Towards Equity])</f>
        <v>0</v>
      </c>
      <c r="Y71" s="4">
        <f>Y70*(1+'Data Entry'!$C$8)</f>
        <v>39472.99877013488</v>
      </c>
      <c r="Z71" s="4">
        <f>SUMIF(monthly_mortgage_schedule[Calendar Year],mortgage[[#This Row],[Calendar Year]],monthly_mortgage_schedule[PMI with Additional Payments])</f>
        <v>0</v>
      </c>
      <c r="AA71" s="4">
        <f>mortgage[[#This Row],[Interest]]+mortgage[[#This Row],[Property Taxes]]</f>
        <v>39472.99877013488</v>
      </c>
      <c r="AB71" s="4">
        <f>AB70*(1+'Data Entry'!$C$10)</f>
        <v>5427.5373308935486</v>
      </c>
      <c r="AC71" s="4">
        <f>AC70*(1+'Data Entry'!$C$9)</f>
        <v>29604.749077601176</v>
      </c>
      <c r="AD71" s="4">
        <f>SUMIF(nonroutine_maintenance_expenses[Year (YYYY)],mortgage[[#This Row],[Calendar Year]],nonroutine_maintenance_expenses[Amount ($)])</f>
        <v>0</v>
      </c>
      <c r="AE71" s="4">
        <f>AE70*(1+'Data Entry'!C$7)</f>
        <v>3845299.2142091524</v>
      </c>
      <c r="AF71" s="4">
        <f t="shared" si="6"/>
        <v>3379884.6867064722</v>
      </c>
      <c r="AG71" s="4">
        <f>mortgage[[#This Row],[Principal]]+mortgage[[#This Row],[Extra Payment Towards Equity]]+AG70</f>
        <v>542995.30794004421</v>
      </c>
      <c r="AH71" s="4">
        <f t="shared" si="7"/>
        <v>506863.32958102686</v>
      </c>
      <c r="AI71" s="4">
        <f>AI70+mortgage[[#This Row],[Principal]]+mortgage[[#This Row],[Extra Payment Towards Equity]]</f>
        <v>602995.30794004421</v>
      </c>
      <c r="AJ71" s="180">
        <f>mortgage[[#This Row],[Cumulative Equity (EOY)]]/purchase_price</f>
        <v>1.0049921799000736</v>
      </c>
      <c r="AK71" s="180">
        <f>mortgage[[#This Row],[Loan Balance (BOY)]]/mortgage[[#This Row],[Est. Home Value (EOY)]]</f>
        <v>0</v>
      </c>
      <c r="AL71" s="4">
        <f t="shared" si="4"/>
        <v>0</v>
      </c>
      <c r="AM71" s="4">
        <f>SUM(mortgage[[#This Row],[Property Taxes]],mortgage[[#This Row],[PMI]],mortgage[[#This Row],[Homeowners Insurance]],mortgage[[#This Row],[Routine Maintenance]],mortgage[[#This Row],[Non-Routine Maintenance]])</f>
        <v>74505.285178629594</v>
      </c>
      <c r="AN71" s="160">
        <f>mortgage[[#This Row],[Total Annual Indirect Housing Expenses]]+AN70</f>
        <v>2110401.4577996149</v>
      </c>
    </row>
    <row r="72" spans="9:40" x14ac:dyDescent="0.25">
      <c r="I72">
        <v>56</v>
      </c>
      <c r="J72">
        <f t="shared" si="5"/>
        <v>2077</v>
      </c>
      <c r="K72" s="198">
        <f>IF(mortgage[[#This Row],[Calendar Year]]&gt;=$C$8,mortgage[[#This Row],[Calendar Year]],NA())</f>
        <v>2077</v>
      </c>
      <c r="L72" s="199" t="e">
        <f>IF((mortgage[[#This Row],[Calendar Year]]&gt;=$C$8)*(mortgage[[#This Row],[Calendar Year]]&lt;=$C$10),mortgage[[#This Row],[Calendar Year]],NA())</f>
        <v>#N/A</v>
      </c>
      <c r="M72" s="214" t="e">
        <f>IF((mortgage[[#This Row],[Calendar Year]]&gt;=$C$8)*(mortgage[[#This Row],[Calendar Year]]&lt;=$C$10),mortgage[[#This Row],[Loan Balance (BOY)]],NA())</f>
        <v>#N/A</v>
      </c>
      <c r="N72" s="214" t="e">
        <f>IF((mortgage[[#This Row],[Begin Year (Range)]]&gt;=$C$8)*(mortgage[[#This Row],[Begin Year (Range)]]&lt;=$C$10),mortgage[[#This Row],[Cumulative Interest (EOY)]],NA())</f>
        <v>#N/A</v>
      </c>
      <c r="O72" s="214" t="e">
        <f>IF((mortgage[[#This Row],[Year (Range)]]&gt;=$C$8)*(mortgage[[#This Row],[Year (Range)]]&lt;=$C$10),mortgage[[#This Row],[Cumulative Principal (EOY)]],NA())</f>
        <v>#N/A</v>
      </c>
      <c r="P72" s="214" t="e">
        <f>IF((mortgage[[#This Row],[Year (Range)]]&gt;=$C$8)*(mortgage[[#This Row],[Year (Range)]]&lt;=$C$10),mortgage[[#This Row],[Cumulative Appreciation (EOY)]],NA())</f>
        <v>#N/A</v>
      </c>
      <c r="Q72" s="214" t="e">
        <f>IF((mortgage[[#This Row],[Year (Range)]]&gt;=$C$8)*(mortgage[[#This Row],[Year (Range)]]&lt;=$C$10),mortgage[[#This Row],[Cumulative Equity (EOY)]],NA())</f>
        <v>#N/A</v>
      </c>
      <c r="R72" s="214" t="e">
        <f>IF((mortgage[[#This Row],[Year (Range)]]&gt;=$C$8)*(mortgage[[#This Row],[Year (Range)]]&lt;=$C$10),mortgage[[#This Row],[Cumulative Total Indirect Housing Expenses]],NA())</f>
        <v>#N/A</v>
      </c>
      <c r="S72" s="214" t="e">
        <f>IF((mortgage[[#This Row],[Year (Range)]]&gt;=$C$8)*(mortgage[[#This Row],[Year (Range)]]&lt;=$C$10),mortgage[[#This Row],[Total Annual Indirect Housing Expenses]],NA())</f>
        <v>#N/A</v>
      </c>
      <c r="T72" s="214" t="e">
        <f>IF((mortgage[[#This Row],[Year (Range)]]&gt;=$C$8)*(mortgage[[#This Row],[Year (Range)]]&lt;=$C$10),mortgage[[#This Row],[Est. Home Value (EOY)]],NA())</f>
        <v>#N/A</v>
      </c>
      <c r="U72" s="164">
        <f>IF(U71&lt;W71,0,IF(I72&lt;='Data Entry'!$F$9,(U71-(W71+X71)),0))</f>
        <v>0</v>
      </c>
      <c r="V72" s="183">
        <f>SUMIF(monthly_mortgage_schedule[Calendar Year],mortgage[[#This Row],[Calendar Year]],monthly_mortgage_schedule[Interest With Extra Principal Payments])</f>
        <v>0</v>
      </c>
      <c r="W72" s="4">
        <f>SUMIF(monthly_mortgage_schedule[Calendar Year],mortgage[[#This Row],[Calendar Year]],monthly_mortgage_schedule[Principal With Extra Principal Payments])</f>
        <v>0</v>
      </c>
      <c r="X72" s="4">
        <f>SUMIF(monthly_mortgage_schedule[Calendar Year],mortgage[[#This Row],[Calendar Year]],monthly_mortgage_schedule[Extra Payments Towards Equity])</f>
        <v>0</v>
      </c>
      <c r="Y72" s="4">
        <f>Y71*(1+'Data Entry'!$C$8)</f>
        <v>40657.188733238931</v>
      </c>
      <c r="Z72" s="4">
        <f>SUMIF(monthly_mortgage_schedule[Calendar Year],mortgage[[#This Row],[Calendar Year]],monthly_mortgage_schedule[PMI with Additional Payments])</f>
        <v>0</v>
      </c>
      <c r="AA72" s="4">
        <f>mortgage[[#This Row],[Interest]]+mortgage[[#This Row],[Property Taxes]]</f>
        <v>40657.188733238931</v>
      </c>
      <c r="AB72" s="4">
        <f>AB71*(1+'Data Entry'!$C$10)</f>
        <v>5590.363450820355</v>
      </c>
      <c r="AC72" s="4">
        <f>AC71*(1+'Data Entry'!$C$9)</f>
        <v>30492.891549929212</v>
      </c>
      <c r="AD72" s="4">
        <f>SUMIF(nonroutine_maintenance_expenses[Year (YYYY)],mortgage[[#This Row],[Calendar Year]],nonroutine_maintenance_expenses[Amount ($)])</f>
        <v>0</v>
      </c>
      <c r="AE72" s="4">
        <f>AE71*(1+'Data Entry'!C$7)</f>
        <v>3979884.6867064722</v>
      </c>
      <c r="AF72" s="4">
        <f t="shared" si="6"/>
        <v>3519180.6507411986</v>
      </c>
      <c r="AG72" s="4">
        <f>mortgage[[#This Row],[Principal]]+mortgage[[#This Row],[Extra Payment Towards Equity]]+AG71</f>
        <v>542995.30794004421</v>
      </c>
      <c r="AH72" s="4">
        <f t="shared" si="7"/>
        <v>506863.32958102686</v>
      </c>
      <c r="AI72" s="4">
        <f>AI71+mortgage[[#This Row],[Principal]]+mortgage[[#This Row],[Extra Payment Towards Equity]]</f>
        <v>602995.30794004421</v>
      </c>
      <c r="AJ72" s="180">
        <f>mortgage[[#This Row],[Cumulative Equity (EOY)]]/purchase_price</f>
        <v>1.0049921799000736</v>
      </c>
      <c r="AK72" s="180">
        <f>mortgage[[#This Row],[Loan Balance (BOY)]]/mortgage[[#This Row],[Est. Home Value (EOY)]]</f>
        <v>0</v>
      </c>
      <c r="AL72" s="4">
        <f t="shared" si="4"/>
        <v>0</v>
      </c>
      <c r="AM72" s="4">
        <f>SUM(mortgage[[#This Row],[Property Taxes]],mortgage[[#This Row],[PMI]],mortgage[[#This Row],[Homeowners Insurance]],mortgage[[#This Row],[Routine Maintenance]],mortgage[[#This Row],[Non-Routine Maintenance]])</f>
        <v>76740.443733988504</v>
      </c>
      <c r="AN72" s="160">
        <f>mortgage[[#This Row],[Total Annual Indirect Housing Expenses]]+AN71</f>
        <v>2187141.9015336032</v>
      </c>
    </row>
    <row r="73" spans="9:40" x14ac:dyDescent="0.25">
      <c r="I73">
        <v>57</v>
      </c>
      <c r="J73">
        <f t="shared" si="5"/>
        <v>2078</v>
      </c>
      <c r="K73" s="198">
        <f>IF(mortgage[[#This Row],[Calendar Year]]&gt;=$C$8,mortgage[[#This Row],[Calendar Year]],NA())</f>
        <v>2078</v>
      </c>
      <c r="L73" s="199" t="e">
        <f>IF((mortgage[[#This Row],[Calendar Year]]&gt;=$C$8)*(mortgage[[#This Row],[Calendar Year]]&lt;=$C$10),mortgage[[#This Row],[Calendar Year]],NA())</f>
        <v>#N/A</v>
      </c>
      <c r="M73" s="214" t="e">
        <f>IF((mortgage[[#This Row],[Calendar Year]]&gt;=$C$8)*(mortgage[[#This Row],[Calendar Year]]&lt;=$C$10),mortgage[[#This Row],[Loan Balance (BOY)]],NA())</f>
        <v>#N/A</v>
      </c>
      <c r="N73" s="214" t="e">
        <f>IF((mortgage[[#This Row],[Begin Year (Range)]]&gt;=$C$8)*(mortgage[[#This Row],[Begin Year (Range)]]&lt;=$C$10),mortgage[[#This Row],[Cumulative Interest (EOY)]],NA())</f>
        <v>#N/A</v>
      </c>
      <c r="O73" s="214" t="e">
        <f>IF((mortgage[[#This Row],[Year (Range)]]&gt;=$C$8)*(mortgage[[#This Row],[Year (Range)]]&lt;=$C$10),mortgage[[#This Row],[Cumulative Principal (EOY)]],NA())</f>
        <v>#N/A</v>
      </c>
      <c r="P73" s="214" t="e">
        <f>IF((mortgage[[#This Row],[Year (Range)]]&gt;=$C$8)*(mortgage[[#This Row],[Year (Range)]]&lt;=$C$10),mortgage[[#This Row],[Cumulative Appreciation (EOY)]],NA())</f>
        <v>#N/A</v>
      </c>
      <c r="Q73" s="214" t="e">
        <f>IF((mortgage[[#This Row],[Year (Range)]]&gt;=$C$8)*(mortgage[[#This Row],[Year (Range)]]&lt;=$C$10),mortgage[[#This Row],[Cumulative Equity (EOY)]],NA())</f>
        <v>#N/A</v>
      </c>
      <c r="R73" s="214" t="e">
        <f>IF((mortgage[[#This Row],[Year (Range)]]&gt;=$C$8)*(mortgage[[#This Row],[Year (Range)]]&lt;=$C$10),mortgage[[#This Row],[Cumulative Total Indirect Housing Expenses]],NA())</f>
        <v>#N/A</v>
      </c>
      <c r="S73" s="214" t="e">
        <f>IF((mortgage[[#This Row],[Year (Range)]]&gt;=$C$8)*(mortgage[[#This Row],[Year (Range)]]&lt;=$C$10),mortgage[[#This Row],[Total Annual Indirect Housing Expenses]],NA())</f>
        <v>#N/A</v>
      </c>
      <c r="T73" s="214" t="e">
        <f>IF((mortgage[[#This Row],[Year (Range)]]&gt;=$C$8)*(mortgage[[#This Row],[Year (Range)]]&lt;=$C$10),mortgage[[#This Row],[Est. Home Value (EOY)]],NA())</f>
        <v>#N/A</v>
      </c>
      <c r="U73" s="164">
        <f>IF(U72&lt;W72,0,IF(I73&lt;='Data Entry'!$F$9,(U72-(W72+X72)),0))</f>
        <v>0</v>
      </c>
      <c r="V73" s="183">
        <f>SUMIF(monthly_mortgage_schedule[Calendar Year],mortgage[[#This Row],[Calendar Year]],monthly_mortgage_schedule[Interest With Extra Principal Payments])</f>
        <v>0</v>
      </c>
      <c r="W73" s="4">
        <f>SUMIF(monthly_mortgage_schedule[Calendar Year],mortgage[[#This Row],[Calendar Year]],monthly_mortgage_schedule[Principal With Extra Principal Payments])</f>
        <v>0</v>
      </c>
      <c r="X73" s="4">
        <f>SUMIF(monthly_mortgage_schedule[Calendar Year],mortgage[[#This Row],[Calendar Year]],monthly_mortgage_schedule[Extra Payments Towards Equity])</f>
        <v>0</v>
      </c>
      <c r="Y73" s="4">
        <f>Y72*(1+'Data Entry'!$C$8)</f>
        <v>41876.904395236103</v>
      </c>
      <c r="Z73" s="4">
        <f>SUMIF(monthly_mortgage_schedule[Calendar Year],mortgage[[#This Row],[Calendar Year]],monthly_mortgage_schedule[PMI with Additional Payments])</f>
        <v>0</v>
      </c>
      <c r="AA73" s="4">
        <f>mortgage[[#This Row],[Interest]]+mortgage[[#This Row],[Property Taxes]]</f>
        <v>41876.904395236103</v>
      </c>
      <c r="AB73" s="4">
        <f>AB72*(1+'Data Entry'!$C$10)</f>
        <v>5758.0743543449662</v>
      </c>
      <c r="AC73" s="4">
        <f>AC72*(1+'Data Entry'!$C$9)</f>
        <v>31407.67829642709</v>
      </c>
      <c r="AD73" s="4">
        <f>SUMIF(nonroutine_maintenance_expenses[Year (YYYY)],mortgage[[#This Row],[Calendar Year]],nonroutine_maintenance_expenses[Amount ($)])</f>
        <v>0</v>
      </c>
      <c r="AE73" s="4">
        <f>AE72*(1+'Data Entry'!C$7)</f>
        <v>4119180.6507411986</v>
      </c>
      <c r="AF73" s="4">
        <f t="shared" si="6"/>
        <v>3663351.9735171404</v>
      </c>
      <c r="AG73" s="4">
        <f>mortgage[[#This Row],[Principal]]+mortgage[[#This Row],[Extra Payment Towards Equity]]+AG72</f>
        <v>542995.30794004421</v>
      </c>
      <c r="AH73" s="4">
        <f t="shared" si="7"/>
        <v>506863.32958102686</v>
      </c>
      <c r="AI73" s="4">
        <f>AI72+mortgage[[#This Row],[Principal]]+mortgage[[#This Row],[Extra Payment Towards Equity]]</f>
        <v>602995.30794004421</v>
      </c>
      <c r="AJ73" s="180">
        <f>mortgage[[#This Row],[Cumulative Equity (EOY)]]/purchase_price</f>
        <v>1.0049921799000736</v>
      </c>
      <c r="AK73" s="180">
        <f>mortgage[[#This Row],[Loan Balance (BOY)]]/mortgage[[#This Row],[Est. Home Value (EOY)]]</f>
        <v>0</v>
      </c>
      <c r="AL73" s="4">
        <f t="shared" si="4"/>
        <v>0</v>
      </c>
      <c r="AM73" s="4">
        <f>SUM(mortgage[[#This Row],[Property Taxes]],mortgage[[#This Row],[PMI]],mortgage[[#This Row],[Homeowners Insurance]],mortgage[[#This Row],[Routine Maintenance]],mortgage[[#This Row],[Non-Routine Maintenance]])</f>
        <v>79042.657046008157</v>
      </c>
      <c r="AN73" s="160">
        <f>mortgage[[#This Row],[Total Annual Indirect Housing Expenses]]+AN72</f>
        <v>2266184.5585796116</v>
      </c>
    </row>
    <row r="74" spans="9:40" x14ac:dyDescent="0.25">
      <c r="I74">
        <v>58</v>
      </c>
      <c r="J74">
        <f t="shared" si="5"/>
        <v>2079</v>
      </c>
      <c r="K74" s="198">
        <f>IF(mortgage[[#This Row],[Calendar Year]]&gt;=$C$8,mortgage[[#This Row],[Calendar Year]],NA())</f>
        <v>2079</v>
      </c>
      <c r="L74" s="199" t="e">
        <f>IF((mortgage[[#This Row],[Calendar Year]]&gt;=$C$8)*(mortgage[[#This Row],[Calendar Year]]&lt;=$C$10),mortgage[[#This Row],[Calendar Year]],NA())</f>
        <v>#N/A</v>
      </c>
      <c r="M74" s="214" t="e">
        <f>IF((mortgage[[#This Row],[Calendar Year]]&gt;=$C$8)*(mortgage[[#This Row],[Calendar Year]]&lt;=$C$10),mortgage[[#This Row],[Loan Balance (BOY)]],NA())</f>
        <v>#N/A</v>
      </c>
      <c r="N74" s="214" t="e">
        <f>IF((mortgage[[#This Row],[Begin Year (Range)]]&gt;=$C$8)*(mortgage[[#This Row],[Begin Year (Range)]]&lt;=$C$10),mortgage[[#This Row],[Cumulative Interest (EOY)]],NA())</f>
        <v>#N/A</v>
      </c>
      <c r="O74" s="214" t="e">
        <f>IF((mortgage[[#This Row],[Year (Range)]]&gt;=$C$8)*(mortgage[[#This Row],[Year (Range)]]&lt;=$C$10),mortgage[[#This Row],[Cumulative Principal (EOY)]],NA())</f>
        <v>#N/A</v>
      </c>
      <c r="P74" s="214" t="e">
        <f>IF((mortgage[[#This Row],[Year (Range)]]&gt;=$C$8)*(mortgage[[#This Row],[Year (Range)]]&lt;=$C$10),mortgage[[#This Row],[Cumulative Appreciation (EOY)]],NA())</f>
        <v>#N/A</v>
      </c>
      <c r="Q74" s="214" t="e">
        <f>IF((mortgage[[#This Row],[Year (Range)]]&gt;=$C$8)*(mortgage[[#This Row],[Year (Range)]]&lt;=$C$10),mortgage[[#This Row],[Cumulative Equity (EOY)]],NA())</f>
        <v>#N/A</v>
      </c>
      <c r="R74" s="214" t="e">
        <f>IF((mortgage[[#This Row],[Year (Range)]]&gt;=$C$8)*(mortgage[[#This Row],[Year (Range)]]&lt;=$C$10),mortgage[[#This Row],[Cumulative Total Indirect Housing Expenses]],NA())</f>
        <v>#N/A</v>
      </c>
      <c r="S74" s="214" t="e">
        <f>IF((mortgage[[#This Row],[Year (Range)]]&gt;=$C$8)*(mortgage[[#This Row],[Year (Range)]]&lt;=$C$10),mortgage[[#This Row],[Total Annual Indirect Housing Expenses]],NA())</f>
        <v>#N/A</v>
      </c>
      <c r="T74" s="214" t="e">
        <f>IF((mortgage[[#This Row],[Year (Range)]]&gt;=$C$8)*(mortgage[[#This Row],[Year (Range)]]&lt;=$C$10),mortgage[[#This Row],[Est. Home Value (EOY)]],NA())</f>
        <v>#N/A</v>
      </c>
      <c r="U74" s="164">
        <f>IF(U73&lt;W73,0,IF(I74&lt;='Data Entry'!$F$9,(U73-(W73+X73)),0))</f>
        <v>0</v>
      </c>
      <c r="V74" s="183">
        <f>SUMIF(monthly_mortgage_schedule[Calendar Year],mortgage[[#This Row],[Calendar Year]],monthly_mortgage_schedule[Interest With Extra Principal Payments])</f>
        <v>0</v>
      </c>
      <c r="W74" s="4">
        <f>SUMIF(monthly_mortgage_schedule[Calendar Year],mortgage[[#This Row],[Calendar Year]],monthly_mortgage_schedule[Principal With Extra Principal Payments])</f>
        <v>0</v>
      </c>
      <c r="X74" s="4">
        <f>SUMIF(monthly_mortgage_schedule[Calendar Year],mortgage[[#This Row],[Calendar Year]],monthly_mortgage_schedule[Extra Payments Towards Equity])</f>
        <v>0</v>
      </c>
      <c r="Y74" s="4">
        <f>Y73*(1+'Data Entry'!$C$8)</f>
        <v>43133.21152709319</v>
      </c>
      <c r="Z74" s="4">
        <f>SUMIF(monthly_mortgage_schedule[Calendar Year],mortgage[[#This Row],[Calendar Year]],monthly_mortgage_schedule[PMI with Additional Payments])</f>
        <v>0</v>
      </c>
      <c r="AA74" s="4">
        <f>mortgage[[#This Row],[Interest]]+mortgage[[#This Row],[Property Taxes]]</f>
        <v>43133.21152709319</v>
      </c>
      <c r="AB74" s="4">
        <f>AB73*(1+'Data Entry'!$C$10)</f>
        <v>5930.816584975315</v>
      </c>
      <c r="AC74" s="4">
        <f>AC73*(1+'Data Entry'!$C$9)</f>
        <v>32349.908645319902</v>
      </c>
      <c r="AD74" s="4">
        <f>SUMIF(nonroutine_maintenance_expenses[Year (YYYY)],mortgage[[#This Row],[Calendar Year]],nonroutine_maintenance_expenses[Amount ($)])</f>
        <v>0</v>
      </c>
      <c r="AE74" s="4">
        <f>AE73*(1+'Data Entry'!C$7)</f>
        <v>4263351.9735171404</v>
      </c>
      <c r="AF74" s="4">
        <f t="shared" si="6"/>
        <v>3812569.29259024</v>
      </c>
      <c r="AG74" s="4">
        <f>mortgage[[#This Row],[Principal]]+mortgage[[#This Row],[Extra Payment Towards Equity]]+AG73</f>
        <v>542995.30794004421</v>
      </c>
      <c r="AH74" s="4">
        <f t="shared" si="7"/>
        <v>506863.32958102686</v>
      </c>
      <c r="AI74" s="4">
        <f>AI73+mortgage[[#This Row],[Principal]]+mortgage[[#This Row],[Extra Payment Towards Equity]]</f>
        <v>602995.30794004421</v>
      </c>
      <c r="AJ74" s="180">
        <f>mortgage[[#This Row],[Cumulative Equity (EOY)]]/purchase_price</f>
        <v>1.0049921799000736</v>
      </c>
      <c r="AK74" s="180">
        <f>mortgage[[#This Row],[Loan Balance (BOY)]]/mortgage[[#This Row],[Est. Home Value (EOY)]]</f>
        <v>0</v>
      </c>
      <c r="AL74" s="4">
        <f t="shared" si="4"/>
        <v>0</v>
      </c>
      <c r="AM74" s="4">
        <f>SUM(mortgage[[#This Row],[Property Taxes]],mortgage[[#This Row],[PMI]],mortgage[[#This Row],[Homeowners Insurance]],mortgage[[#This Row],[Routine Maintenance]],mortgage[[#This Row],[Non-Routine Maintenance]])</f>
        <v>81413.936757388408</v>
      </c>
      <c r="AN74" s="160">
        <f>mortgage[[#This Row],[Total Annual Indirect Housing Expenses]]+AN73</f>
        <v>2347598.4953370001</v>
      </c>
    </row>
    <row r="75" spans="9:40" x14ac:dyDescent="0.25">
      <c r="I75">
        <v>59</v>
      </c>
      <c r="J75">
        <f t="shared" si="5"/>
        <v>2080</v>
      </c>
      <c r="K75" s="198">
        <f>IF(mortgage[[#This Row],[Calendar Year]]&gt;=$C$8,mortgage[[#This Row],[Calendar Year]],NA())</f>
        <v>2080</v>
      </c>
      <c r="L75" s="199" t="e">
        <f>IF((mortgage[[#This Row],[Calendar Year]]&gt;=$C$8)*(mortgage[[#This Row],[Calendar Year]]&lt;=$C$10),mortgage[[#This Row],[Calendar Year]],NA())</f>
        <v>#N/A</v>
      </c>
      <c r="M75" s="214" t="e">
        <f>IF((mortgage[[#This Row],[Calendar Year]]&gt;=$C$8)*(mortgage[[#This Row],[Calendar Year]]&lt;=$C$10),mortgage[[#This Row],[Loan Balance (BOY)]],NA())</f>
        <v>#N/A</v>
      </c>
      <c r="N75" s="214" t="e">
        <f>IF((mortgage[[#This Row],[Begin Year (Range)]]&gt;=$C$8)*(mortgage[[#This Row],[Begin Year (Range)]]&lt;=$C$10),mortgage[[#This Row],[Cumulative Interest (EOY)]],NA())</f>
        <v>#N/A</v>
      </c>
      <c r="O75" s="214" t="e">
        <f>IF((mortgage[[#This Row],[Year (Range)]]&gt;=$C$8)*(mortgage[[#This Row],[Year (Range)]]&lt;=$C$10),mortgage[[#This Row],[Cumulative Principal (EOY)]],NA())</f>
        <v>#N/A</v>
      </c>
      <c r="P75" s="214" t="e">
        <f>IF((mortgage[[#This Row],[Year (Range)]]&gt;=$C$8)*(mortgage[[#This Row],[Year (Range)]]&lt;=$C$10),mortgage[[#This Row],[Cumulative Appreciation (EOY)]],NA())</f>
        <v>#N/A</v>
      </c>
      <c r="Q75" s="214" t="e">
        <f>IF((mortgage[[#This Row],[Year (Range)]]&gt;=$C$8)*(mortgage[[#This Row],[Year (Range)]]&lt;=$C$10),mortgage[[#This Row],[Cumulative Equity (EOY)]],NA())</f>
        <v>#N/A</v>
      </c>
      <c r="R75" s="214" t="e">
        <f>IF((mortgage[[#This Row],[Year (Range)]]&gt;=$C$8)*(mortgage[[#This Row],[Year (Range)]]&lt;=$C$10),mortgage[[#This Row],[Cumulative Total Indirect Housing Expenses]],NA())</f>
        <v>#N/A</v>
      </c>
      <c r="S75" s="214" t="e">
        <f>IF((mortgage[[#This Row],[Year (Range)]]&gt;=$C$8)*(mortgage[[#This Row],[Year (Range)]]&lt;=$C$10),mortgage[[#This Row],[Total Annual Indirect Housing Expenses]],NA())</f>
        <v>#N/A</v>
      </c>
      <c r="T75" s="214" t="e">
        <f>IF((mortgage[[#This Row],[Year (Range)]]&gt;=$C$8)*(mortgage[[#This Row],[Year (Range)]]&lt;=$C$10),mortgage[[#This Row],[Est. Home Value (EOY)]],NA())</f>
        <v>#N/A</v>
      </c>
      <c r="U75" s="164">
        <f>IF(U74&lt;W74,0,IF(I75&lt;='Data Entry'!$F$9,(U74-(W74+X74)),0))</f>
        <v>0</v>
      </c>
      <c r="V75" s="183">
        <f>SUMIF(monthly_mortgage_schedule[Calendar Year],mortgage[[#This Row],[Calendar Year]],monthly_mortgage_schedule[Interest With Extra Principal Payments])</f>
        <v>0</v>
      </c>
      <c r="W75" s="4">
        <f>SUMIF(monthly_mortgage_schedule[Calendar Year],mortgage[[#This Row],[Calendar Year]],monthly_mortgage_schedule[Principal With Extra Principal Payments])</f>
        <v>0</v>
      </c>
      <c r="X75" s="4">
        <f>SUMIF(monthly_mortgage_schedule[Calendar Year],mortgage[[#This Row],[Calendar Year]],monthly_mortgage_schedule[Extra Payments Towards Equity])</f>
        <v>0</v>
      </c>
      <c r="Y75" s="4">
        <f>Y74*(1+'Data Entry'!$C$8)</f>
        <v>44427.207872905987</v>
      </c>
      <c r="Z75" s="4">
        <f>SUMIF(monthly_mortgage_schedule[Calendar Year],mortgage[[#This Row],[Calendar Year]],monthly_mortgage_schedule[PMI with Additional Payments])</f>
        <v>0</v>
      </c>
      <c r="AA75" s="4">
        <f>mortgage[[#This Row],[Interest]]+mortgage[[#This Row],[Property Taxes]]</f>
        <v>44427.207872905987</v>
      </c>
      <c r="AB75" s="4">
        <f>AB74*(1+'Data Entry'!$C$10)</f>
        <v>6108.7410825245743</v>
      </c>
      <c r="AC75" s="4">
        <f>AC74*(1+'Data Entry'!$C$9)</f>
        <v>33320.405904679501</v>
      </c>
      <c r="AD75" s="4">
        <f>SUMIF(nonroutine_maintenance_expenses[Year (YYYY)],mortgage[[#This Row],[Calendar Year]],nonroutine_maintenance_expenses[Amount ($)])</f>
        <v>0</v>
      </c>
      <c r="AE75" s="4">
        <f>AE74*(1+'Data Entry'!C$7)</f>
        <v>4412569.29259024</v>
      </c>
      <c r="AF75" s="4">
        <f t="shared" si="6"/>
        <v>3967009.2178308982</v>
      </c>
      <c r="AG75" s="4">
        <f>mortgage[[#This Row],[Principal]]+mortgage[[#This Row],[Extra Payment Towards Equity]]+AG74</f>
        <v>542995.30794004421</v>
      </c>
      <c r="AH75" s="4">
        <f t="shared" si="7"/>
        <v>506863.32958102686</v>
      </c>
      <c r="AI75" s="4">
        <f>AI74+mortgage[[#This Row],[Principal]]+mortgage[[#This Row],[Extra Payment Towards Equity]]</f>
        <v>602995.30794004421</v>
      </c>
      <c r="AJ75" s="180">
        <f>mortgage[[#This Row],[Cumulative Equity (EOY)]]/purchase_price</f>
        <v>1.0049921799000736</v>
      </c>
      <c r="AK75" s="180">
        <f>mortgage[[#This Row],[Loan Balance (BOY)]]/mortgage[[#This Row],[Est. Home Value (EOY)]]</f>
        <v>0</v>
      </c>
      <c r="AL75" s="4">
        <f t="shared" si="4"/>
        <v>0</v>
      </c>
      <c r="AM75" s="4">
        <f>SUM(mortgage[[#This Row],[Property Taxes]],mortgage[[#This Row],[PMI]],mortgage[[#This Row],[Homeowners Insurance]],mortgage[[#This Row],[Routine Maintenance]],mortgage[[#This Row],[Non-Routine Maintenance]])</f>
        <v>83856.354860110063</v>
      </c>
      <c r="AN75" s="160">
        <f>mortgage[[#This Row],[Total Annual Indirect Housing Expenses]]+AN74</f>
        <v>2431454.8501971103</v>
      </c>
    </row>
    <row r="76" spans="9:40" x14ac:dyDescent="0.25">
      <c r="I76">
        <v>60</v>
      </c>
      <c r="J76">
        <f t="shared" si="5"/>
        <v>2081</v>
      </c>
      <c r="K76" s="198">
        <f>IF(mortgage[[#This Row],[Calendar Year]]&gt;=$C$8,mortgage[[#This Row],[Calendar Year]],NA())</f>
        <v>2081</v>
      </c>
      <c r="L76" s="199" t="e">
        <f>IF((mortgage[[#This Row],[Calendar Year]]&gt;=$C$8)*(mortgage[[#This Row],[Calendar Year]]&lt;=$C$10),mortgage[[#This Row],[Calendar Year]],NA())</f>
        <v>#N/A</v>
      </c>
      <c r="M76" s="214" t="e">
        <f>IF((mortgage[[#This Row],[Calendar Year]]&gt;=$C$8)*(mortgage[[#This Row],[Calendar Year]]&lt;=$C$10),mortgage[[#This Row],[Loan Balance (BOY)]],NA())</f>
        <v>#N/A</v>
      </c>
      <c r="N76" s="214" t="e">
        <f>IF((mortgage[[#This Row],[Begin Year (Range)]]&gt;=$C$8)*(mortgage[[#This Row],[Begin Year (Range)]]&lt;=$C$10),mortgage[[#This Row],[Cumulative Interest (EOY)]],NA())</f>
        <v>#N/A</v>
      </c>
      <c r="O76" s="214" t="e">
        <f>IF((mortgage[[#This Row],[Year (Range)]]&gt;=$C$8)*(mortgage[[#This Row],[Year (Range)]]&lt;=$C$10),mortgage[[#This Row],[Cumulative Principal (EOY)]],NA())</f>
        <v>#N/A</v>
      </c>
      <c r="P76" s="214" t="e">
        <f>IF((mortgage[[#This Row],[Year (Range)]]&gt;=$C$8)*(mortgage[[#This Row],[Year (Range)]]&lt;=$C$10),mortgage[[#This Row],[Cumulative Appreciation (EOY)]],NA())</f>
        <v>#N/A</v>
      </c>
      <c r="Q76" s="214" t="e">
        <f>IF((mortgage[[#This Row],[Year (Range)]]&gt;=$C$8)*(mortgage[[#This Row],[Year (Range)]]&lt;=$C$10),mortgage[[#This Row],[Cumulative Equity (EOY)]],NA())</f>
        <v>#N/A</v>
      </c>
      <c r="R76" s="214" t="e">
        <f>IF((mortgage[[#This Row],[Year (Range)]]&gt;=$C$8)*(mortgage[[#This Row],[Year (Range)]]&lt;=$C$10),mortgage[[#This Row],[Cumulative Total Indirect Housing Expenses]],NA())</f>
        <v>#N/A</v>
      </c>
      <c r="S76" s="214" t="e">
        <f>IF((mortgage[[#This Row],[Year (Range)]]&gt;=$C$8)*(mortgage[[#This Row],[Year (Range)]]&lt;=$C$10),mortgage[[#This Row],[Total Annual Indirect Housing Expenses]],NA())</f>
        <v>#N/A</v>
      </c>
      <c r="T76" s="214" t="e">
        <f>IF((mortgage[[#This Row],[Year (Range)]]&gt;=$C$8)*(mortgage[[#This Row],[Year (Range)]]&lt;=$C$10),mortgage[[#This Row],[Est. Home Value (EOY)]],NA())</f>
        <v>#N/A</v>
      </c>
      <c r="U76" s="164">
        <f>IF(U75&lt;W75,0,IF(I76&lt;='Data Entry'!$F$9,(U75-(W75+X75)),0))</f>
        <v>0</v>
      </c>
      <c r="V76" s="183">
        <f>SUMIF(monthly_mortgage_schedule[Calendar Year],mortgage[[#This Row],[Calendar Year]],monthly_mortgage_schedule[Interest With Extra Principal Payments])</f>
        <v>0</v>
      </c>
      <c r="W76" s="4">
        <f>SUMIF(monthly_mortgage_schedule[Calendar Year],mortgage[[#This Row],[Calendar Year]],monthly_mortgage_schedule[Principal With Extra Principal Payments])</f>
        <v>0</v>
      </c>
      <c r="X76" s="4">
        <f>SUMIF(monthly_mortgage_schedule[Calendar Year],mortgage[[#This Row],[Calendar Year]],monthly_mortgage_schedule[Extra Payments Towards Equity])</f>
        <v>0</v>
      </c>
      <c r="Y76" s="4">
        <f>Y75*(1+'Data Entry'!$C$8)</f>
        <v>45760.024109093167</v>
      </c>
      <c r="Z76" s="4">
        <f>SUMIF(monthly_mortgage_schedule[Calendar Year],mortgage[[#This Row],[Calendar Year]],monthly_mortgage_schedule[PMI with Additional Payments])</f>
        <v>0</v>
      </c>
      <c r="AA76" s="4">
        <f>mortgage[[#This Row],[Interest]]+mortgage[[#This Row],[Property Taxes]]</f>
        <v>45760.024109093167</v>
      </c>
      <c r="AB76" s="4">
        <f>AB75*(1+'Data Entry'!$C$10)</f>
        <v>6292.0033150003119</v>
      </c>
      <c r="AC76" s="4">
        <f>AC75*(1+'Data Entry'!$C$9)</f>
        <v>34320.018081819886</v>
      </c>
      <c r="AD76" s="4">
        <f>SUMIF(nonroutine_maintenance_expenses[Year (YYYY)],mortgage[[#This Row],[Calendar Year]],nonroutine_maintenance_expenses[Amount ($)])</f>
        <v>0</v>
      </c>
      <c r="AE76" s="4">
        <f>AE75*(1+'Data Entry'!C$7)</f>
        <v>4567009.2178308982</v>
      </c>
      <c r="AF76" s="4">
        <f t="shared" si="6"/>
        <v>4126854.5404549791</v>
      </c>
      <c r="AG76" s="4">
        <f>mortgage[[#This Row],[Principal]]+mortgage[[#This Row],[Extra Payment Towards Equity]]+AG75</f>
        <v>542995.30794004421</v>
      </c>
      <c r="AH76" s="4">
        <f t="shared" si="7"/>
        <v>506863.32958102686</v>
      </c>
      <c r="AI76" s="4">
        <f>AI75+mortgage[[#This Row],[Principal]]+mortgage[[#This Row],[Extra Payment Towards Equity]]</f>
        <v>602995.30794004421</v>
      </c>
      <c r="AJ76" s="180">
        <f>mortgage[[#This Row],[Cumulative Equity (EOY)]]/purchase_price</f>
        <v>1.0049921799000736</v>
      </c>
      <c r="AK76" s="180">
        <f>mortgage[[#This Row],[Loan Balance (BOY)]]/mortgage[[#This Row],[Est. Home Value (EOY)]]</f>
        <v>0</v>
      </c>
      <c r="AL76" s="4">
        <f t="shared" si="4"/>
        <v>0</v>
      </c>
      <c r="AM76" s="4">
        <f>SUM(mortgage[[#This Row],[Property Taxes]],mortgage[[#This Row],[PMI]],mortgage[[#This Row],[Homeowners Insurance]],mortgage[[#This Row],[Routine Maintenance]],mortgage[[#This Row],[Non-Routine Maintenance]])</f>
        <v>86372.045505913367</v>
      </c>
      <c r="AN76" s="160">
        <f>mortgage[[#This Row],[Total Annual Indirect Housing Expenses]]+AN75</f>
        <v>2517826.8957030238</v>
      </c>
    </row>
    <row r="77" spans="9:40" x14ac:dyDescent="0.25">
      <c r="I77">
        <v>61</v>
      </c>
      <c r="J77">
        <f t="shared" si="5"/>
        <v>2082</v>
      </c>
      <c r="K77" s="198">
        <f>IF(mortgage[[#This Row],[Calendar Year]]&gt;=$C$8,mortgage[[#This Row],[Calendar Year]],NA())</f>
        <v>2082</v>
      </c>
      <c r="L77" s="199" t="e">
        <f>IF((mortgage[[#This Row],[Calendar Year]]&gt;=$C$8)*(mortgage[[#This Row],[Calendar Year]]&lt;=$C$10),mortgage[[#This Row],[Calendar Year]],NA())</f>
        <v>#N/A</v>
      </c>
      <c r="M77" s="214" t="e">
        <f>IF((mortgage[[#This Row],[Calendar Year]]&gt;=$C$8)*(mortgage[[#This Row],[Calendar Year]]&lt;=$C$10),mortgage[[#This Row],[Loan Balance (BOY)]],NA())</f>
        <v>#N/A</v>
      </c>
      <c r="N77" s="214" t="e">
        <f>IF((mortgage[[#This Row],[Begin Year (Range)]]&gt;=$C$8)*(mortgage[[#This Row],[Begin Year (Range)]]&lt;=$C$10),mortgage[[#This Row],[Cumulative Interest (EOY)]],NA())</f>
        <v>#N/A</v>
      </c>
      <c r="O77" s="214" t="e">
        <f>IF((mortgage[[#This Row],[Year (Range)]]&gt;=$C$8)*(mortgage[[#This Row],[Year (Range)]]&lt;=$C$10),mortgage[[#This Row],[Cumulative Principal (EOY)]],NA())</f>
        <v>#N/A</v>
      </c>
      <c r="P77" s="214" t="e">
        <f>IF((mortgage[[#This Row],[Year (Range)]]&gt;=$C$8)*(mortgage[[#This Row],[Year (Range)]]&lt;=$C$10),mortgage[[#This Row],[Cumulative Appreciation (EOY)]],NA())</f>
        <v>#N/A</v>
      </c>
      <c r="Q77" s="214" t="e">
        <f>IF((mortgage[[#This Row],[Year (Range)]]&gt;=$C$8)*(mortgage[[#This Row],[Year (Range)]]&lt;=$C$10),mortgage[[#This Row],[Cumulative Equity (EOY)]],NA())</f>
        <v>#N/A</v>
      </c>
      <c r="R77" s="214" t="e">
        <f>IF((mortgage[[#This Row],[Year (Range)]]&gt;=$C$8)*(mortgage[[#This Row],[Year (Range)]]&lt;=$C$10),mortgage[[#This Row],[Cumulative Total Indirect Housing Expenses]],NA())</f>
        <v>#N/A</v>
      </c>
      <c r="S77" s="214" t="e">
        <f>IF((mortgage[[#This Row],[Year (Range)]]&gt;=$C$8)*(mortgage[[#This Row],[Year (Range)]]&lt;=$C$10),mortgage[[#This Row],[Total Annual Indirect Housing Expenses]],NA())</f>
        <v>#N/A</v>
      </c>
      <c r="T77" s="214" t="e">
        <f>IF((mortgage[[#This Row],[Year (Range)]]&gt;=$C$8)*(mortgage[[#This Row],[Year (Range)]]&lt;=$C$10),mortgage[[#This Row],[Est. Home Value (EOY)]],NA())</f>
        <v>#N/A</v>
      </c>
      <c r="U77" s="164">
        <f>IF(U76&lt;W76,0,IF(I77&lt;='Data Entry'!$F$9,(U76-(W76+X76)),0))</f>
        <v>0</v>
      </c>
      <c r="V77" s="183">
        <f>SUMIF(monthly_mortgage_schedule[Calendar Year],mortgage[[#This Row],[Calendar Year]],monthly_mortgage_schedule[Interest With Extra Principal Payments])</f>
        <v>0</v>
      </c>
      <c r="W77" s="4">
        <f>SUMIF(monthly_mortgage_schedule[Calendar Year],mortgage[[#This Row],[Calendar Year]],monthly_mortgage_schedule[Principal With Extra Principal Payments])</f>
        <v>0</v>
      </c>
      <c r="X77" s="4">
        <f>SUMIF(monthly_mortgage_schedule[Calendar Year],mortgage[[#This Row],[Calendar Year]],monthly_mortgage_schedule[Extra Payments Towards Equity])</f>
        <v>0</v>
      </c>
      <c r="Y77" s="4">
        <f>Y76*(1+'Data Entry'!$C$8)</f>
        <v>47132.824832365965</v>
      </c>
      <c r="Z77" s="4">
        <f>SUMIF(monthly_mortgage_schedule[Calendar Year],mortgage[[#This Row],[Calendar Year]],monthly_mortgage_schedule[PMI with Additional Payments])</f>
        <v>0</v>
      </c>
      <c r="AA77" s="4">
        <f>mortgage[[#This Row],[Interest]]+mortgage[[#This Row],[Property Taxes]]</f>
        <v>47132.824832365965</v>
      </c>
      <c r="AB77" s="4">
        <f>AB76*(1+'Data Entry'!$C$10)</f>
        <v>6480.7634144503218</v>
      </c>
      <c r="AC77" s="4">
        <f>AC76*(1+'Data Entry'!$C$9)</f>
        <v>35349.618624274481</v>
      </c>
      <c r="AD77" s="4">
        <f>SUMIF(nonroutine_maintenance_expenses[Year (YYYY)],mortgage[[#This Row],[Calendar Year]],nonroutine_maintenance_expenses[Amount ($)])</f>
        <v>0</v>
      </c>
      <c r="AE77" s="4">
        <f>AE76*(1+'Data Entry'!C$7)</f>
        <v>4726854.5404549791</v>
      </c>
      <c r="AF77" s="4">
        <f t="shared" si="6"/>
        <v>4292294.449370903</v>
      </c>
      <c r="AG77" s="4">
        <f>mortgage[[#This Row],[Principal]]+mortgage[[#This Row],[Extra Payment Towards Equity]]+AG76</f>
        <v>542995.30794004421</v>
      </c>
      <c r="AH77" s="4">
        <f t="shared" si="7"/>
        <v>506863.32958102686</v>
      </c>
      <c r="AI77" s="4">
        <f>AI76+mortgage[[#This Row],[Principal]]+mortgage[[#This Row],[Extra Payment Towards Equity]]</f>
        <v>602995.30794004421</v>
      </c>
      <c r="AJ77" s="180">
        <f>mortgage[[#This Row],[Cumulative Equity (EOY)]]/purchase_price</f>
        <v>1.0049921799000736</v>
      </c>
      <c r="AK77" s="180">
        <f>mortgage[[#This Row],[Loan Balance (BOY)]]/mortgage[[#This Row],[Est. Home Value (EOY)]]</f>
        <v>0</v>
      </c>
      <c r="AL77" s="4">
        <f t="shared" si="4"/>
        <v>0</v>
      </c>
      <c r="AM77" s="4">
        <f>SUM(mortgage[[#This Row],[Property Taxes]],mortgage[[#This Row],[PMI]],mortgage[[#This Row],[Homeowners Insurance]],mortgage[[#This Row],[Routine Maintenance]],mortgage[[#This Row],[Non-Routine Maintenance]])</f>
        <v>88963.206871090777</v>
      </c>
      <c r="AN77" s="160">
        <f>mortgage[[#This Row],[Total Annual Indirect Housing Expenses]]+AN76</f>
        <v>2606790.1025741147</v>
      </c>
    </row>
    <row r="78" spans="9:40" x14ac:dyDescent="0.25">
      <c r="I78">
        <v>62</v>
      </c>
      <c r="J78">
        <f t="shared" si="5"/>
        <v>2083</v>
      </c>
      <c r="K78" s="198">
        <f>IF(mortgage[[#This Row],[Calendar Year]]&gt;=$C$8,mortgage[[#This Row],[Calendar Year]],NA())</f>
        <v>2083</v>
      </c>
      <c r="L78" s="199" t="e">
        <f>IF((mortgage[[#This Row],[Calendar Year]]&gt;=$C$8)*(mortgage[[#This Row],[Calendar Year]]&lt;=$C$10),mortgage[[#This Row],[Calendar Year]],NA())</f>
        <v>#N/A</v>
      </c>
      <c r="M78" s="214" t="e">
        <f>IF((mortgage[[#This Row],[Calendar Year]]&gt;=$C$8)*(mortgage[[#This Row],[Calendar Year]]&lt;=$C$10),mortgage[[#This Row],[Loan Balance (BOY)]],NA())</f>
        <v>#N/A</v>
      </c>
      <c r="N78" s="214" t="e">
        <f>IF((mortgage[[#This Row],[Begin Year (Range)]]&gt;=$C$8)*(mortgage[[#This Row],[Begin Year (Range)]]&lt;=$C$10),mortgage[[#This Row],[Cumulative Interest (EOY)]],NA())</f>
        <v>#N/A</v>
      </c>
      <c r="O78" s="214" t="e">
        <f>IF((mortgage[[#This Row],[Year (Range)]]&gt;=$C$8)*(mortgage[[#This Row],[Year (Range)]]&lt;=$C$10),mortgage[[#This Row],[Cumulative Principal (EOY)]],NA())</f>
        <v>#N/A</v>
      </c>
      <c r="P78" s="214" t="e">
        <f>IF((mortgage[[#This Row],[Year (Range)]]&gt;=$C$8)*(mortgage[[#This Row],[Year (Range)]]&lt;=$C$10),mortgage[[#This Row],[Cumulative Appreciation (EOY)]],NA())</f>
        <v>#N/A</v>
      </c>
      <c r="Q78" s="214" t="e">
        <f>IF((mortgage[[#This Row],[Year (Range)]]&gt;=$C$8)*(mortgage[[#This Row],[Year (Range)]]&lt;=$C$10),mortgage[[#This Row],[Cumulative Equity (EOY)]],NA())</f>
        <v>#N/A</v>
      </c>
      <c r="R78" s="214" t="e">
        <f>IF((mortgage[[#This Row],[Year (Range)]]&gt;=$C$8)*(mortgage[[#This Row],[Year (Range)]]&lt;=$C$10),mortgage[[#This Row],[Cumulative Total Indirect Housing Expenses]],NA())</f>
        <v>#N/A</v>
      </c>
      <c r="S78" s="214" t="e">
        <f>IF((mortgage[[#This Row],[Year (Range)]]&gt;=$C$8)*(mortgage[[#This Row],[Year (Range)]]&lt;=$C$10),mortgage[[#This Row],[Total Annual Indirect Housing Expenses]],NA())</f>
        <v>#N/A</v>
      </c>
      <c r="T78" s="214" t="e">
        <f>IF((mortgage[[#This Row],[Year (Range)]]&gt;=$C$8)*(mortgage[[#This Row],[Year (Range)]]&lt;=$C$10),mortgage[[#This Row],[Est. Home Value (EOY)]],NA())</f>
        <v>#N/A</v>
      </c>
      <c r="U78" s="164">
        <f>IF(U77&lt;W77,0,IF(I78&lt;='Data Entry'!$F$9,(U77-(W77+X77)),0))</f>
        <v>0</v>
      </c>
      <c r="V78" s="183">
        <f>SUMIF(monthly_mortgage_schedule[Calendar Year],mortgage[[#This Row],[Calendar Year]],monthly_mortgage_schedule[Interest With Extra Principal Payments])</f>
        <v>0</v>
      </c>
      <c r="W78" s="4">
        <f>SUMIF(monthly_mortgage_schedule[Calendar Year],mortgage[[#This Row],[Calendar Year]],monthly_mortgage_schedule[Principal With Extra Principal Payments])</f>
        <v>0</v>
      </c>
      <c r="X78" s="4">
        <f>SUMIF(monthly_mortgage_schedule[Calendar Year],mortgage[[#This Row],[Calendar Year]],monthly_mortgage_schedule[Extra Payments Towards Equity])</f>
        <v>0</v>
      </c>
      <c r="Y78" s="4">
        <f>Y77*(1+'Data Entry'!$C$8)</f>
        <v>48546.809577336942</v>
      </c>
      <c r="Z78" s="4">
        <f>SUMIF(monthly_mortgage_schedule[Calendar Year],mortgage[[#This Row],[Calendar Year]],monthly_mortgage_schedule[PMI with Additional Payments])</f>
        <v>0</v>
      </c>
      <c r="AA78" s="4">
        <f>mortgage[[#This Row],[Interest]]+mortgage[[#This Row],[Property Taxes]]</f>
        <v>48546.809577336942</v>
      </c>
      <c r="AB78" s="4">
        <f>AB77*(1+'Data Entry'!$C$10)</f>
        <v>6675.1863168838318</v>
      </c>
      <c r="AC78" s="4">
        <f>AC77*(1+'Data Entry'!$C$9)</f>
        <v>36410.107183002714</v>
      </c>
      <c r="AD78" s="4">
        <f>SUMIF(nonroutine_maintenance_expenses[Year (YYYY)],mortgage[[#This Row],[Calendar Year]],nonroutine_maintenance_expenses[Amount ($)])</f>
        <v>0</v>
      </c>
      <c r="AE78" s="4">
        <f>AE77*(1+'Data Entry'!C$7)</f>
        <v>4892294.449370903</v>
      </c>
      <c r="AF78" s="4">
        <f t="shared" si="6"/>
        <v>4463524.755098884</v>
      </c>
      <c r="AG78" s="4">
        <f>mortgage[[#This Row],[Principal]]+mortgage[[#This Row],[Extra Payment Towards Equity]]+AG77</f>
        <v>542995.30794004421</v>
      </c>
      <c r="AH78" s="4">
        <f t="shared" si="7"/>
        <v>506863.32958102686</v>
      </c>
      <c r="AI78" s="4">
        <f>AI77+mortgage[[#This Row],[Principal]]+mortgage[[#This Row],[Extra Payment Towards Equity]]</f>
        <v>602995.30794004421</v>
      </c>
      <c r="AJ78" s="180">
        <f>mortgage[[#This Row],[Cumulative Equity (EOY)]]/purchase_price</f>
        <v>1.0049921799000736</v>
      </c>
      <c r="AK78" s="180">
        <f>mortgage[[#This Row],[Loan Balance (BOY)]]/mortgage[[#This Row],[Est. Home Value (EOY)]]</f>
        <v>0</v>
      </c>
      <c r="AL78" s="4">
        <f t="shared" si="4"/>
        <v>0</v>
      </c>
      <c r="AM78" s="4">
        <f>SUM(mortgage[[#This Row],[Property Taxes]],mortgage[[#This Row],[PMI]],mortgage[[#This Row],[Homeowners Insurance]],mortgage[[#This Row],[Routine Maintenance]],mortgage[[#This Row],[Non-Routine Maintenance]])</f>
        <v>91632.103077223495</v>
      </c>
      <c r="AN78" s="160">
        <f>mortgage[[#This Row],[Total Annual Indirect Housing Expenses]]+AN77</f>
        <v>2698422.2056513382</v>
      </c>
    </row>
    <row r="79" spans="9:40" x14ac:dyDescent="0.25">
      <c r="I79">
        <v>63</v>
      </c>
      <c r="J79">
        <f t="shared" si="5"/>
        <v>2084</v>
      </c>
      <c r="K79" s="198">
        <f>IF(mortgage[[#This Row],[Calendar Year]]&gt;=$C$8,mortgage[[#This Row],[Calendar Year]],NA())</f>
        <v>2084</v>
      </c>
      <c r="L79" s="199" t="e">
        <f>IF((mortgage[[#This Row],[Calendar Year]]&gt;=$C$8)*(mortgage[[#This Row],[Calendar Year]]&lt;=$C$10),mortgage[[#This Row],[Calendar Year]],NA())</f>
        <v>#N/A</v>
      </c>
      <c r="M79" s="214" t="e">
        <f>IF((mortgage[[#This Row],[Calendar Year]]&gt;=$C$8)*(mortgage[[#This Row],[Calendar Year]]&lt;=$C$10),mortgage[[#This Row],[Loan Balance (BOY)]],NA())</f>
        <v>#N/A</v>
      </c>
      <c r="N79" s="214" t="e">
        <f>IF((mortgage[[#This Row],[Begin Year (Range)]]&gt;=$C$8)*(mortgage[[#This Row],[Begin Year (Range)]]&lt;=$C$10),mortgage[[#This Row],[Cumulative Interest (EOY)]],NA())</f>
        <v>#N/A</v>
      </c>
      <c r="O79" s="214" t="e">
        <f>IF((mortgage[[#This Row],[Year (Range)]]&gt;=$C$8)*(mortgage[[#This Row],[Year (Range)]]&lt;=$C$10),mortgage[[#This Row],[Cumulative Principal (EOY)]],NA())</f>
        <v>#N/A</v>
      </c>
      <c r="P79" s="214" t="e">
        <f>IF((mortgage[[#This Row],[Year (Range)]]&gt;=$C$8)*(mortgage[[#This Row],[Year (Range)]]&lt;=$C$10),mortgage[[#This Row],[Cumulative Appreciation (EOY)]],NA())</f>
        <v>#N/A</v>
      </c>
      <c r="Q79" s="214" t="e">
        <f>IF((mortgage[[#This Row],[Year (Range)]]&gt;=$C$8)*(mortgage[[#This Row],[Year (Range)]]&lt;=$C$10),mortgage[[#This Row],[Cumulative Equity (EOY)]],NA())</f>
        <v>#N/A</v>
      </c>
      <c r="R79" s="214" t="e">
        <f>IF((mortgage[[#This Row],[Year (Range)]]&gt;=$C$8)*(mortgage[[#This Row],[Year (Range)]]&lt;=$C$10),mortgage[[#This Row],[Cumulative Total Indirect Housing Expenses]],NA())</f>
        <v>#N/A</v>
      </c>
      <c r="S79" s="214" t="e">
        <f>IF((mortgage[[#This Row],[Year (Range)]]&gt;=$C$8)*(mortgage[[#This Row],[Year (Range)]]&lt;=$C$10),mortgage[[#This Row],[Total Annual Indirect Housing Expenses]],NA())</f>
        <v>#N/A</v>
      </c>
      <c r="T79" s="214" t="e">
        <f>IF((mortgage[[#This Row],[Year (Range)]]&gt;=$C$8)*(mortgage[[#This Row],[Year (Range)]]&lt;=$C$10),mortgage[[#This Row],[Est. Home Value (EOY)]],NA())</f>
        <v>#N/A</v>
      </c>
      <c r="U79" s="164">
        <f>IF(U78&lt;W78,0,IF(I79&lt;='Data Entry'!$F$9,(U78-(W78+X78)),0))</f>
        <v>0</v>
      </c>
      <c r="V79" s="183">
        <f>SUMIF(monthly_mortgage_schedule[Calendar Year],mortgage[[#This Row],[Calendar Year]],monthly_mortgage_schedule[Interest With Extra Principal Payments])</f>
        <v>0</v>
      </c>
      <c r="W79" s="4">
        <f>SUMIF(monthly_mortgage_schedule[Calendar Year],mortgage[[#This Row],[Calendar Year]],monthly_mortgage_schedule[Principal With Extra Principal Payments])</f>
        <v>0</v>
      </c>
      <c r="X79" s="4">
        <f>SUMIF(monthly_mortgage_schedule[Calendar Year],mortgage[[#This Row],[Calendar Year]],monthly_mortgage_schedule[Extra Payments Towards Equity])</f>
        <v>0</v>
      </c>
      <c r="Y79" s="4">
        <f>Y78*(1+'Data Entry'!$C$8)</f>
        <v>50003.213864657053</v>
      </c>
      <c r="Z79" s="4">
        <f>SUMIF(monthly_mortgage_schedule[Calendar Year],mortgage[[#This Row],[Calendar Year]],monthly_mortgage_schedule[PMI with Additional Payments])</f>
        <v>0</v>
      </c>
      <c r="AA79" s="4">
        <f>mortgage[[#This Row],[Interest]]+mortgage[[#This Row],[Property Taxes]]</f>
        <v>50003.213864657053</v>
      </c>
      <c r="AB79" s="4">
        <f>AB78*(1+'Data Entry'!$C$10)</f>
        <v>6875.441906390347</v>
      </c>
      <c r="AC79" s="4">
        <f>AC78*(1+'Data Entry'!$C$9)</f>
        <v>37502.410398492793</v>
      </c>
      <c r="AD79" s="4">
        <f>SUMIF(nonroutine_maintenance_expenses[Year (YYYY)],mortgage[[#This Row],[Calendar Year]],nonroutine_maintenance_expenses[Amount ($)])</f>
        <v>0</v>
      </c>
      <c r="AE79" s="4">
        <f>AE78*(1+'Data Entry'!C$7)</f>
        <v>5063524.755098884</v>
      </c>
      <c r="AF79" s="4">
        <f t="shared" si="6"/>
        <v>4640748.1215273449</v>
      </c>
      <c r="AG79" s="4">
        <f>mortgage[[#This Row],[Principal]]+mortgage[[#This Row],[Extra Payment Towards Equity]]+AG78</f>
        <v>542995.30794004421</v>
      </c>
      <c r="AH79" s="4">
        <f t="shared" si="7"/>
        <v>506863.32958102686</v>
      </c>
      <c r="AI79" s="4">
        <f>AI78+mortgage[[#This Row],[Principal]]+mortgage[[#This Row],[Extra Payment Towards Equity]]</f>
        <v>602995.30794004421</v>
      </c>
      <c r="AJ79" s="180">
        <f>mortgage[[#This Row],[Cumulative Equity (EOY)]]/purchase_price</f>
        <v>1.0049921799000736</v>
      </c>
      <c r="AK79" s="180">
        <f>mortgage[[#This Row],[Loan Balance (BOY)]]/mortgage[[#This Row],[Est. Home Value (EOY)]]</f>
        <v>0</v>
      </c>
      <c r="AL79" s="4">
        <f t="shared" si="4"/>
        <v>0</v>
      </c>
      <c r="AM79" s="4">
        <f>SUM(mortgage[[#This Row],[Property Taxes]],mortgage[[#This Row],[PMI]],mortgage[[#This Row],[Homeowners Insurance]],mortgage[[#This Row],[Routine Maintenance]],mortgage[[#This Row],[Non-Routine Maintenance]])</f>
        <v>94381.066169540194</v>
      </c>
      <c r="AN79" s="160">
        <f>mortgage[[#This Row],[Total Annual Indirect Housing Expenses]]+AN78</f>
        <v>2792803.2718208786</v>
      </c>
    </row>
    <row r="80" spans="9:40" x14ac:dyDescent="0.25">
      <c r="I80">
        <v>64</v>
      </c>
      <c r="J80">
        <f t="shared" si="5"/>
        <v>2085</v>
      </c>
      <c r="K80" s="198">
        <f>IF(mortgage[[#This Row],[Calendar Year]]&gt;=$C$8,mortgage[[#This Row],[Calendar Year]],NA())</f>
        <v>2085</v>
      </c>
      <c r="L80" s="199" t="e">
        <f>IF((mortgage[[#This Row],[Calendar Year]]&gt;=$C$8)*(mortgage[[#This Row],[Calendar Year]]&lt;=$C$10),mortgage[[#This Row],[Calendar Year]],NA())</f>
        <v>#N/A</v>
      </c>
      <c r="M80" s="214" t="e">
        <f>IF((mortgage[[#This Row],[Calendar Year]]&gt;=$C$8)*(mortgage[[#This Row],[Calendar Year]]&lt;=$C$10),mortgage[[#This Row],[Loan Balance (BOY)]],NA())</f>
        <v>#N/A</v>
      </c>
      <c r="N80" s="214" t="e">
        <f>IF((mortgage[[#This Row],[Begin Year (Range)]]&gt;=$C$8)*(mortgage[[#This Row],[Begin Year (Range)]]&lt;=$C$10),mortgage[[#This Row],[Cumulative Interest (EOY)]],NA())</f>
        <v>#N/A</v>
      </c>
      <c r="O80" s="214" t="e">
        <f>IF((mortgage[[#This Row],[Year (Range)]]&gt;=$C$8)*(mortgage[[#This Row],[Year (Range)]]&lt;=$C$10),mortgage[[#This Row],[Cumulative Principal (EOY)]],NA())</f>
        <v>#N/A</v>
      </c>
      <c r="P80" s="214" t="e">
        <f>IF((mortgage[[#This Row],[Year (Range)]]&gt;=$C$8)*(mortgage[[#This Row],[Year (Range)]]&lt;=$C$10),mortgage[[#This Row],[Cumulative Appreciation (EOY)]],NA())</f>
        <v>#N/A</v>
      </c>
      <c r="Q80" s="214" t="e">
        <f>IF((mortgage[[#This Row],[Year (Range)]]&gt;=$C$8)*(mortgage[[#This Row],[Year (Range)]]&lt;=$C$10),mortgage[[#This Row],[Cumulative Equity (EOY)]],NA())</f>
        <v>#N/A</v>
      </c>
      <c r="R80" s="214" t="e">
        <f>IF((mortgage[[#This Row],[Year (Range)]]&gt;=$C$8)*(mortgage[[#This Row],[Year (Range)]]&lt;=$C$10),mortgage[[#This Row],[Cumulative Total Indirect Housing Expenses]],NA())</f>
        <v>#N/A</v>
      </c>
      <c r="S80" s="214" t="e">
        <f>IF((mortgage[[#This Row],[Year (Range)]]&gt;=$C$8)*(mortgage[[#This Row],[Year (Range)]]&lt;=$C$10),mortgage[[#This Row],[Total Annual Indirect Housing Expenses]],NA())</f>
        <v>#N/A</v>
      </c>
      <c r="T80" s="214" t="e">
        <f>IF((mortgage[[#This Row],[Year (Range)]]&gt;=$C$8)*(mortgage[[#This Row],[Year (Range)]]&lt;=$C$10),mortgage[[#This Row],[Est. Home Value (EOY)]],NA())</f>
        <v>#N/A</v>
      </c>
      <c r="U80" s="164">
        <f>IF(U79&lt;W79,0,IF(I80&lt;='Data Entry'!$F$9,(U79-(W79+X79)),0))</f>
        <v>0</v>
      </c>
      <c r="V80" s="183">
        <f>SUMIF(monthly_mortgage_schedule[Calendar Year],mortgage[[#This Row],[Calendar Year]],monthly_mortgage_schedule[Interest With Extra Principal Payments])</f>
        <v>0</v>
      </c>
      <c r="W80" s="4">
        <f>SUMIF(monthly_mortgage_schedule[Calendar Year],mortgage[[#This Row],[Calendar Year]],monthly_mortgage_schedule[Principal With Extra Principal Payments])</f>
        <v>0</v>
      </c>
      <c r="X80" s="4">
        <f>SUMIF(monthly_mortgage_schedule[Calendar Year],mortgage[[#This Row],[Calendar Year]],monthly_mortgage_schedule[Extra Payments Towards Equity])</f>
        <v>0</v>
      </c>
      <c r="Y80" s="4">
        <f>Y79*(1+'Data Entry'!$C$8)</f>
        <v>51503.310280596765</v>
      </c>
      <c r="Z80" s="4">
        <f>SUMIF(monthly_mortgage_schedule[Calendar Year],mortgage[[#This Row],[Calendar Year]],monthly_mortgage_schedule[PMI with Additional Payments])</f>
        <v>0</v>
      </c>
      <c r="AA80" s="4">
        <f>mortgage[[#This Row],[Interest]]+mortgage[[#This Row],[Property Taxes]]</f>
        <v>51503.310280596765</v>
      </c>
      <c r="AB80" s="4">
        <f>AB79*(1+'Data Entry'!$C$10)</f>
        <v>7081.7051635820571</v>
      </c>
      <c r="AC80" s="4">
        <f>AC79*(1+'Data Entry'!$C$9)</f>
        <v>38627.482710447577</v>
      </c>
      <c r="AD80" s="4">
        <f>SUMIF(nonroutine_maintenance_expenses[Year (YYYY)],mortgage[[#This Row],[Calendar Year]],nonroutine_maintenance_expenses[Amount ($)])</f>
        <v>0</v>
      </c>
      <c r="AE80" s="4">
        <f>AE79*(1+'Data Entry'!C$7)</f>
        <v>5240748.1215273449</v>
      </c>
      <c r="AF80" s="4">
        <f t="shared" si="6"/>
        <v>4824174.3057808019</v>
      </c>
      <c r="AG80" s="4">
        <f>mortgage[[#This Row],[Principal]]+mortgage[[#This Row],[Extra Payment Towards Equity]]+AG79</f>
        <v>542995.30794004421</v>
      </c>
      <c r="AH80" s="4">
        <f t="shared" si="7"/>
        <v>506863.32958102686</v>
      </c>
      <c r="AI80" s="4">
        <f>AI79+mortgage[[#This Row],[Principal]]+mortgage[[#This Row],[Extra Payment Towards Equity]]</f>
        <v>602995.30794004421</v>
      </c>
      <c r="AJ80" s="180">
        <f>mortgage[[#This Row],[Cumulative Equity (EOY)]]/purchase_price</f>
        <v>1.0049921799000736</v>
      </c>
      <c r="AK80" s="180">
        <f>mortgage[[#This Row],[Loan Balance (BOY)]]/mortgage[[#This Row],[Est. Home Value (EOY)]]</f>
        <v>0</v>
      </c>
      <c r="AL80" s="4">
        <f t="shared" si="4"/>
        <v>0</v>
      </c>
      <c r="AM80" s="4">
        <f>SUM(mortgage[[#This Row],[Property Taxes]],mortgage[[#This Row],[PMI]],mortgage[[#This Row],[Homeowners Insurance]],mortgage[[#This Row],[Routine Maintenance]],mortgage[[#This Row],[Non-Routine Maintenance]])</f>
        <v>97212.498154626403</v>
      </c>
      <c r="AN80" s="160">
        <f>mortgage[[#This Row],[Total Annual Indirect Housing Expenses]]+AN79</f>
        <v>2890015.7699755048</v>
      </c>
    </row>
    <row r="81" spans="9:40" x14ac:dyDescent="0.25">
      <c r="I81">
        <v>65</v>
      </c>
      <c r="J81">
        <f t="shared" si="5"/>
        <v>2086</v>
      </c>
      <c r="K81" s="198">
        <f>IF(mortgage[[#This Row],[Calendar Year]]&gt;=$C$8,mortgage[[#This Row],[Calendar Year]],NA())</f>
        <v>2086</v>
      </c>
      <c r="L81" s="199" t="e">
        <f>IF((mortgage[[#This Row],[Calendar Year]]&gt;=$C$8)*(mortgage[[#This Row],[Calendar Year]]&lt;=$C$10),mortgage[[#This Row],[Calendar Year]],NA())</f>
        <v>#N/A</v>
      </c>
      <c r="M81" s="214" t="e">
        <f>IF((mortgage[[#This Row],[Calendar Year]]&gt;=$C$8)*(mortgage[[#This Row],[Calendar Year]]&lt;=$C$10),mortgage[[#This Row],[Loan Balance (BOY)]],NA())</f>
        <v>#N/A</v>
      </c>
      <c r="N81" s="214" t="e">
        <f>IF((mortgage[[#This Row],[Begin Year (Range)]]&gt;=$C$8)*(mortgage[[#This Row],[Begin Year (Range)]]&lt;=$C$10),mortgage[[#This Row],[Cumulative Interest (EOY)]],NA())</f>
        <v>#N/A</v>
      </c>
      <c r="O81" s="214" t="e">
        <f>IF((mortgage[[#This Row],[Year (Range)]]&gt;=$C$8)*(mortgage[[#This Row],[Year (Range)]]&lt;=$C$10),mortgage[[#This Row],[Cumulative Principal (EOY)]],NA())</f>
        <v>#N/A</v>
      </c>
      <c r="P81" s="214" t="e">
        <f>IF((mortgage[[#This Row],[Year (Range)]]&gt;=$C$8)*(mortgage[[#This Row],[Year (Range)]]&lt;=$C$10),mortgage[[#This Row],[Cumulative Appreciation (EOY)]],NA())</f>
        <v>#N/A</v>
      </c>
      <c r="Q81" s="214" t="e">
        <f>IF((mortgage[[#This Row],[Year (Range)]]&gt;=$C$8)*(mortgage[[#This Row],[Year (Range)]]&lt;=$C$10),mortgage[[#This Row],[Cumulative Equity (EOY)]],NA())</f>
        <v>#N/A</v>
      </c>
      <c r="R81" s="214" t="e">
        <f>IF((mortgage[[#This Row],[Year (Range)]]&gt;=$C$8)*(mortgage[[#This Row],[Year (Range)]]&lt;=$C$10),mortgage[[#This Row],[Cumulative Total Indirect Housing Expenses]],NA())</f>
        <v>#N/A</v>
      </c>
      <c r="S81" s="214" t="e">
        <f>IF((mortgage[[#This Row],[Year (Range)]]&gt;=$C$8)*(mortgage[[#This Row],[Year (Range)]]&lt;=$C$10),mortgage[[#This Row],[Total Annual Indirect Housing Expenses]],NA())</f>
        <v>#N/A</v>
      </c>
      <c r="T81" s="214" t="e">
        <f>IF((mortgage[[#This Row],[Year (Range)]]&gt;=$C$8)*(mortgage[[#This Row],[Year (Range)]]&lt;=$C$10),mortgage[[#This Row],[Est. Home Value (EOY)]],NA())</f>
        <v>#N/A</v>
      </c>
      <c r="U81" s="164">
        <f>IF(U80&lt;W80,0,IF(I81&lt;='Data Entry'!$F$9,(U80-(W80+X80)),0))</f>
        <v>0</v>
      </c>
      <c r="V81" s="183">
        <f>SUMIF(monthly_mortgage_schedule[Calendar Year],mortgage[[#This Row],[Calendar Year]],monthly_mortgage_schedule[Interest With Extra Principal Payments])</f>
        <v>0</v>
      </c>
      <c r="W81" s="4">
        <f>SUMIF(monthly_mortgage_schedule[Calendar Year],mortgage[[#This Row],[Calendar Year]],monthly_mortgage_schedule[Principal With Extra Principal Payments])</f>
        <v>0</v>
      </c>
      <c r="X81" s="4">
        <f>SUMIF(monthly_mortgage_schedule[Calendar Year],mortgage[[#This Row],[Calendar Year]],monthly_mortgage_schedule[Extra Payments Towards Equity])</f>
        <v>0</v>
      </c>
      <c r="Y81" s="4">
        <f>Y80*(1+'Data Entry'!$C$8)</f>
        <v>53048.409589014671</v>
      </c>
      <c r="Z81" s="4">
        <f>SUMIF(monthly_mortgage_schedule[Calendar Year],mortgage[[#This Row],[Calendar Year]],monthly_mortgage_schedule[PMI with Additional Payments])</f>
        <v>0</v>
      </c>
      <c r="AA81" s="4">
        <f>mortgage[[#This Row],[Interest]]+mortgage[[#This Row],[Property Taxes]]</f>
        <v>53048.409589014671</v>
      </c>
      <c r="AB81" s="4">
        <f>AB80*(1+'Data Entry'!$C$10)</f>
        <v>7294.1563184895194</v>
      </c>
      <c r="AC81" s="4">
        <f>AC80*(1+'Data Entry'!$C$9)</f>
        <v>39786.307191761007</v>
      </c>
      <c r="AD81" s="4">
        <f>SUMIF(nonroutine_maintenance_expenses[Year (YYYY)],mortgage[[#This Row],[Calendar Year]],nonroutine_maintenance_expenses[Amount ($)])</f>
        <v>0</v>
      </c>
      <c r="AE81" s="4">
        <f>AE80*(1+'Data Entry'!C$7)</f>
        <v>5424174.3057808019</v>
      </c>
      <c r="AF81" s="4">
        <f t="shared" si="6"/>
        <v>5014020.4064831296</v>
      </c>
      <c r="AG81" s="4">
        <f>mortgage[[#This Row],[Principal]]+mortgage[[#This Row],[Extra Payment Towards Equity]]+AG80</f>
        <v>542995.30794004421</v>
      </c>
      <c r="AH81" s="4">
        <f t="shared" si="7"/>
        <v>506863.32958102686</v>
      </c>
      <c r="AI81" s="4">
        <f>AI80+mortgage[[#This Row],[Principal]]+mortgage[[#This Row],[Extra Payment Towards Equity]]</f>
        <v>602995.30794004421</v>
      </c>
      <c r="AJ81" s="180">
        <f>mortgage[[#This Row],[Cumulative Equity (EOY)]]/purchase_price</f>
        <v>1.0049921799000736</v>
      </c>
      <c r="AK81" s="180">
        <f>mortgage[[#This Row],[Loan Balance (BOY)]]/mortgage[[#This Row],[Est. Home Value (EOY)]]</f>
        <v>0</v>
      </c>
      <c r="AL81" s="4">
        <f t="shared" ref="AL81:AL116" si="8">V81+W81</f>
        <v>0</v>
      </c>
      <c r="AM81" s="4">
        <f>SUM(mortgage[[#This Row],[Property Taxes]],mortgage[[#This Row],[PMI]],mortgage[[#This Row],[Homeowners Insurance]],mortgage[[#This Row],[Routine Maintenance]],mortgage[[#This Row],[Non-Routine Maintenance]])</f>
        <v>100128.8730992652</v>
      </c>
      <c r="AN81" s="160">
        <f>mortgage[[#This Row],[Total Annual Indirect Housing Expenses]]+AN80</f>
        <v>2990144.64307477</v>
      </c>
    </row>
    <row r="82" spans="9:40" x14ac:dyDescent="0.25">
      <c r="I82">
        <v>66</v>
      </c>
      <c r="J82">
        <f t="shared" ref="J82:J116" si="9">purchase_year+I81</f>
        <v>2087</v>
      </c>
      <c r="K82" s="198">
        <f>IF(mortgage[[#This Row],[Calendar Year]]&gt;=$C$8,mortgage[[#This Row],[Calendar Year]],NA())</f>
        <v>2087</v>
      </c>
      <c r="L82" s="199" t="e">
        <f>IF((mortgage[[#This Row],[Calendar Year]]&gt;=$C$8)*(mortgage[[#This Row],[Calendar Year]]&lt;=$C$10),mortgage[[#This Row],[Calendar Year]],NA())</f>
        <v>#N/A</v>
      </c>
      <c r="M82" s="214" t="e">
        <f>IF((mortgage[[#This Row],[Calendar Year]]&gt;=$C$8)*(mortgage[[#This Row],[Calendar Year]]&lt;=$C$10),mortgage[[#This Row],[Loan Balance (BOY)]],NA())</f>
        <v>#N/A</v>
      </c>
      <c r="N82" s="214" t="e">
        <f>IF((mortgage[[#This Row],[Begin Year (Range)]]&gt;=$C$8)*(mortgage[[#This Row],[Begin Year (Range)]]&lt;=$C$10),mortgage[[#This Row],[Cumulative Interest (EOY)]],NA())</f>
        <v>#N/A</v>
      </c>
      <c r="O82" s="214" t="e">
        <f>IF((mortgage[[#This Row],[Year (Range)]]&gt;=$C$8)*(mortgage[[#This Row],[Year (Range)]]&lt;=$C$10),mortgage[[#This Row],[Cumulative Principal (EOY)]],NA())</f>
        <v>#N/A</v>
      </c>
      <c r="P82" s="214" t="e">
        <f>IF((mortgage[[#This Row],[Year (Range)]]&gt;=$C$8)*(mortgage[[#This Row],[Year (Range)]]&lt;=$C$10),mortgage[[#This Row],[Cumulative Appreciation (EOY)]],NA())</f>
        <v>#N/A</v>
      </c>
      <c r="Q82" s="214" t="e">
        <f>IF((mortgage[[#This Row],[Year (Range)]]&gt;=$C$8)*(mortgage[[#This Row],[Year (Range)]]&lt;=$C$10),mortgage[[#This Row],[Cumulative Equity (EOY)]],NA())</f>
        <v>#N/A</v>
      </c>
      <c r="R82" s="214" t="e">
        <f>IF((mortgage[[#This Row],[Year (Range)]]&gt;=$C$8)*(mortgage[[#This Row],[Year (Range)]]&lt;=$C$10),mortgage[[#This Row],[Cumulative Total Indirect Housing Expenses]],NA())</f>
        <v>#N/A</v>
      </c>
      <c r="S82" s="214" t="e">
        <f>IF((mortgage[[#This Row],[Year (Range)]]&gt;=$C$8)*(mortgage[[#This Row],[Year (Range)]]&lt;=$C$10),mortgage[[#This Row],[Total Annual Indirect Housing Expenses]],NA())</f>
        <v>#N/A</v>
      </c>
      <c r="T82" s="214" t="e">
        <f>IF((mortgage[[#This Row],[Year (Range)]]&gt;=$C$8)*(mortgage[[#This Row],[Year (Range)]]&lt;=$C$10),mortgage[[#This Row],[Est. Home Value (EOY)]],NA())</f>
        <v>#N/A</v>
      </c>
      <c r="U82" s="164">
        <f>IF(U81&lt;W81,0,IF(I82&lt;='Data Entry'!$F$9,(U81-(W81+X81)),0))</f>
        <v>0</v>
      </c>
      <c r="V82" s="183">
        <f>SUMIF(monthly_mortgage_schedule[Calendar Year],mortgage[[#This Row],[Calendar Year]],monthly_mortgage_schedule[Interest With Extra Principal Payments])</f>
        <v>0</v>
      </c>
      <c r="W82" s="4">
        <f>SUMIF(monthly_mortgage_schedule[Calendar Year],mortgage[[#This Row],[Calendar Year]],monthly_mortgage_schedule[Principal With Extra Principal Payments])</f>
        <v>0</v>
      </c>
      <c r="X82" s="4">
        <f>SUMIF(monthly_mortgage_schedule[Calendar Year],mortgage[[#This Row],[Calendar Year]],monthly_mortgage_schedule[Extra Payments Towards Equity])</f>
        <v>0</v>
      </c>
      <c r="Y82" s="4">
        <f>Y81*(1+'Data Entry'!$C$8)</f>
        <v>54639.861876685114</v>
      </c>
      <c r="Z82" s="4">
        <f>SUMIF(monthly_mortgage_schedule[Calendar Year],mortgage[[#This Row],[Calendar Year]],monthly_mortgage_schedule[PMI with Additional Payments])</f>
        <v>0</v>
      </c>
      <c r="AA82" s="4">
        <f>mortgage[[#This Row],[Interest]]+mortgage[[#This Row],[Property Taxes]]</f>
        <v>54639.861876685114</v>
      </c>
      <c r="AB82" s="4">
        <f>AB81*(1+'Data Entry'!$C$10)</f>
        <v>7512.9810080442048</v>
      </c>
      <c r="AC82" s="4">
        <f>AC81*(1+'Data Entry'!$C$9)</f>
        <v>40979.896407513836</v>
      </c>
      <c r="AD82" s="4">
        <f>SUMIF(nonroutine_maintenance_expenses[Year (YYYY)],mortgage[[#This Row],[Calendar Year]],nonroutine_maintenance_expenses[Amount ($)])</f>
        <v>0</v>
      </c>
      <c r="AE82" s="4">
        <f>AE81*(1+'Data Entry'!C$7)</f>
        <v>5614020.4064831296</v>
      </c>
      <c r="AF82" s="4">
        <f t="shared" ref="AF82:AF113" si="10">IF(AE83&gt;1,AF81+(AE83-AE82),0)</f>
        <v>5210511.1207100386</v>
      </c>
      <c r="AG82" s="4">
        <f>mortgage[[#This Row],[Principal]]+mortgage[[#This Row],[Extra Payment Towards Equity]]+AG81</f>
        <v>542995.30794004421</v>
      </c>
      <c r="AH82" s="4">
        <f t="shared" ref="AH82:AH116" si="11">V82+AH81</f>
        <v>506863.32958102686</v>
      </c>
      <c r="AI82" s="4">
        <f>AI81+mortgage[[#This Row],[Principal]]+mortgage[[#This Row],[Extra Payment Towards Equity]]</f>
        <v>602995.30794004421</v>
      </c>
      <c r="AJ82" s="180">
        <f>mortgage[[#This Row],[Cumulative Equity (EOY)]]/purchase_price</f>
        <v>1.0049921799000736</v>
      </c>
      <c r="AK82" s="180">
        <f>mortgage[[#This Row],[Loan Balance (BOY)]]/mortgage[[#This Row],[Est. Home Value (EOY)]]</f>
        <v>0</v>
      </c>
      <c r="AL82" s="4">
        <f t="shared" si="8"/>
        <v>0</v>
      </c>
      <c r="AM82" s="4">
        <f>SUM(mortgage[[#This Row],[Property Taxes]],mortgage[[#This Row],[PMI]],mortgage[[#This Row],[Homeowners Insurance]],mortgage[[#This Row],[Routine Maintenance]],mortgage[[#This Row],[Non-Routine Maintenance]])</f>
        <v>103132.73929224315</v>
      </c>
      <c r="AN82" s="160">
        <f>mortgage[[#This Row],[Total Annual Indirect Housing Expenses]]+AN81</f>
        <v>3093277.382367013</v>
      </c>
    </row>
    <row r="83" spans="9:40" x14ac:dyDescent="0.25">
      <c r="I83">
        <v>67</v>
      </c>
      <c r="J83">
        <f t="shared" si="9"/>
        <v>2088</v>
      </c>
      <c r="K83" s="198">
        <f>IF(mortgage[[#This Row],[Calendar Year]]&gt;=$C$8,mortgage[[#This Row],[Calendar Year]],NA())</f>
        <v>2088</v>
      </c>
      <c r="L83" s="199" t="e">
        <f>IF((mortgage[[#This Row],[Calendar Year]]&gt;=$C$8)*(mortgage[[#This Row],[Calendar Year]]&lt;=$C$10),mortgage[[#This Row],[Calendar Year]],NA())</f>
        <v>#N/A</v>
      </c>
      <c r="M83" s="214" t="e">
        <f>IF((mortgage[[#This Row],[Calendar Year]]&gt;=$C$8)*(mortgage[[#This Row],[Calendar Year]]&lt;=$C$10),mortgage[[#This Row],[Loan Balance (BOY)]],NA())</f>
        <v>#N/A</v>
      </c>
      <c r="N83" s="214" t="e">
        <f>IF((mortgage[[#This Row],[Begin Year (Range)]]&gt;=$C$8)*(mortgage[[#This Row],[Begin Year (Range)]]&lt;=$C$10),mortgage[[#This Row],[Cumulative Interest (EOY)]],NA())</f>
        <v>#N/A</v>
      </c>
      <c r="O83" s="214" t="e">
        <f>IF((mortgage[[#This Row],[Year (Range)]]&gt;=$C$8)*(mortgage[[#This Row],[Year (Range)]]&lt;=$C$10),mortgage[[#This Row],[Cumulative Principal (EOY)]],NA())</f>
        <v>#N/A</v>
      </c>
      <c r="P83" s="214" t="e">
        <f>IF((mortgage[[#This Row],[Year (Range)]]&gt;=$C$8)*(mortgage[[#This Row],[Year (Range)]]&lt;=$C$10),mortgage[[#This Row],[Cumulative Appreciation (EOY)]],NA())</f>
        <v>#N/A</v>
      </c>
      <c r="Q83" s="214" t="e">
        <f>IF((mortgage[[#This Row],[Year (Range)]]&gt;=$C$8)*(mortgage[[#This Row],[Year (Range)]]&lt;=$C$10),mortgage[[#This Row],[Cumulative Equity (EOY)]],NA())</f>
        <v>#N/A</v>
      </c>
      <c r="R83" s="214" t="e">
        <f>IF((mortgage[[#This Row],[Year (Range)]]&gt;=$C$8)*(mortgage[[#This Row],[Year (Range)]]&lt;=$C$10),mortgage[[#This Row],[Cumulative Total Indirect Housing Expenses]],NA())</f>
        <v>#N/A</v>
      </c>
      <c r="S83" s="214" t="e">
        <f>IF((mortgage[[#This Row],[Year (Range)]]&gt;=$C$8)*(mortgage[[#This Row],[Year (Range)]]&lt;=$C$10),mortgage[[#This Row],[Total Annual Indirect Housing Expenses]],NA())</f>
        <v>#N/A</v>
      </c>
      <c r="T83" s="214" t="e">
        <f>IF((mortgage[[#This Row],[Year (Range)]]&gt;=$C$8)*(mortgage[[#This Row],[Year (Range)]]&lt;=$C$10),mortgage[[#This Row],[Est. Home Value (EOY)]],NA())</f>
        <v>#N/A</v>
      </c>
      <c r="U83" s="164">
        <f>IF(U82&lt;W82,0,IF(I83&lt;='Data Entry'!$F$9,(U82-(W82+X82)),0))</f>
        <v>0</v>
      </c>
      <c r="V83" s="183">
        <f>SUMIF(monthly_mortgage_schedule[Calendar Year],mortgage[[#This Row],[Calendar Year]],monthly_mortgage_schedule[Interest With Extra Principal Payments])</f>
        <v>0</v>
      </c>
      <c r="W83" s="4">
        <f>SUMIF(monthly_mortgage_schedule[Calendar Year],mortgage[[#This Row],[Calendar Year]],monthly_mortgage_schedule[Principal With Extra Principal Payments])</f>
        <v>0</v>
      </c>
      <c r="X83" s="4">
        <f>SUMIF(monthly_mortgage_schedule[Calendar Year],mortgage[[#This Row],[Calendar Year]],monthly_mortgage_schedule[Extra Payments Towards Equity])</f>
        <v>0</v>
      </c>
      <c r="Y83" s="4">
        <f>Y82*(1+'Data Entry'!$C$8)</f>
        <v>56279.057732985668</v>
      </c>
      <c r="Z83" s="4">
        <f>SUMIF(monthly_mortgage_schedule[Calendar Year],mortgage[[#This Row],[Calendar Year]],monthly_mortgage_schedule[PMI with Additional Payments])</f>
        <v>0</v>
      </c>
      <c r="AA83" s="4">
        <f>mortgage[[#This Row],[Interest]]+mortgage[[#This Row],[Property Taxes]]</f>
        <v>56279.057732985668</v>
      </c>
      <c r="AB83" s="4">
        <f>AB82*(1+'Data Entry'!$C$10)</f>
        <v>7738.3704382855312</v>
      </c>
      <c r="AC83" s="4">
        <f>AC82*(1+'Data Entry'!$C$9)</f>
        <v>42209.293299739249</v>
      </c>
      <c r="AD83" s="4">
        <f>SUMIF(nonroutine_maintenance_expenses[Year (YYYY)],mortgage[[#This Row],[Calendar Year]],nonroutine_maintenance_expenses[Amount ($)])</f>
        <v>0</v>
      </c>
      <c r="AE83" s="4">
        <f>AE82*(1+'Data Entry'!C$7)</f>
        <v>5810511.1207100386</v>
      </c>
      <c r="AF83" s="4">
        <f t="shared" si="10"/>
        <v>5413879.0099348892</v>
      </c>
      <c r="AG83" s="4">
        <f>mortgage[[#This Row],[Principal]]+mortgage[[#This Row],[Extra Payment Towards Equity]]+AG82</f>
        <v>542995.30794004421</v>
      </c>
      <c r="AH83" s="4">
        <f t="shared" si="11"/>
        <v>506863.32958102686</v>
      </c>
      <c r="AI83" s="4">
        <f>AI82+mortgage[[#This Row],[Principal]]+mortgage[[#This Row],[Extra Payment Towards Equity]]</f>
        <v>602995.30794004421</v>
      </c>
      <c r="AJ83" s="180">
        <f>mortgage[[#This Row],[Cumulative Equity (EOY)]]/purchase_price</f>
        <v>1.0049921799000736</v>
      </c>
      <c r="AK83" s="180">
        <f>mortgage[[#This Row],[Loan Balance (BOY)]]/mortgage[[#This Row],[Est. Home Value (EOY)]]</f>
        <v>0</v>
      </c>
      <c r="AL83" s="4">
        <f t="shared" si="8"/>
        <v>0</v>
      </c>
      <c r="AM83" s="4">
        <f>SUM(mortgage[[#This Row],[Property Taxes]],mortgage[[#This Row],[PMI]],mortgage[[#This Row],[Homeowners Insurance]],mortgage[[#This Row],[Routine Maintenance]],mortgage[[#This Row],[Non-Routine Maintenance]])</f>
        <v>106226.72147101045</v>
      </c>
      <c r="AN83" s="160">
        <f>mortgage[[#This Row],[Total Annual Indirect Housing Expenses]]+AN82</f>
        <v>3199504.1038380233</v>
      </c>
    </row>
    <row r="84" spans="9:40" x14ac:dyDescent="0.25">
      <c r="I84">
        <v>68</v>
      </c>
      <c r="J84">
        <f t="shared" si="9"/>
        <v>2089</v>
      </c>
      <c r="K84" s="198">
        <f>IF(mortgage[[#This Row],[Calendar Year]]&gt;=$C$8,mortgage[[#This Row],[Calendar Year]],NA())</f>
        <v>2089</v>
      </c>
      <c r="L84" s="199" t="e">
        <f>IF((mortgage[[#This Row],[Calendar Year]]&gt;=$C$8)*(mortgage[[#This Row],[Calendar Year]]&lt;=$C$10),mortgage[[#This Row],[Calendar Year]],NA())</f>
        <v>#N/A</v>
      </c>
      <c r="M84" s="214" t="e">
        <f>IF((mortgage[[#This Row],[Calendar Year]]&gt;=$C$8)*(mortgage[[#This Row],[Calendar Year]]&lt;=$C$10),mortgage[[#This Row],[Loan Balance (BOY)]],NA())</f>
        <v>#N/A</v>
      </c>
      <c r="N84" s="214" t="e">
        <f>IF((mortgage[[#This Row],[Begin Year (Range)]]&gt;=$C$8)*(mortgage[[#This Row],[Begin Year (Range)]]&lt;=$C$10),mortgage[[#This Row],[Cumulative Interest (EOY)]],NA())</f>
        <v>#N/A</v>
      </c>
      <c r="O84" s="214" t="e">
        <f>IF((mortgage[[#This Row],[Year (Range)]]&gt;=$C$8)*(mortgage[[#This Row],[Year (Range)]]&lt;=$C$10),mortgage[[#This Row],[Cumulative Principal (EOY)]],NA())</f>
        <v>#N/A</v>
      </c>
      <c r="P84" s="214" t="e">
        <f>IF((mortgage[[#This Row],[Year (Range)]]&gt;=$C$8)*(mortgage[[#This Row],[Year (Range)]]&lt;=$C$10),mortgage[[#This Row],[Cumulative Appreciation (EOY)]],NA())</f>
        <v>#N/A</v>
      </c>
      <c r="Q84" s="214" t="e">
        <f>IF((mortgage[[#This Row],[Year (Range)]]&gt;=$C$8)*(mortgage[[#This Row],[Year (Range)]]&lt;=$C$10),mortgage[[#This Row],[Cumulative Equity (EOY)]],NA())</f>
        <v>#N/A</v>
      </c>
      <c r="R84" s="214" t="e">
        <f>IF((mortgage[[#This Row],[Year (Range)]]&gt;=$C$8)*(mortgage[[#This Row],[Year (Range)]]&lt;=$C$10),mortgage[[#This Row],[Cumulative Total Indirect Housing Expenses]],NA())</f>
        <v>#N/A</v>
      </c>
      <c r="S84" s="214" t="e">
        <f>IF((mortgage[[#This Row],[Year (Range)]]&gt;=$C$8)*(mortgage[[#This Row],[Year (Range)]]&lt;=$C$10),mortgage[[#This Row],[Total Annual Indirect Housing Expenses]],NA())</f>
        <v>#N/A</v>
      </c>
      <c r="T84" s="214" t="e">
        <f>IF((mortgage[[#This Row],[Year (Range)]]&gt;=$C$8)*(mortgage[[#This Row],[Year (Range)]]&lt;=$C$10),mortgage[[#This Row],[Est. Home Value (EOY)]],NA())</f>
        <v>#N/A</v>
      </c>
      <c r="U84" s="164">
        <f>IF(U83&lt;W83,0,IF(I84&lt;='Data Entry'!$F$9,(U83-(W83+X83)),0))</f>
        <v>0</v>
      </c>
      <c r="V84" s="183">
        <f>SUMIF(monthly_mortgage_schedule[Calendar Year],mortgage[[#This Row],[Calendar Year]],monthly_mortgage_schedule[Interest With Extra Principal Payments])</f>
        <v>0</v>
      </c>
      <c r="W84" s="4">
        <f>SUMIF(monthly_mortgage_schedule[Calendar Year],mortgage[[#This Row],[Calendar Year]],monthly_mortgage_schedule[Principal With Extra Principal Payments])</f>
        <v>0</v>
      </c>
      <c r="X84" s="4">
        <f>SUMIF(monthly_mortgage_schedule[Calendar Year],mortgage[[#This Row],[Calendar Year]],monthly_mortgage_schedule[Extra Payments Towards Equity])</f>
        <v>0</v>
      </c>
      <c r="Y84" s="4">
        <f>Y83*(1+'Data Entry'!$C$8)</f>
        <v>57967.429464975241</v>
      </c>
      <c r="Z84" s="4">
        <f>SUMIF(monthly_mortgage_schedule[Calendar Year],mortgage[[#This Row],[Calendar Year]],monthly_mortgage_schedule[PMI with Additional Payments])</f>
        <v>0</v>
      </c>
      <c r="AA84" s="4">
        <f>mortgage[[#This Row],[Interest]]+mortgage[[#This Row],[Property Taxes]]</f>
        <v>57967.429464975241</v>
      </c>
      <c r="AB84" s="4">
        <f>AB83*(1+'Data Entry'!$C$10)</f>
        <v>7970.5215514340971</v>
      </c>
      <c r="AC84" s="4">
        <f>AC83*(1+'Data Entry'!$C$9)</f>
        <v>43475.572098731427</v>
      </c>
      <c r="AD84" s="4">
        <f>SUMIF(nonroutine_maintenance_expenses[Year (YYYY)],mortgage[[#This Row],[Calendar Year]],nonroutine_maintenance_expenses[Amount ($)])</f>
        <v>0</v>
      </c>
      <c r="AE84" s="4">
        <f>AE83*(1+'Data Entry'!C$7)</f>
        <v>6013879.0099348892</v>
      </c>
      <c r="AF84" s="4">
        <f t="shared" si="10"/>
        <v>5624364.7752826102</v>
      </c>
      <c r="AG84" s="4">
        <f>mortgage[[#This Row],[Principal]]+mortgage[[#This Row],[Extra Payment Towards Equity]]+AG83</f>
        <v>542995.30794004421</v>
      </c>
      <c r="AH84" s="4">
        <f t="shared" si="11"/>
        <v>506863.32958102686</v>
      </c>
      <c r="AI84" s="4">
        <f>AI83+mortgage[[#This Row],[Principal]]+mortgage[[#This Row],[Extra Payment Towards Equity]]</f>
        <v>602995.30794004421</v>
      </c>
      <c r="AJ84" s="180">
        <f>mortgage[[#This Row],[Cumulative Equity (EOY)]]/purchase_price</f>
        <v>1.0049921799000736</v>
      </c>
      <c r="AK84" s="180">
        <f>mortgage[[#This Row],[Loan Balance (BOY)]]/mortgage[[#This Row],[Est. Home Value (EOY)]]</f>
        <v>0</v>
      </c>
      <c r="AL84" s="4">
        <f t="shared" si="8"/>
        <v>0</v>
      </c>
      <c r="AM84" s="4">
        <f>SUM(mortgage[[#This Row],[Property Taxes]],mortgage[[#This Row],[PMI]],mortgage[[#This Row],[Homeowners Insurance]],mortgage[[#This Row],[Routine Maintenance]],mortgage[[#This Row],[Non-Routine Maintenance]])</f>
        <v>109413.52311514076</v>
      </c>
      <c r="AN84" s="160">
        <f>mortgage[[#This Row],[Total Annual Indirect Housing Expenses]]+AN83</f>
        <v>3308917.6269531641</v>
      </c>
    </row>
    <row r="85" spans="9:40" x14ac:dyDescent="0.25">
      <c r="I85">
        <v>69</v>
      </c>
      <c r="J85">
        <f t="shared" si="9"/>
        <v>2090</v>
      </c>
      <c r="K85" s="198">
        <f>IF(mortgage[[#This Row],[Calendar Year]]&gt;=$C$8,mortgage[[#This Row],[Calendar Year]],NA())</f>
        <v>2090</v>
      </c>
      <c r="L85" s="199" t="e">
        <f>IF((mortgage[[#This Row],[Calendar Year]]&gt;=$C$8)*(mortgage[[#This Row],[Calendar Year]]&lt;=$C$10),mortgage[[#This Row],[Calendar Year]],NA())</f>
        <v>#N/A</v>
      </c>
      <c r="M85" s="214" t="e">
        <f>IF((mortgage[[#This Row],[Calendar Year]]&gt;=$C$8)*(mortgage[[#This Row],[Calendar Year]]&lt;=$C$10),mortgage[[#This Row],[Loan Balance (BOY)]],NA())</f>
        <v>#N/A</v>
      </c>
      <c r="N85" s="214" t="e">
        <f>IF((mortgage[[#This Row],[Begin Year (Range)]]&gt;=$C$8)*(mortgage[[#This Row],[Begin Year (Range)]]&lt;=$C$10),mortgage[[#This Row],[Cumulative Interest (EOY)]],NA())</f>
        <v>#N/A</v>
      </c>
      <c r="O85" s="214" t="e">
        <f>IF((mortgage[[#This Row],[Year (Range)]]&gt;=$C$8)*(mortgage[[#This Row],[Year (Range)]]&lt;=$C$10),mortgage[[#This Row],[Cumulative Principal (EOY)]],NA())</f>
        <v>#N/A</v>
      </c>
      <c r="P85" s="214" t="e">
        <f>IF((mortgage[[#This Row],[Year (Range)]]&gt;=$C$8)*(mortgage[[#This Row],[Year (Range)]]&lt;=$C$10),mortgage[[#This Row],[Cumulative Appreciation (EOY)]],NA())</f>
        <v>#N/A</v>
      </c>
      <c r="Q85" s="214" t="e">
        <f>IF((mortgage[[#This Row],[Year (Range)]]&gt;=$C$8)*(mortgage[[#This Row],[Year (Range)]]&lt;=$C$10),mortgage[[#This Row],[Cumulative Equity (EOY)]],NA())</f>
        <v>#N/A</v>
      </c>
      <c r="R85" s="214" t="e">
        <f>IF((mortgage[[#This Row],[Year (Range)]]&gt;=$C$8)*(mortgage[[#This Row],[Year (Range)]]&lt;=$C$10),mortgage[[#This Row],[Cumulative Total Indirect Housing Expenses]],NA())</f>
        <v>#N/A</v>
      </c>
      <c r="S85" s="214" t="e">
        <f>IF((mortgage[[#This Row],[Year (Range)]]&gt;=$C$8)*(mortgage[[#This Row],[Year (Range)]]&lt;=$C$10),mortgage[[#This Row],[Total Annual Indirect Housing Expenses]],NA())</f>
        <v>#N/A</v>
      </c>
      <c r="T85" s="214" t="e">
        <f>IF((mortgage[[#This Row],[Year (Range)]]&gt;=$C$8)*(mortgage[[#This Row],[Year (Range)]]&lt;=$C$10),mortgage[[#This Row],[Est. Home Value (EOY)]],NA())</f>
        <v>#N/A</v>
      </c>
      <c r="U85" s="164">
        <f>IF(U84&lt;W84,0,IF(I85&lt;='Data Entry'!$F$9,(U84-(W84+X84)),0))</f>
        <v>0</v>
      </c>
      <c r="V85" s="183">
        <f>SUMIF(monthly_mortgage_schedule[Calendar Year],mortgage[[#This Row],[Calendar Year]],monthly_mortgage_schedule[Interest With Extra Principal Payments])</f>
        <v>0</v>
      </c>
      <c r="W85" s="4">
        <f>SUMIF(monthly_mortgage_schedule[Calendar Year],mortgage[[#This Row],[Calendar Year]],monthly_mortgage_schedule[Principal With Extra Principal Payments])</f>
        <v>0</v>
      </c>
      <c r="X85" s="4">
        <f>SUMIF(monthly_mortgage_schedule[Calendar Year],mortgage[[#This Row],[Calendar Year]],monthly_mortgage_schedule[Extra Payments Towards Equity])</f>
        <v>0</v>
      </c>
      <c r="Y85" s="4">
        <f>Y84*(1+'Data Entry'!$C$8)</f>
        <v>59706.452348924497</v>
      </c>
      <c r="Z85" s="4">
        <f>SUMIF(monthly_mortgage_schedule[Calendar Year],mortgage[[#This Row],[Calendar Year]],monthly_mortgage_schedule[PMI with Additional Payments])</f>
        <v>0</v>
      </c>
      <c r="AA85" s="4">
        <f>mortgage[[#This Row],[Interest]]+mortgage[[#This Row],[Property Taxes]]</f>
        <v>59706.452348924497</v>
      </c>
      <c r="AB85" s="4">
        <f>AB84*(1+'Data Entry'!$C$10)</f>
        <v>8209.6371979771211</v>
      </c>
      <c r="AC85" s="4">
        <f>AC84*(1+'Data Entry'!$C$9)</f>
        <v>44779.839261693371</v>
      </c>
      <c r="AD85" s="4">
        <f>SUMIF(nonroutine_maintenance_expenses[Year (YYYY)],mortgage[[#This Row],[Calendar Year]],nonroutine_maintenance_expenses[Amount ($)])</f>
        <v>0</v>
      </c>
      <c r="AE85" s="4">
        <f>AE84*(1+'Data Entry'!C$7)</f>
        <v>6224364.7752826102</v>
      </c>
      <c r="AF85" s="4">
        <f t="shared" si="10"/>
        <v>5842217.5424175011</v>
      </c>
      <c r="AG85" s="4">
        <f>mortgage[[#This Row],[Principal]]+mortgage[[#This Row],[Extra Payment Towards Equity]]+AG84</f>
        <v>542995.30794004421</v>
      </c>
      <c r="AH85" s="4">
        <f t="shared" si="11"/>
        <v>506863.32958102686</v>
      </c>
      <c r="AI85" s="4">
        <f>AI84+mortgage[[#This Row],[Principal]]+mortgage[[#This Row],[Extra Payment Towards Equity]]</f>
        <v>602995.30794004421</v>
      </c>
      <c r="AJ85" s="180">
        <f>mortgage[[#This Row],[Cumulative Equity (EOY)]]/purchase_price</f>
        <v>1.0049921799000736</v>
      </c>
      <c r="AK85" s="180">
        <f>mortgage[[#This Row],[Loan Balance (BOY)]]/mortgage[[#This Row],[Est. Home Value (EOY)]]</f>
        <v>0</v>
      </c>
      <c r="AL85" s="4">
        <f t="shared" si="8"/>
        <v>0</v>
      </c>
      <c r="AM85" s="4">
        <f>SUM(mortgage[[#This Row],[Property Taxes]],mortgage[[#This Row],[PMI]],mortgage[[#This Row],[Homeowners Insurance]],mortgage[[#This Row],[Routine Maintenance]],mortgage[[#This Row],[Non-Routine Maintenance]])</f>
        <v>112695.92880859498</v>
      </c>
      <c r="AN85" s="160">
        <f>mortgage[[#This Row],[Total Annual Indirect Housing Expenses]]+AN84</f>
        <v>3421613.5557617592</v>
      </c>
    </row>
    <row r="86" spans="9:40" x14ac:dyDescent="0.25">
      <c r="I86">
        <v>70</v>
      </c>
      <c r="J86">
        <f t="shared" si="9"/>
        <v>2091</v>
      </c>
      <c r="K86" s="198">
        <f>IF(mortgage[[#This Row],[Calendar Year]]&gt;=$C$8,mortgage[[#This Row],[Calendar Year]],NA())</f>
        <v>2091</v>
      </c>
      <c r="L86" s="198" t="e">
        <f>IF((mortgage[[#This Row],[Calendar Year]]&gt;=$C$8)*(mortgage[[#This Row],[Calendar Year]]&lt;=$C$10),mortgage[[#This Row],[Calendar Year]],NA())</f>
        <v>#N/A</v>
      </c>
      <c r="M86" s="214" t="e">
        <f>IF((mortgage[[#This Row],[Calendar Year]]&gt;=$C$8)*(mortgage[[#This Row],[Calendar Year]]&lt;=$C$10),mortgage[[#This Row],[Loan Balance (BOY)]],NA())</f>
        <v>#N/A</v>
      </c>
      <c r="N86" s="214" t="e">
        <f>IF((mortgage[[#This Row],[Begin Year (Range)]]&gt;=$C$8)*(mortgage[[#This Row],[Begin Year (Range)]]&lt;=$C$10),mortgage[[#This Row],[Cumulative Interest (EOY)]],NA())</f>
        <v>#N/A</v>
      </c>
      <c r="O86" s="214" t="e">
        <f>IF((mortgage[[#This Row],[Year (Range)]]&gt;=$C$8)*(mortgage[[#This Row],[Year (Range)]]&lt;=$C$10),mortgage[[#This Row],[Cumulative Principal (EOY)]],NA())</f>
        <v>#N/A</v>
      </c>
      <c r="P86" s="214" t="e">
        <f>IF((mortgage[[#This Row],[Year (Range)]]&gt;=$C$8)*(mortgage[[#This Row],[Year (Range)]]&lt;=$C$10),mortgage[[#This Row],[Cumulative Appreciation (EOY)]],NA())</f>
        <v>#N/A</v>
      </c>
      <c r="Q86" s="214" t="e">
        <f>IF((mortgage[[#This Row],[Year (Range)]]&gt;=$C$8)*(mortgage[[#This Row],[Year (Range)]]&lt;=$C$10),mortgage[[#This Row],[Cumulative Equity (EOY)]],NA())</f>
        <v>#N/A</v>
      </c>
      <c r="R86" s="214" t="e">
        <f>IF((mortgage[[#This Row],[Year (Range)]]&gt;=$C$8)*(mortgage[[#This Row],[Year (Range)]]&lt;=$C$10),mortgage[[#This Row],[Cumulative Total Indirect Housing Expenses]],NA())</f>
        <v>#N/A</v>
      </c>
      <c r="S86" s="214" t="e">
        <f>IF((mortgage[[#This Row],[Year (Range)]]&gt;=$C$8)*(mortgage[[#This Row],[Year (Range)]]&lt;=$C$10),mortgage[[#This Row],[Total Annual Indirect Housing Expenses]],NA())</f>
        <v>#N/A</v>
      </c>
      <c r="T86" s="214" t="e">
        <f>IF((mortgage[[#This Row],[Year (Range)]]&gt;=$C$8)*(mortgage[[#This Row],[Year (Range)]]&lt;=$C$10),mortgage[[#This Row],[Est. Home Value (EOY)]],NA())</f>
        <v>#N/A</v>
      </c>
      <c r="U86" s="164">
        <f>IF(U85&lt;W85,0,IF(I86&lt;='Data Entry'!$F$9,(U85-(W85+X85)),0))</f>
        <v>0</v>
      </c>
      <c r="V86" s="183">
        <f>SUMIF(monthly_mortgage_schedule[Calendar Year],mortgage[[#This Row],[Calendar Year]],monthly_mortgage_schedule[Interest With Extra Principal Payments])</f>
        <v>0</v>
      </c>
      <c r="W86" s="4">
        <f>SUMIF(monthly_mortgage_schedule[Calendar Year],mortgage[[#This Row],[Calendar Year]],monthly_mortgage_schedule[Principal With Extra Principal Payments])</f>
        <v>0</v>
      </c>
      <c r="X86" s="4">
        <f>SUMIF(monthly_mortgage_schedule[Calendar Year],mortgage[[#This Row],[Calendar Year]],monthly_mortgage_schedule[Extra Payments Towards Equity])</f>
        <v>0</v>
      </c>
      <c r="Y86" s="4">
        <f>Y85*(1+'Data Entry'!$C$8)</f>
        <v>61497.645919392235</v>
      </c>
      <c r="Z86" s="4">
        <f>SUMIF(monthly_mortgage_schedule[Calendar Year],mortgage[[#This Row],[Calendar Year]],monthly_mortgage_schedule[PMI with Additional Payments])</f>
        <v>0</v>
      </c>
      <c r="AA86" s="4">
        <f>mortgage[[#This Row],[Interest]]+mortgage[[#This Row],[Property Taxes]]</f>
        <v>61497.645919392235</v>
      </c>
      <c r="AB86" s="4">
        <f>AB85*(1+'Data Entry'!$C$10)</f>
        <v>8455.9263139164341</v>
      </c>
      <c r="AC86" s="4">
        <f>AC85*(1+'Data Entry'!$C$9)</f>
        <v>46123.234439544176</v>
      </c>
      <c r="AD86" s="4">
        <f>SUMIF(nonroutine_maintenance_expenses[Year (YYYY)],mortgage[[#This Row],[Calendar Year]],nonroutine_maintenance_expenses[Amount ($)])</f>
        <v>0</v>
      </c>
      <c r="AE86" s="4">
        <f>AE85*(1+'Data Entry'!C$7)</f>
        <v>6442217.5424175011</v>
      </c>
      <c r="AF86" s="4">
        <f t="shared" si="10"/>
        <v>6067695.1564021129</v>
      </c>
      <c r="AG86" s="4">
        <f>mortgage[[#This Row],[Principal]]+mortgage[[#This Row],[Extra Payment Towards Equity]]+AG85</f>
        <v>542995.30794004421</v>
      </c>
      <c r="AH86" s="4">
        <f t="shared" si="11"/>
        <v>506863.32958102686</v>
      </c>
      <c r="AI86" s="4">
        <f>AI85+mortgage[[#This Row],[Principal]]+mortgage[[#This Row],[Extra Payment Towards Equity]]</f>
        <v>602995.30794004421</v>
      </c>
      <c r="AJ86" s="180">
        <f>mortgage[[#This Row],[Cumulative Equity (EOY)]]/purchase_price</f>
        <v>1.0049921799000736</v>
      </c>
      <c r="AK86" s="180">
        <f>mortgage[[#This Row],[Loan Balance (BOY)]]/mortgage[[#This Row],[Est. Home Value (EOY)]]</f>
        <v>0</v>
      </c>
      <c r="AL86" s="4">
        <f t="shared" si="8"/>
        <v>0</v>
      </c>
      <c r="AM86" s="4">
        <f>SUM(mortgage[[#This Row],[Property Taxes]],mortgage[[#This Row],[PMI]],mortgage[[#This Row],[Homeowners Insurance]],mortgage[[#This Row],[Routine Maintenance]],mortgage[[#This Row],[Non-Routine Maintenance]])</f>
        <v>116076.80667285285</v>
      </c>
      <c r="AN86" s="160">
        <f>mortgage[[#This Row],[Total Annual Indirect Housing Expenses]]+AN85</f>
        <v>3537690.3624346121</v>
      </c>
    </row>
    <row r="87" spans="9:40" x14ac:dyDescent="0.25">
      <c r="I87">
        <v>71</v>
      </c>
      <c r="J87">
        <f t="shared" si="9"/>
        <v>2092</v>
      </c>
      <c r="K87" s="198">
        <f>IF(mortgage[[#This Row],[Calendar Year]]&gt;=$C$8,mortgage[[#This Row],[Calendar Year]],NA())</f>
        <v>2092</v>
      </c>
      <c r="L87" s="198" t="e">
        <f>IF((mortgage[[#This Row],[Calendar Year]]&gt;=$C$8)*(mortgage[[#This Row],[Calendar Year]]&lt;=$C$10),mortgage[[#This Row],[Calendar Year]],NA())</f>
        <v>#N/A</v>
      </c>
      <c r="M87" s="214" t="e">
        <f>IF((mortgage[[#This Row],[Calendar Year]]&gt;=$C$8)*(mortgage[[#This Row],[Calendar Year]]&lt;=$C$10),mortgage[[#This Row],[Loan Balance (BOY)]],NA())</f>
        <v>#N/A</v>
      </c>
      <c r="N87" s="214" t="e">
        <f>IF((mortgage[[#This Row],[Begin Year (Range)]]&gt;=$C$8)*(mortgage[[#This Row],[Begin Year (Range)]]&lt;=$C$10),mortgage[[#This Row],[Cumulative Interest (EOY)]],NA())</f>
        <v>#N/A</v>
      </c>
      <c r="O87" s="214" t="e">
        <f>IF((mortgage[[#This Row],[Year (Range)]]&gt;=$C$8)*(mortgage[[#This Row],[Year (Range)]]&lt;=$C$10),mortgage[[#This Row],[Cumulative Principal (EOY)]],NA())</f>
        <v>#N/A</v>
      </c>
      <c r="P87" s="214" t="e">
        <f>IF((mortgage[[#This Row],[Year (Range)]]&gt;=$C$8)*(mortgage[[#This Row],[Year (Range)]]&lt;=$C$10),mortgage[[#This Row],[Cumulative Appreciation (EOY)]],NA())</f>
        <v>#N/A</v>
      </c>
      <c r="Q87" s="214" t="e">
        <f>IF((mortgage[[#This Row],[Year (Range)]]&gt;=$C$8)*(mortgage[[#This Row],[Year (Range)]]&lt;=$C$10),mortgage[[#This Row],[Cumulative Equity (EOY)]],NA())</f>
        <v>#N/A</v>
      </c>
      <c r="R87" s="214" t="e">
        <f>IF((mortgage[[#This Row],[Year (Range)]]&gt;=$C$8)*(mortgage[[#This Row],[Year (Range)]]&lt;=$C$10),mortgage[[#This Row],[Cumulative Total Indirect Housing Expenses]],NA())</f>
        <v>#N/A</v>
      </c>
      <c r="S87" s="214" t="e">
        <f>IF((mortgage[[#This Row],[Year (Range)]]&gt;=$C$8)*(mortgage[[#This Row],[Year (Range)]]&lt;=$C$10),mortgage[[#This Row],[Total Annual Indirect Housing Expenses]],NA())</f>
        <v>#N/A</v>
      </c>
      <c r="T87" s="214" t="e">
        <f>IF((mortgage[[#This Row],[Year (Range)]]&gt;=$C$8)*(mortgage[[#This Row],[Year (Range)]]&lt;=$C$10),mortgage[[#This Row],[Est. Home Value (EOY)]],NA())</f>
        <v>#N/A</v>
      </c>
      <c r="U87" s="164">
        <f>IF(U86&lt;W86,0,IF(I87&lt;='Data Entry'!$F$9,(U86-(W86+X86)),0))</f>
        <v>0</v>
      </c>
      <c r="V87" s="183">
        <f>SUMIF(monthly_mortgage_schedule[Calendar Year],mortgage[[#This Row],[Calendar Year]],monthly_mortgage_schedule[Interest With Extra Principal Payments])</f>
        <v>0</v>
      </c>
      <c r="W87" s="4">
        <f>SUMIF(monthly_mortgage_schedule[Calendar Year],mortgage[[#This Row],[Calendar Year]],monthly_mortgage_schedule[Principal With Extra Principal Payments])</f>
        <v>0</v>
      </c>
      <c r="X87" s="4">
        <f>SUMIF(monthly_mortgage_schedule[Calendar Year],mortgage[[#This Row],[Calendar Year]],monthly_mortgage_schedule[Extra Payments Towards Equity])</f>
        <v>0</v>
      </c>
      <c r="Y87" s="4">
        <f>Y86*(1+'Data Entry'!$C$8)</f>
        <v>63342.575296974006</v>
      </c>
      <c r="Z87" s="4">
        <f>SUMIF(monthly_mortgage_schedule[Calendar Year],mortgage[[#This Row],[Calendar Year]],monthly_mortgage_schedule[PMI with Additional Payments])</f>
        <v>0</v>
      </c>
      <c r="AA87" s="4">
        <f>mortgage[[#This Row],[Interest]]+mortgage[[#This Row],[Property Taxes]]</f>
        <v>63342.575296974006</v>
      </c>
      <c r="AB87" s="4">
        <f>AB86*(1+'Data Entry'!$C$10)</f>
        <v>8709.6041033339279</v>
      </c>
      <c r="AC87" s="4">
        <f>AC86*(1+'Data Entry'!$C$9)</f>
        <v>47506.931472730503</v>
      </c>
      <c r="AD87" s="4">
        <f>SUMIF(nonroutine_maintenance_expenses[Year (YYYY)],mortgage[[#This Row],[Calendar Year]],nonroutine_maintenance_expenses[Amount ($)])</f>
        <v>0</v>
      </c>
      <c r="AE87" s="4">
        <f>AE86*(1+'Data Entry'!C$7)</f>
        <v>6667695.1564021129</v>
      </c>
      <c r="AF87" s="4">
        <f t="shared" si="10"/>
        <v>6301064.486876186</v>
      </c>
      <c r="AG87" s="4">
        <f>mortgage[[#This Row],[Principal]]+mortgage[[#This Row],[Extra Payment Towards Equity]]+AG86</f>
        <v>542995.30794004421</v>
      </c>
      <c r="AH87" s="4">
        <f t="shared" si="11"/>
        <v>506863.32958102686</v>
      </c>
      <c r="AI87" s="4">
        <f>AI86+mortgage[[#This Row],[Principal]]+mortgage[[#This Row],[Extra Payment Towards Equity]]</f>
        <v>602995.30794004421</v>
      </c>
      <c r="AJ87" s="180">
        <f>mortgage[[#This Row],[Cumulative Equity (EOY)]]/purchase_price</f>
        <v>1.0049921799000736</v>
      </c>
      <c r="AK87" s="180">
        <f>mortgage[[#This Row],[Loan Balance (BOY)]]/mortgage[[#This Row],[Est. Home Value (EOY)]]</f>
        <v>0</v>
      </c>
      <c r="AL87" s="4">
        <f t="shared" si="8"/>
        <v>0</v>
      </c>
      <c r="AM87" s="4">
        <f>SUM(mortgage[[#This Row],[Property Taxes]],mortgage[[#This Row],[PMI]],mortgage[[#This Row],[Homeowners Insurance]],mortgage[[#This Row],[Routine Maintenance]],mortgage[[#This Row],[Non-Routine Maintenance]])</f>
        <v>119559.11087303844</v>
      </c>
      <c r="AN87" s="160">
        <f>mortgage[[#This Row],[Total Annual Indirect Housing Expenses]]+AN86</f>
        <v>3657249.4733076505</v>
      </c>
    </row>
    <row r="88" spans="9:40" x14ac:dyDescent="0.25">
      <c r="I88">
        <v>72</v>
      </c>
      <c r="J88">
        <f t="shared" si="9"/>
        <v>2093</v>
      </c>
      <c r="K88" s="198">
        <f>IF(mortgage[[#This Row],[Calendar Year]]&gt;=$C$8,mortgage[[#This Row],[Calendar Year]],NA())</f>
        <v>2093</v>
      </c>
      <c r="L88" s="198" t="e">
        <f>IF((mortgage[[#This Row],[Calendar Year]]&gt;=$C$8)*(mortgage[[#This Row],[Calendar Year]]&lt;=$C$10),mortgage[[#This Row],[Calendar Year]],NA())</f>
        <v>#N/A</v>
      </c>
      <c r="M88" s="214" t="e">
        <f>IF((mortgage[[#This Row],[Calendar Year]]&gt;=$C$8)*(mortgage[[#This Row],[Calendar Year]]&lt;=$C$10),mortgage[[#This Row],[Loan Balance (BOY)]],NA())</f>
        <v>#N/A</v>
      </c>
      <c r="N88" s="214" t="e">
        <f>IF((mortgage[[#This Row],[Begin Year (Range)]]&gt;=$C$8)*(mortgage[[#This Row],[Begin Year (Range)]]&lt;=$C$10),mortgage[[#This Row],[Cumulative Interest (EOY)]],NA())</f>
        <v>#N/A</v>
      </c>
      <c r="O88" s="214" t="e">
        <f>IF((mortgage[[#This Row],[Year (Range)]]&gt;=$C$8)*(mortgage[[#This Row],[Year (Range)]]&lt;=$C$10),mortgage[[#This Row],[Cumulative Principal (EOY)]],NA())</f>
        <v>#N/A</v>
      </c>
      <c r="P88" s="214" t="e">
        <f>IF((mortgage[[#This Row],[Year (Range)]]&gt;=$C$8)*(mortgage[[#This Row],[Year (Range)]]&lt;=$C$10),mortgage[[#This Row],[Cumulative Appreciation (EOY)]],NA())</f>
        <v>#N/A</v>
      </c>
      <c r="Q88" s="214" t="e">
        <f>IF((mortgage[[#This Row],[Year (Range)]]&gt;=$C$8)*(mortgage[[#This Row],[Year (Range)]]&lt;=$C$10),mortgage[[#This Row],[Cumulative Equity (EOY)]],NA())</f>
        <v>#N/A</v>
      </c>
      <c r="R88" s="214" t="e">
        <f>IF((mortgage[[#This Row],[Year (Range)]]&gt;=$C$8)*(mortgage[[#This Row],[Year (Range)]]&lt;=$C$10),mortgage[[#This Row],[Cumulative Total Indirect Housing Expenses]],NA())</f>
        <v>#N/A</v>
      </c>
      <c r="S88" s="214" t="e">
        <f>IF((mortgage[[#This Row],[Year (Range)]]&gt;=$C$8)*(mortgage[[#This Row],[Year (Range)]]&lt;=$C$10),mortgage[[#This Row],[Total Annual Indirect Housing Expenses]],NA())</f>
        <v>#N/A</v>
      </c>
      <c r="T88" s="214" t="e">
        <f>IF((mortgage[[#This Row],[Year (Range)]]&gt;=$C$8)*(mortgage[[#This Row],[Year (Range)]]&lt;=$C$10),mortgage[[#This Row],[Est. Home Value (EOY)]],NA())</f>
        <v>#N/A</v>
      </c>
      <c r="U88" s="164">
        <f>IF(U87&lt;W87,0,IF(I88&lt;='Data Entry'!$F$9,(U87-(W87+X87)),0))</f>
        <v>0</v>
      </c>
      <c r="V88" s="183">
        <f>SUMIF(monthly_mortgage_schedule[Calendar Year],mortgage[[#This Row],[Calendar Year]],monthly_mortgage_schedule[Interest With Extra Principal Payments])</f>
        <v>0</v>
      </c>
      <c r="W88" s="4">
        <f>SUMIF(monthly_mortgage_schedule[Calendar Year],mortgage[[#This Row],[Calendar Year]],monthly_mortgage_schedule[Principal With Extra Principal Payments])</f>
        <v>0</v>
      </c>
      <c r="X88" s="4">
        <f>SUMIF(monthly_mortgage_schedule[Calendar Year],mortgage[[#This Row],[Calendar Year]],monthly_mortgage_schedule[Extra Payments Towards Equity])</f>
        <v>0</v>
      </c>
      <c r="Y88" s="4">
        <f>Y87*(1+'Data Entry'!$C$8)</f>
        <v>65242.852555883226</v>
      </c>
      <c r="Z88" s="4">
        <f>SUMIF(monthly_mortgage_schedule[Calendar Year],mortgage[[#This Row],[Calendar Year]],monthly_mortgage_schedule[PMI with Additional Payments])</f>
        <v>0</v>
      </c>
      <c r="AA88" s="4">
        <f>mortgage[[#This Row],[Interest]]+mortgage[[#This Row],[Property Taxes]]</f>
        <v>65242.852555883226</v>
      </c>
      <c r="AB88" s="4">
        <f>AB87*(1+'Data Entry'!$C$10)</f>
        <v>8970.8922264339453</v>
      </c>
      <c r="AC88" s="4">
        <f>AC87*(1+'Data Entry'!$C$9)</f>
        <v>48932.139416912418</v>
      </c>
      <c r="AD88" s="4">
        <f>SUMIF(nonroutine_maintenance_expenses[Year (YYYY)],mortgage[[#This Row],[Calendar Year]],nonroutine_maintenance_expenses[Amount ($)])</f>
        <v>0</v>
      </c>
      <c r="AE88" s="4">
        <f>AE87*(1+'Data Entry'!C$7)</f>
        <v>6901064.486876186</v>
      </c>
      <c r="AF88" s="4">
        <f t="shared" si="10"/>
        <v>6542601.7439168524</v>
      </c>
      <c r="AG88" s="4">
        <f>mortgage[[#This Row],[Principal]]+mortgage[[#This Row],[Extra Payment Towards Equity]]+AG87</f>
        <v>542995.30794004421</v>
      </c>
      <c r="AH88" s="4">
        <f t="shared" si="11"/>
        <v>506863.32958102686</v>
      </c>
      <c r="AI88" s="4">
        <f>AI87+mortgage[[#This Row],[Principal]]+mortgage[[#This Row],[Extra Payment Towards Equity]]</f>
        <v>602995.30794004421</v>
      </c>
      <c r="AJ88" s="180">
        <f>mortgage[[#This Row],[Cumulative Equity (EOY)]]/purchase_price</f>
        <v>1.0049921799000736</v>
      </c>
      <c r="AK88" s="180">
        <f>mortgage[[#This Row],[Loan Balance (BOY)]]/mortgage[[#This Row],[Est. Home Value (EOY)]]</f>
        <v>0</v>
      </c>
      <c r="AL88" s="4">
        <f t="shared" si="8"/>
        <v>0</v>
      </c>
      <c r="AM88" s="4">
        <f>SUM(mortgage[[#This Row],[Property Taxes]],mortgage[[#This Row],[PMI]],mortgage[[#This Row],[Homeowners Insurance]],mortgage[[#This Row],[Routine Maintenance]],mortgage[[#This Row],[Non-Routine Maintenance]])</f>
        <v>123145.88419922959</v>
      </c>
      <c r="AN88" s="160">
        <f>mortgage[[#This Row],[Total Annual Indirect Housing Expenses]]+AN87</f>
        <v>3780395.3575068801</v>
      </c>
    </row>
    <row r="89" spans="9:40" x14ac:dyDescent="0.25">
      <c r="I89">
        <v>73</v>
      </c>
      <c r="J89">
        <f t="shared" si="9"/>
        <v>2094</v>
      </c>
      <c r="K89" s="198">
        <f>IF(mortgage[[#This Row],[Calendar Year]]&gt;=$C$8,mortgage[[#This Row],[Calendar Year]],NA())</f>
        <v>2094</v>
      </c>
      <c r="L89" s="198" t="e">
        <f>IF((mortgage[[#This Row],[Calendar Year]]&gt;=$C$8)*(mortgage[[#This Row],[Calendar Year]]&lt;=$C$10),mortgage[[#This Row],[Calendar Year]],NA())</f>
        <v>#N/A</v>
      </c>
      <c r="M89" s="214" t="e">
        <f>IF((mortgage[[#This Row],[Calendar Year]]&gt;=$C$8)*(mortgage[[#This Row],[Calendar Year]]&lt;=$C$10),mortgage[[#This Row],[Loan Balance (BOY)]],NA())</f>
        <v>#N/A</v>
      </c>
      <c r="N89" s="214" t="e">
        <f>IF((mortgage[[#This Row],[Begin Year (Range)]]&gt;=$C$8)*(mortgage[[#This Row],[Begin Year (Range)]]&lt;=$C$10),mortgage[[#This Row],[Cumulative Interest (EOY)]],NA())</f>
        <v>#N/A</v>
      </c>
      <c r="O89" s="214" t="e">
        <f>IF((mortgage[[#This Row],[Year (Range)]]&gt;=$C$8)*(mortgage[[#This Row],[Year (Range)]]&lt;=$C$10),mortgage[[#This Row],[Cumulative Principal (EOY)]],NA())</f>
        <v>#N/A</v>
      </c>
      <c r="P89" s="214" t="e">
        <f>IF((mortgage[[#This Row],[Year (Range)]]&gt;=$C$8)*(mortgage[[#This Row],[Year (Range)]]&lt;=$C$10),mortgage[[#This Row],[Cumulative Appreciation (EOY)]],NA())</f>
        <v>#N/A</v>
      </c>
      <c r="Q89" s="214" t="e">
        <f>IF((mortgage[[#This Row],[Year (Range)]]&gt;=$C$8)*(mortgage[[#This Row],[Year (Range)]]&lt;=$C$10),mortgage[[#This Row],[Cumulative Equity (EOY)]],NA())</f>
        <v>#N/A</v>
      </c>
      <c r="R89" s="214" t="e">
        <f>IF((mortgage[[#This Row],[Year (Range)]]&gt;=$C$8)*(mortgage[[#This Row],[Year (Range)]]&lt;=$C$10),mortgage[[#This Row],[Cumulative Total Indirect Housing Expenses]],NA())</f>
        <v>#N/A</v>
      </c>
      <c r="S89" s="214" t="e">
        <f>IF((mortgage[[#This Row],[Year (Range)]]&gt;=$C$8)*(mortgage[[#This Row],[Year (Range)]]&lt;=$C$10),mortgage[[#This Row],[Total Annual Indirect Housing Expenses]],NA())</f>
        <v>#N/A</v>
      </c>
      <c r="T89" s="214" t="e">
        <f>IF((mortgage[[#This Row],[Year (Range)]]&gt;=$C$8)*(mortgage[[#This Row],[Year (Range)]]&lt;=$C$10),mortgage[[#This Row],[Est. Home Value (EOY)]],NA())</f>
        <v>#N/A</v>
      </c>
      <c r="U89" s="164">
        <f>IF(U88&lt;W88,0,IF(I89&lt;='Data Entry'!$F$9,(U88-(W88+X88)),0))</f>
        <v>0</v>
      </c>
      <c r="V89" s="183">
        <f>SUMIF(monthly_mortgage_schedule[Calendar Year],mortgage[[#This Row],[Calendar Year]],monthly_mortgage_schedule[Interest With Extra Principal Payments])</f>
        <v>0</v>
      </c>
      <c r="W89" s="4">
        <f>SUMIF(monthly_mortgage_schedule[Calendar Year],mortgage[[#This Row],[Calendar Year]],monthly_mortgage_schedule[Principal With Extra Principal Payments])</f>
        <v>0</v>
      </c>
      <c r="X89" s="4">
        <f>SUMIF(monthly_mortgage_schedule[Calendar Year],mortgage[[#This Row],[Calendar Year]],monthly_mortgage_schedule[Extra Payments Towards Equity])</f>
        <v>0</v>
      </c>
      <c r="Y89" s="4">
        <f>Y88*(1+'Data Entry'!$C$8)</f>
        <v>67200.138132559718</v>
      </c>
      <c r="Z89" s="4">
        <f>SUMIF(monthly_mortgage_schedule[Calendar Year],mortgage[[#This Row],[Calendar Year]],monthly_mortgage_schedule[PMI with Additional Payments])</f>
        <v>0</v>
      </c>
      <c r="AA89" s="4">
        <f>mortgage[[#This Row],[Interest]]+mortgage[[#This Row],[Property Taxes]]</f>
        <v>67200.138132559718</v>
      </c>
      <c r="AB89" s="4">
        <f>AB88*(1+'Data Entry'!$C$10)</f>
        <v>9240.0189932269641</v>
      </c>
      <c r="AC89" s="4">
        <f>AC88*(1+'Data Entry'!$C$9)</f>
        <v>50400.103599419788</v>
      </c>
      <c r="AD89" s="4">
        <f>SUMIF(nonroutine_maintenance_expenses[Year (YYYY)],mortgage[[#This Row],[Calendar Year]],nonroutine_maintenance_expenses[Amount ($)])</f>
        <v>0</v>
      </c>
      <c r="AE89" s="4">
        <f>AE88*(1+'Data Entry'!C$7)</f>
        <v>7142601.7439168524</v>
      </c>
      <c r="AF89" s="4">
        <f t="shared" si="10"/>
        <v>6792592.8049539421</v>
      </c>
      <c r="AG89" s="4">
        <f>mortgage[[#This Row],[Principal]]+mortgage[[#This Row],[Extra Payment Towards Equity]]+AG88</f>
        <v>542995.30794004421</v>
      </c>
      <c r="AH89" s="4">
        <f t="shared" si="11"/>
        <v>506863.32958102686</v>
      </c>
      <c r="AI89" s="4">
        <f>AI88+mortgage[[#This Row],[Principal]]+mortgage[[#This Row],[Extra Payment Towards Equity]]</f>
        <v>602995.30794004421</v>
      </c>
      <c r="AJ89" s="180">
        <f>mortgage[[#This Row],[Cumulative Equity (EOY)]]/purchase_price</f>
        <v>1.0049921799000736</v>
      </c>
      <c r="AK89" s="180">
        <f>mortgage[[#This Row],[Loan Balance (BOY)]]/mortgage[[#This Row],[Est. Home Value (EOY)]]</f>
        <v>0</v>
      </c>
      <c r="AL89" s="4">
        <f t="shared" si="8"/>
        <v>0</v>
      </c>
      <c r="AM89" s="4">
        <f>SUM(mortgage[[#This Row],[Property Taxes]],mortgage[[#This Row],[PMI]],mortgage[[#This Row],[Homeowners Insurance]],mortgage[[#This Row],[Routine Maintenance]],mortgage[[#This Row],[Non-Routine Maintenance]])</f>
        <v>126840.26072520646</v>
      </c>
      <c r="AN89" s="160">
        <f>mortgage[[#This Row],[Total Annual Indirect Housing Expenses]]+AN88</f>
        <v>3907235.6182320863</v>
      </c>
    </row>
    <row r="90" spans="9:40" x14ac:dyDescent="0.25">
      <c r="I90">
        <v>74</v>
      </c>
      <c r="J90">
        <f t="shared" si="9"/>
        <v>2095</v>
      </c>
      <c r="K90" s="198">
        <f>IF(mortgage[[#This Row],[Calendar Year]]&gt;=$C$8,mortgage[[#This Row],[Calendar Year]],NA())</f>
        <v>2095</v>
      </c>
      <c r="L90" s="198" t="e">
        <f>IF((mortgage[[#This Row],[Calendar Year]]&gt;=$C$8)*(mortgage[[#This Row],[Calendar Year]]&lt;=$C$10),mortgage[[#This Row],[Calendar Year]],NA())</f>
        <v>#N/A</v>
      </c>
      <c r="M90" s="214" t="e">
        <f>IF((mortgage[[#This Row],[Calendar Year]]&gt;=$C$8)*(mortgage[[#This Row],[Calendar Year]]&lt;=$C$10),mortgage[[#This Row],[Loan Balance (BOY)]],NA())</f>
        <v>#N/A</v>
      </c>
      <c r="N90" s="214" t="e">
        <f>IF((mortgage[[#This Row],[Begin Year (Range)]]&gt;=$C$8)*(mortgage[[#This Row],[Begin Year (Range)]]&lt;=$C$10),mortgage[[#This Row],[Cumulative Interest (EOY)]],NA())</f>
        <v>#N/A</v>
      </c>
      <c r="O90" s="214" t="e">
        <f>IF((mortgage[[#This Row],[Year (Range)]]&gt;=$C$8)*(mortgage[[#This Row],[Year (Range)]]&lt;=$C$10),mortgage[[#This Row],[Cumulative Principal (EOY)]],NA())</f>
        <v>#N/A</v>
      </c>
      <c r="P90" s="214" t="e">
        <f>IF((mortgage[[#This Row],[Year (Range)]]&gt;=$C$8)*(mortgage[[#This Row],[Year (Range)]]&lt;=$C$10),mortgage[[#This Row],[Cumulative Appreciation (EOY)]],NA())</f>
        <v>#N/A</v>
      </c>
      <c r="Q90" s="214" t="e">
        <f>IF((mortgage[[#This Row],[Year (Range)]]&gt;=$C$8)*(mortgage[[#This Row],[Year (Range)]]&lt;=$C$10),mortgage[[#This Row],[Cumulative Equity (EOY)]],NA())</f>
        <v>#N/A</v>
      </c>
      <c r="R90" s="214" t="e">
        <f>IF((mortgage[[#This Row],[Year (Range)]]&gt;=$C$8)*(mortgage[[#This Row],[Year (Range)]]&lt;=$C$10),mortgage[[#This Row],[Cumulative Total Indirect Housing Expenses]],NA())</f>
        <v>#N/A</v>
      </c>
      <c r="S90" s="214" t="e">
        <f>IF((mortgage[[#This Row],[Year (Range)]]&gt;=$C$8)*(mortgage[[#This Row],[Year (Range)]]&lt;=$C$10),mortgage[[#This Row],[Total Annual Indirect Housing Expenses]],NA())</f>
        <v>#N/A</v>
      </c>
      <c r="T90" s="214" t="e">
        <f>IF((mortgage[[#This Row],[Year (Range)]]&gt;=$C$8)*(mortgage[[#This Row],[Year (Range)]]&lt;=$C$10),mortgage[[#This Row],[Est. Home Value (EOY)]],NA())</f>
        <v>#N/A</v>
      </c>
      <c r="U90" s="164">
        <f>IF(U89&lt;W89,0,IF(I90&lt;='Data Entry'!$F$9,(U89-(W89+X89)),0))</f>
        <v>0</v>
      </c>
      <c r="V90" s="183">
        <f>SUMIF(monthly_mortgage_schedule[Calendar Year],mortgage[[#This Row],[Calendar Year]],monthly_mortgage_schedule[Interest With Extra Principal Payments])</f>
        <v>0</v>
      </c>
      <c r="W90" s="4">
        <f>SUMIF(monthly_mortgage_schedule[Calendar Year],mortgage[[#This Row],[Calendar Year]],monthly_mortgage_schedule[Principal With Extra Principal Payments])</f>
        <v>0</v>
      </c>
      <c r="X90" s="4">
        <f>SUMIF(monthly_mortgage_schedule[Calendar Year],mortgage[[#This Row],[Calendar Year]],monthly_mortgage_schedule[Extra Payments Towards Equity])</f>
        <v>0</v>
      </c>
      <c r="Y90" s="4">
        <f>Y89*(1+'Data Entry'!$C$8)</f>
        <v>69216.142276536513</v>
      </c>
      <c r="Z90" s="4">
        <f>SUMIF(monthly_mortgage_schedule[Calendar Year],mortgage[[#This Row],[Calendar Year]],monthly_mortgage_schedule[PMI with Additional Payments])</f>
        <v>0</v>
      </c>
      <c r="AA90" s="4">
        <f>mortgage[[#This Row],[Interest]]+mortgage[[#This Row],[Property Taxes]]</f>
        <v>69216.142276536513</v>
      </c>
      <c r="AB90" s="4">
        <f>AB89*(1+'Data Entry'!$C$10)</f>
        <v>9517.2195630237729</v>
      </c>
      <c r="AC90" s="4">
        <f>AC89*(1+'Data Entry'!$C$9)</f>
        <v>51912.106707402381</v>
      </c>
      <c r="AD90" s="4">
        <f>SUMIF(nonroutine_maintenance_expenses[Year (YYYY)],mortgage[[#This Row],[Calendar Year]],nonroutine_maintenance_expenses[Amount ($)])</f>
        <v>0</v>
      </c>
      <c r="AE90" s="4">
        <f>AE89*(1+'Data Entry'!C$7)</f>
        <v>7392592.8049539421</v>
      </c>
      <c r="AF90" s="4">
        <f t="shared" si="10"/>
        <v>7051333.5531273298</v>
      </c>
      <c r="AG90" s="4">
        <f>mortgage[[#This Row],[Principal]]+mortgage[[#This Row],[Extra Payment Towards Equity]]+AG89</f>
        <v>542995.30794004421</v>
      </c>
      <c r="AH90" s="4">
        <f t="shared" si="11"/>
        <v>506863.32958102686</v>
      </c>
      <c r="AI90" s="4">
        <f>AI89+mortgage[[#This Row],[Principal]]+mortgage[[#This Row],[Extra Payment Towards Equity]]</f>
        <v>602995.30794004421</v>
      </c>
      <c r="AJ90" s="180">
        <f>mortgage[[#This Row],[Cumulative Equity (EOY)]]/purchase_price</f>
        <v>1.0049921799000736</v>
      </c>
      <c r="AK90" s="180">
        <f>mortgage[[#This Row],[Loan Balance (BOY)]]/mortgage[[#This Row],[Est. Home Value (EOY)]]</f>
        <v>0</v>
      </c>
      <c r="AL90" s="4">
        <f t="shared" si="8"/>
        <v>0</v>
      </c>
      <c r="AM90" s="4">
        <f>SUM(mortgage[[#This Row],[Property Taxes]],mortgage[[#This Row],[PMI]],mortgage[[#This Row],[Homeowners Insurance]],mortgage[[#This Row],[Routine Maintenance]],mortgage[[#This Row],[Non-Routine Maintenance]])</f>
        <v>130645.46854696266</v>
      </c>
      <c r="AN90" s="160">
        <f>mortgage[[#This Row],[Total Annual Indirect Housing Expenses]]+AN89</f>
        <v>4037881.0867790491</v>
      </c>
    </row>
    <row r="91" spans="9:40" x14ac:dyDescent="0.25">
      <c r="I91">
        <v>75</v>
      </c>
      <c r="J91">
        <f t="shared" si="9"/>
        <v>2096</v>
      </c>
      <c r="K91" s="198">
        <f>IF(mortgage[[#This Row],[Calendar Year]]&gt;=$C$8,mortgage[[#This Row],[Calendar Year]],NA())</f>
        <v>2096</v>
      </c>
      <c r="L91" s="198" t="e">
        <f>IF((mortgage[[#This Row],[Calendar Year]]&gt;=$C$8)*(mortgage[[#This Row],[Calendar Year]]&lt;=$C$10),mortgage[[#This Row],[Calendar Year]],NA())</f>
        <v>#N/A</v>
      </c>
      <c r="M91" s="214" t="e">
        <f>IF((mortgage[[#This Row],[Calendar Year]]&gt;=$C$8)*(mortgage[[#This Row],[Calendar Year]]&lt;=$C$10),mortgage[[#This Row],[Loan Balance (BOY)]],NA())</f>
        <v>#N/A</v>
      </c>
      <c r="N91" s="214" t="e">
        <f>IF((mortgage[[#This Row],[Begin Year (Range)]]&gt;=$C$8)*(mortgage[[#This Row],[Begin Year (Range)]]&lt;=$C$10),mortgage[[#This Row],[Cumulative Interest (EOY)]],NA())</f>
        <v>#N/A</v>
      </c>
      <c r="O91" s="214" t="e">
        <f>IF((mortgage[[#This Row],[Year (Range)]]&gt;=$C$8)*(mortgage[[#This Row],[Year (Range)]]&lt;=$C$10),mortgage[[#This Row],[Cumulative Principal (EOY)]],NA())</f>
        <v>#N/A</v>
      </c>
      <c r="P91" s="214" t="e">
        <f>IF((mortgage[[#This Row],[Year (Range)]]&gt;=$C$8)*(mortgage[[#This Row],[Year (Range)]]&lt;=$C$10),mortgage[[#This Row],[Cumulative Appreciation (EOY)]],NA())</f>
        <v>#N/A</v>
      </c>
      <c r="Q91" s="214" t="e">
        <f>IF((mortgage[[#This Row],[Year (Range)]]&gt;=$C$8)*(mortgage[[#This Row],[Year (Range)]]&lt;=$C$10),mortgage[[#This Row],[Cumulative Equity (EOY)]],NA())</f>
        <v>#N/A</v>
      </c>
      <c r="R91" s="214" t="e">
        <f>IF((mortgage[[#This Row],[Year (Range)]]&gt;=$C$8)*(mortgage[[#This Row],[Year (Range)]]&lt;=$C$10),mortgage[[#This Row],[Cumulative Total Indirect Housing Expenses]],NA())</f>
        <v>#N/A</v>
      </c>
      <c r="S91" s="214" t="e">
        <f>IF((mortgage[[#This Row],[Year (Range)]]&gt;=$C$8)*(mortgage[[#This Row],[Year (Range)]]&lt;=$C$10),mortgage[[#This Row],[Total Annual Indirect Housing Expenses]],NA())</f>
        <v>#N/A</v>
      </c>
      <c r="T91" s="214" t="e">
        <f>IF((mortgage[[#This Row],[Year (Range)]]&gt;=$C$8)*(mortgage[[#This Row],[Year (Range)]]&lt;=$C$10),mortgage[[#This Row],[Est. Home Value (EOY)]],NA())</f>
        <v>#N/A</v>
      </c>
      <c r="U91" s="164">
        <f>IF(U90&lt;W90,0,IF(I91&lt;='Data Entry'!$F$9,(U90-(W90+X90)),0))</f>
        <v>0</v>
      </c>
      <c r="V91" s="183">
        <f>SUMIF(monthly_mortgage_schedule[Calendar Year],mortgage[[#This Row],[Calendar Year]],monthly_mortgage_schedule[Interest With Extra Principal Payments])</f>
        <v>0</v>
      </c>
      <c r="W91" s="4">
        <f>SUMIF(monthly_mortgage_schedule[Calendar Year],mortgage[[#This Row],[Calendar Year]],monthly_mortgage_schedule[Principal With Extra Principal Payments])</f>
        <v>0</v>
      </c>
      <c r="X91" s="4">
        <f>SUMIF(monthly_mortgage_schedule[Calendar Year],mortgage[[#This Row],[Calendar Year]],monthly_mortgage_schedule[Extra Payments Towards Equity])</f>
        <v>0</v>
      </c>
      <c r="Y91" s="4">
        <f>Y90*(1+'Data Entry'!$C$8)</f>
        <v>71292.626544832616</v>
      </c>
      <c r="Z91" s="4">
        <f>SUMIF(monthly_mortgage_schedule[Calendar Year],mortgage[[#This Row],[Calendar Year]],monthly_mortgage_schedule[PMI with Additional Payments])</f>
        <v>0</v>
      </c>
      <c r="AA91" s="4">
        <f>mortgage[[#This Row],[Interest]]+mortgage[[#This Row],[Property Taxes]]</f>
        <v>71292.626544832616</v>
      </c>
      <c r="AB91" s="4">
        <f>AB90*(1+'Data Entry'!$C$10)</f>
        <v>9802.7361499144863</v>
      </c>
      <c r="AC91" s="4">
        <f>AC90*(1+'Data Entry'!$C$9)</f>
        <v>53469.469908624451</v>
      </c>
      <c r="AD91" s="4">
        <f>SUMIF(nonroutine_maintenance_expenses[Year (YYYY)],mortgage[[#This Row],[Calendar Year]],nonroutine_maintenance_expenses[Amount ($)])</f>
        <v>0</v>
      </c>
      <c r="AE91" s="4">
        <f>AE90*(1+'Data Entry'!C$7)</f>
        <v>7651333.5531273298</v>
      </c>
      <c r="AF91" s="4">
        <f t="shared" si="10"/>
        <v>7319130.2274867855</v>
      </c>
      <c r="AG91" s="4">
        <f>mortgage[[#This Row],[Principal]]+mortgage[[#This Row],[Extra Payment Towards Equity]]+AG90</f>
        <v>542995.30794004421</v>
      </c>
      <c r="AH91" s="4">
        <f t="shared" si="11"/>
        <v>506863.32958102686</v>
      </c>
      <c r="AI91" s="4">
        <f>AI90+mortgage[[#This Row],[Principal]]+mortgage[[#This Row],[Extra Payment Towards Equity]]</f>
        <v>602995.30794004421</v>
      </c>
      <c r="AJ91" s="180">
        <f>mortgage[[#This Row],[Cumulative Equity (EOY)]]/purchase_price</f>
        <v>1.0049921799000736</v>
      </c>
      <c r="AK91" s="180">
        <f>mortgage[[#This Row],[Loan Balance (BOY)]]/mortgage[[#This Row],[Est. Home Value (EOY)]]</f>
        <v>0</v>
      </c>
      <c r="AL91" s="4">
        <f t="shared" si="8"/>
        <v>0</v>
      </c>
      <c r="AM91" s="4">
        <f>SUM(mortgage[[#This Row],[Property Taxes]],mortgage[[#This Row],[PMI]],mortgage[[#This Row],[Homeowners Insurance]],mortgage[[#This Row],[Routine Maintenance]],mortgage[[#This Row],[Non-Routine Maintenance]])</f>
        <v>134564.83260337156</v>
      </c>
      <c r="AN91" s="160">
        <f>mortgage[[#This Row],[Total Annual Indirect Housing Expenses]]+AN90</f>
        <v>4172445.9193824208</v>
      </c>
    </row>
    <row r="92" spans="9:40" x14ac:dyDescent="0.25">
      <c r="I92">
        <v>76</v>
      </c>
      <c r="J92">
        <f t="shared" si="9"/>
        <v>2097</v>
      </c>
      <c r="K92" s="198">
        <f>IF(mortgage[[#This Row],[Calendar Year]]&gt;=$C$8,mortgage[[#This Row],[Calendar Year]],NA())</f>
        <v>2097</v>
      </c>
      <c r="L92" s="198" t="e">
        <f>IF((mortgage[[#This Row],[Calendar Year]]&gt;=$C$8)*(mortgage[[#This Row],[Calendar Year]]&lt;=$C$10),mortgage[[#This Row],[Calendar Year]],NA())</f>
        <v>#N/A</v>
      </c>
      <c r="M92" s="214" t="e">
        <f>IF((mortgage[[#This Row],[Calendar Year]]&gt;=$C$8)*(mortgage[[#This Row],[Calendar Year]]&lt;=$C$10),mortgage[[#This Row],[Loan Balance (BOY)]],NA())</f>
        <v>#N/A</v>
      </c>
      <c r="N92" s="214" t="e">
        <f>IF((mortgage[[#This Row],[Begin Year (Range)]]&gt;=$C$8)*(mortgage[[#This Row],[Begin Year (Range)]]&lt;=$C$10),mortgage[[#This Row],[Cumulative Interest (EOY)]],NA())</f>
        <v>#N/A</v>
      </c>
      <c r="O92" s="214" t="e">
        <f>IF((mortgage[[#This Row],[Year (Range)]]&gt;=$C$8)*(mortgage[[#This Row],[Year (Range)]]&lt;=$C$10),mortgage[[#This Row],[Cumulative Principal (EOY)]],NA())</f>
        <v>#N/A</v>
      </c>
      <c r="P92" s="214" t="e">
        <f>IF((mortgage[[#This Row],[Year (Range)]]&gt;=$C$8)*(mortgage[[#This Row],[Year (Range)]]&lt;=$C$10),mortgage[[#This Row],[Cumulative Appreciation (EOY)]],NA())</f>
        <v>#N/A</v>
      </c>
      <c r="Q92" s="214" t="e">
        <f>IF((mortgage[[#This Row],[Year (Range)]]&gt;=$C$8)*(mortgage[[#This Row],[Year (Range)]]&lt;=$C$10),mortgage[[#This Row],[Cumulative Equity (EOY)]],NA())</f>
        <v>#N/A</v>
      </c>
      <c r="R92" s="214" t="e">
        <f>IF((mortgage[[#This Row],[Year (Range)]]&gt;=$C$8)*(mortgage[[#This Row],[Year (Range)]]&lt;=$C$10),mortgage[[#This Row],[Cumulative Total Indirect Housing Expenses]],NA())</f>
        <v>#N/A</v>
      </c>
      <c r="S92" s="214" t="e">
        <f>IF((mortgage[[#This Row],[Year (Range)]]&gt;=$C$8)*(mortgage[[#This Row],[Year (Range)]]&lt;=$C$10),mortgage[[#This Row],[Total Annual Indirect Housing Expenses]],NA())</f>
        <v>#N/A</v>
      </c>
      <c r="T92" s="214" t="e">
        <f>IF((mortgage[[#This Row],[Year (Range)]]&gt;=$C$8)*(mortgage[[#This Row],[Year (Range)]]&lt;=$C$10),mortgage[[#This Row],[Est. Home Value (EOY)]],NA())</f>
        <v>#N/A</v>
      </c>
      <c r="U92" s="164">
        <f>IF(U91&lt;W91,0,IF(I92&lt;='Data Entry'!$F$9,(U91-(W91+X91)),0))</f>
        <v>0</v>
      </c>
      <c r="V92" s="183">
        <f>SUMIF(monthly_mortgage_schedule[Calendar Year],mortgage[[#This Row],[Calendar Year]],monthly_mortgage_schedule[Interest With Extra Principal Payments])</f>
        <v>0</v>
      </c>
      <c r="W92" s="4">
        <f>SUMIF(monthly_mortgage_schedule[Calendar Year],mortgage[[#This Row],[Calendar Year]],monthly_mortgage_schedule[Principal With Extra Principal Payments])</f>
        <v>0</v>
      </c>
      <c r="X92" s="4">
        <f>SUMIF(monthly_mortgage_schedule[Calendar Year],mortgage[[#This Row],[Calendar Year]],monthly_mortgage_schedule[Extra Payments Towards Equity])</f>
        <v>0</v>
      </c>
      <c r="Y92" s="4">
        <f>Y91*(1+'Data Entry'!$C$8)</f>
        <v>73431.405341177597</v>
      </c>
      <c r="Z92" s="4">
        <f>SUMIF(monthly_mortgage_schedule[Calendar Year],mortgage[[#This Row],[Calendar Year]],monthly_mortgage_schedule[PMI with Additional Payments])</f>
        <v>0</v>
      </c>
      <c r="AA92" s="4">
        <f>mortgage[[#This Row],[Interest]]+mortgage[[#This Row],[Property Taxes]]</f>
        <v>73431.405341177597</v>
      </c>
      <c r="AB92" s="4">
        <f>AB91*(1+'Data Entry'!$C$10)</f>
        <v>10096.818234411921</v>
      </c>
      <c r="AC92" s="4">
        <f>AC91*(1+'Data Entry'!$C$9)</f>
        <v>55073.554005883183</v>
      </c>
      <c r="AD92" s="4">
        <f>SUMIF(nonroutine_maintenance_expenses[Year (YYYY)],mortgage[[#This Row],[Calendar Year]],nonroutine_maintenance_expenses[Amount ($)])</f>
        <v>0</v>
      </c>
      <c r="AE92" s="4">
        <f>AE91*(1+'Data Entry'!C$7)</f>
        <v>7919130.2274867855</v>
      </c>
      <c r="AF92" s="4">
        <f t="shared" si="10"/>
        <v>7596299.7854488222</v>
      </c>
      <c r="AG92" s="4">
        <f>mortgage[[#This Row],[Principal]]+mortgage[[#This Row],[Extra Payment Towards Equity]]+AG91</f>
        <v>542995.30794004421</v>
      </c>
      <c r="AH92" s="4">
        <f t="shared" si="11"/>
        <v>506863.32958102686</v>
      </c>
      <c r="AI92" s="4">
        <f>AI91+mortgage[[#This Row],[Principal]]+mortgage[[#This Row],[Extra Payment Towards Equity]]</f>
        <v>602995.30794004421</v>
      </c>
      <c r="AJ92" s="180">
        <f>mortgage[[#This Row],[Cumulative Equity (EOY)]]/purchase_price</f>
        <v>1.0049921799000736</v>
      </c>
      <c r="AK92" s="180">
        <f>mortgage[[#This Row],[Loan Balance (BOY)]]/mortgage[[#This Row],[Est. Home Value (EOY)]]</f>
        <v>0</v>
      </c>
      <c r="AL92" s="4">
        <f t="shared" si="8"/>
        <v>0</v>
      </c>
      <c r="AM92" s="4">
        <f>SUM(mortgage[[#This Row],[Property Taxes]],mortgage[[#This Row],[PMI]],mortgage[[#This Row],[Homeowners Insurance]],mortgage[[#This Row],[Routine Maintenance]],mortgage[[#This Row],[Non-Routine Maintenance]])</f>
        <v>138601.77758147271</v>
      </c>
      <c r="AN92" s="160">
        <f>mortgage[[#This Row],[Total Annual Indirect Housing Expenses]]+AN91</f>
        <v>4311047.6969638932</v>
      </c>
    </row>
    <row r="93" spans="9:40" x14ac:dyDescent="0.25">
      <c r="I93">
        <v>77</v>
      </c>
      <c r="J93">
        <f t="shared" si="9"/>
        <v>2098</v>
      </c>
      <c r="K93" s="198">
        <f>IF(mortgage[[#This Row],[Calendar Year]]&gt;=$C$8,mortgage[[#This Row],[Calendar Year]],NA())</f>
        <v>2098</v>
      </c>
      <c r="L93" s="198" t="e">
        <f>IF((mortgage[[#This Row],[Calendar Year]]&gt;=$C$8)*(mortgage[[#This Row],[Calendar Year]]&lt;=$C$10),mortgage[[#This Row],[Calendar Year]],NA())</f>
        <v>#N/A</v>
      </c>
      <c r="M93" s="214" t="e">
        <f>IF((mortgage[[#This Row],[Calendar Year]]&gt;=$C$8)*(mortgage[[#This Row],[Calendar Year]]&lt;=$C$10),mortgage[[#This Row],[Loan Balance (BOY)]],NA())</f>
        <v>#N/A</v>
      </c>
      <c r="N93" s="214" t="e">
        <f>IF((mortgage[[#This Row],[Begin Year (Range)]]&gt;=$C$8)*(mortgage[[#This Row],[Begin Year (Range)]]&lt;=$C$10),mortgage[[#This Row],[Cumulative Interest (EOY)]],NA())</f>
        <v>#N/A</v>
      </c>
      <c r="O93" s="214" t="e">
        <f>IF((mortgage[[#This Row],[Year (Range)]]&gt;=$C$8)*(mortgage[[#This Row],[Year (Range)]]&lt;=$C$10),mortgage[[#This Row],[Cumulative Principal (EOY)]],NA())</f>
        <v>#N/A</v>
      </c>
      <c r="P93" s="214" t="e">
        <f>IF((mortgage[[#This Row],[Year (Range)]]&gt;=$C$8)*(mortgage[[#This Row],[Year (Range)]]&lt;=$C$10),mortgage[[#This Row],[Cumulative Appreciation (EOY)]],NA())</f>
        <v>#N/A</v>
      </c>
      <c r="Q93" s="214" t="e">
        <f>IF((mortgage[[#This Row],[Year (Range)]]&gt;=$C$8)*(mortgage[[#This Row],[Year (Range)]]&lt;=$C$10),mortgage[[#This Row],[Cumulative Equity (EOY)]],NA())</f>
        <v>#N/A</v>
      </c>
      <c r="R93" s="214" t="e">
        <f>IF((mortgage[[#This Row],[Year (Range)]]&gt;=$C$8)*(mortgage[[#This Row],[Year (Range)]]&lt;=$C$10),mortgage[[#This Row],[Cumulative Total Indirect Housing Expenses]],NA())</f>
        <v>#N/A</v>
      </c>
      <c r="S93" s="214" t="e">
        <f>IF((mortgage[[#This Row],[Year (Range)]]&gt;=$C$8)*(mortgage[[#This Row],[Year (Range)]]&lt;=$C$10),mortgage[[#This Row],[Total Annual Indirect Housing Expenses]],NA())</f>
        <v>#N/A</v>
      </c>
      <c r="T93" s="214" t="e">
        <f>IF((mortgage[[#This Row],[Year (Range)]]&gt;=$C$8)*(mortgage[[#This Row],[Year (Range)]]&lt;=$C$10),mortgage[[#This Row],[Est. Home Value (EOY)]],NA())</f>
        <v>#N/A</v>
      </c>
      <c r="U93" s="164">
        <f>IF(U92&lt;W92,0,IF(I93&lt;='Data Entry'!$F$9,(U92-(W92+X92)),0))</f>
        <v>0</v>
      </c>
      <c r="V93" s="183">
        <f>SUMIF(monthly_mortgage_schedule[Calendar Year],mortgage[[#This Row],[Calendar Year]],monthly_mortgage_schedule[Interest With Extra Principal Payments])</f>
        <v>0</v>
      </c>
      <c r="W93" s="4">
        <f>SUMIF(monthly_mortgage_schedule[Calendar Year],mortgage[[#This Row],[Calendar Year]],monthly_mortgage_schedule[Principal With Extra Principal Payments])</f>
        <v>0</v>
      </c>
      <c r="X93" s="4">
        <f>SUMIF(monthly_mortgage_schedule[Calendar Year],mortgage[[#This Row],[Calendar Year]],monthly_mortgage_schedule[Extra Payments Towards Equity])</f>
        <v>0</v>
      </c>
      <c r="Y93" s="4">
        <f>Y92*(1+'Data Entry'!$C$8)</f>
        <v>75634.347501412922</v>
      </c>
      <c r="Z93" s="4">
        <f>SUMIF(monthly_mortgage_schedule[Calendar Year],mortgage[[#This Row],[Calendar Year]],monthly_mortgage_schedule[PMI with Additional Payments])</f>
        <v>0</v>
      </c>
      <c r="AA93" s="4">
        <f>mortgage[[#This Row],[Interest]]+mortgage[[#This Row],[Property Taxes]]</f>
        <v>75634.347501412922</v>
      </c>
      <c r="AB93" s="4">
        <f>AB92*(1+'Data Entry'!$C$10)</f>
        <v>10399.722781444279</v>
      </c>
      <c r="AC93" s="4">
        <f>AC92*(1+'Data Entry'!$C$9)</f>
        <v>56725.76062605968</v>
      </c>
      <c r="AD93" s="4">
        <f>SUMIF(nonroutine_maintenance_expenses[Year (YYYY)],mortgage[[#This Row],[Calendar Year]],nonroutine_maintenance_expenses[Amount ($)])</f>
        <v>0</v>
      </c>
      <c r="AE93" s="4">
        <f>AE92*(1+'Data Entry'!C$7)</f>
        <v>8196299.7854488222</v>
      </c>
      <c r="AF93" s="4">
        <f t="shared" si="10"/>
        <v>7883170.2779395301</v>
      </c>
      <c r="AG93" s="4">
        <f>mortgage[[#This Row],[Principal]]+mortgage[[#This Row],[Extra Payment Towards Equity]]+AG92</f>
        <v>542995.30794004421</v>
      </c>
      <c r="AH93" s="4">
        <f t="shared" si="11"/>
        <v>506863.32958102686</v>
      </c>
      <c r="AI93" s="4">
        <f>AI92+mortgage[[#This Row],[Principal]]+mortgage[[#This Row],[Extra Payment Towards Equity]]</f>
        <v>602995.30794004421</v>
      </c>
      <c r="AJ93" s="180">
        <f>mortgage[[#This Row],[Cumulative Equity (EOY)]]/purchase_price</f>
        <v>1.0049921799000736</v>
      </c>
      <c r="AK93" s="180">
        <f>mortgage[[#This Row],[Loan Balance (BOY)]]/mortgage[[#This Row],[Est. Home Value (EOY)]]</f>
        <v>0</v>
      </c>
      <c r="AL93" s="4">
        <f t="shared" si="8"/>
        <v>0</v>
      </c>
      <c r="AM93" s="4">
        <f>SUM(mortgage[[#This Row],[Property Taxes]],mortgage[[#This Row],[PMI]],mortgage[[#This Row],[Homeowners Insurance]],mortgage[[#This Row],[Routine Maintenance]],mortgage[[#This Row],[Non-Routine Maintenance]])</f>
        <v>142759.83090891689</v>
      </c>
      <c r="AN93" s="160">
        <f>mortgage[[#This Row],[Total Annual Indirect Housing Expenses]]+AN92</f>
        <v>4453807.5278728101</v>
      </c>
    </row>
    <row r="94" spans="9:40" x14ac:dyDescent="0.25">
      <c r="I94">
        <v>78</v>
      </c>
      <c r="J94">
        <f t="shared" si="9"/>
        <v>2099</v>
      </c>
      <c r="K94" s="198">
        <f>IF(mortgage[[#This Row],[Calendar Year]]&gt;=$C$8,mortgage[[#This Row],[Calendar Year]],NA())</f>
        <v>2099</v>
      </c>
      <c r="L94" s="198" t="e">
        <f>IF((mortgage[[#This Row],[Calendar Year]]&gt;=$C$8)*(mortgage[[#This Row],[Calendar Year]]&lt;=$C$10),mortgage[[#This Row],[Calendar Year]],NA())</f>
        <v>#N/A</v>
      </c>
      <c r="M94" s="214" t="e">
        <f>IF((mortgage[[#This Row],[Calendar Year]]&gt;=$C$8)*(mortgage[[#This Row],[Calendar Year]]&lt;=$C$10),mortgage[[#This Row],[Loan Balance (BOY)]],NA())</f>
        <v>#N/A</v>
      </c>
      <c r="N94" s="214" t="e">
        <f>IF((mortgage[[#This Row],[Begin Year (Range)]]&gt;=$C$8)*(mortgage[[#This Row],[Begin Year (Range)]]&lt;=$C$10),mortgage[[#This Row],[Cumulative Interest (EOY)]],NA())</f>
        <v>#N/A</v>
      </c>
      <c r="O94" s="214" t="e">
        <f>IF((mortgage[[#This Row],[Year (Range)]]&gt;=$C$8)*(mortgage[[#This Row],[Year (Range)]]&lt;=$C$10),mortgage[[#This Row],[Cumulative Principal (EOY)]],NA())</f>
        <v>#N/A</v>
      </c>
      <c r="P94" s="214" t="e">
        <f>IF((mortgage[[#This Row],[Year (Range)]]&gt;=$C$8)*(mortgage[[#This Row],[Year (Range)]]&lt;=$C$10),mortgage[[#This Row],[Cumulative Appreciation (EOY)]],NA())</f>
        <v>#N/A</v>
      </c>
      <c r="Q94" s="214" t="e">
        <f>IF((mortgage[[#This Row],[Year (Range)]]&gt;=$C$8)*(mortgage[[#This Row],[Year (Range)]]&lt;=$C$10),mortgage[[#This Row],[Cumulative Equity (EOY)]],NA())</f>
        <v>#N/A</v>
      </c>
      <c r="R94" s="214" t="e">
        <f>IF((mortgage[[#This Row],[Year (Range)]]&gt;=$C$8)*(mortgage[[#This Row],[Year (Range)]]&lt;=$C$10),mortgage[[#This Row],[Cumulative Total Indirect Housing Expenses]],NA())</f>
        <v>#N/A</v>
      </c>
      <c r="S94" s="214" t="e">
        <f>IF((mortgage[[#This Row],[Year (Range)]]&gt;=$C$8)*(mortgage[[#This Row],[Year (Range)]]&lt;=$C$10),mortgage[[#This Row],[Total Annual Indirect Housing Expenses]],NA())</f>
        <v>#N/A</v>
      </c>
      <c r="T94" s="214" t="e">
        <f>IF((mortgage[[#This Row],[Year (Range)]]&gt;=$C$8)*(mortgage[[#This Row],[Year (Range)]]&lt;=$C$10),mortgage[[#This Row],[Est. Home Value (EOY)]],NA())</f>
        <v>#N/A</v>
      </c>
      <c r="U94" s="164">
        <f>IF(U93&lt;W93,0,IF(I94&lt;='Data Entry'!$F$9,(U93-(W93+X93)),0))</f>
        <v>0</v>
      </c>
      <c r="V94" s="183">
        <f>SUMIF(monthly_mortgage_schedule[Calendar Year],mortgage[[#This Row],[Calendar Year]],monthly_mortgage_schedule[Interest With Extra Principal Payments])</f>
        <v>0</v>
      </c>
      <c r="W94" s="4">
        <f>SUMIF(monthly_mortgage_schedule[Calendar Year],mortgage[[#This Row],[Calendar Year]],monthly_mortgage_schedule[Principal With Extra Principal Payments])</f>
        <v>0</v>
      </c>
      <c r="X94" s="4">
        <f>SUMIF(monthly_mortgage_schedule[Calendar Year],mortgage[[#This Row],[Calendar Year]],monthly_mortgage_schedule[Extra Payments Towards Equity])</f>
        <v>0</v>
      </c>
      <c r="Y94" s="4">
        <f>Y93*(1+'Data Entry'!$C$8)</f>
        <v>77903.377926455316</v>
      </c>
      <c r="Z94" s="4">
        <f>SUMIF(monthly_mortgage_schedule[Calendar Year],mortgage[[#This Row],[Calendar Year]],monthly_mortgage_schedule[PMI with Additional Payments])</f>
        <v>0</v>
      </c>
      <c r="AA94" s="4">
        <f>mortgage[[#This Row],[Interest]]+mortgage[[#This Row],[Property Taxes]]</f>
        <v>77903.377926455316</v>
      </c>
      <c r="AB94" s="4">
        <f>AB93*(1+'Data Entry'!$C$10)</f>
        <v>10711.714464887607</v>
      </c>
      <c r="AC94" s="4">
        <f>AC93*(1+'Data Entry'!$C$9)</f>
        <v>58427.533444841472</v>
      </c>
      <c r="AD94" s="4">
        <f>SUMIF(nonroutine_maintenance_expenses[Year (YYYY)],mortgage[[#This Row],[Calendar Year]],nonroutine_maintenance_expenses[Amount ($)])</f>
        <v>0</v>
      </c>
      <c r="AE94" s="4">
        <f>AE93*(1+'Data Entry'!C$7)</f>
        <v>8483170.2779395301</v>
      </c>
      <c r="AF94" s="4">
        <f t="shared" si="10"/>
        <v>8180081.2376674134</v>
      </c>
      <c r="AG94" s="4">
        <f>mortgage[[#This Row],[Principal]]+mortgage[[#This Row],[Extra Payment Towards Equity]]+AG93</f>
        <v>542995.30794004421</v>
      </c>
      <c r="AH94" s="4">
        <f t="shared" si="11"/>
        <v>506863.32958102686</v>
      </c>
      <c r="AI94" s="4">
        <f>AI93+mortgage[[#This Row],[Principal]]+mortgage[[#This Row],[Extra Payment Towards Equity]]</f>
        <v>602995.30794004421</v>
      </c>
      <c r="AJ94" s="180">
        <f>mortgage[[#This Row],[Cumulative Equity (EOY)]]/purchase_price</f>
        <v>1.0049921799000736</v>
      </c>
      <c r="AK94" s="180">
        <f>mortgage[[#This Row],[Loan Balance (BOY)]]/mortgage[[#This Row],[Est. Home Value (EOY)]]</f>
        <v>0</v>
      </c>
      <c r="AL94" s="4">
        <f t="shared" si="8"/>
        <v>0</v>
      </c>
      <c r="AM94" s="4">
        <f>SUM(mortgage[[#This Row],[Property Taxes]],mortgage[[#This Row],[PMI]],mortgage[[#This Row],[Homeowners Insurance]],mortgage[[#This Row],[Routine Maintenance]],mortgage[[#This Row],[Non-Routine Maintenance]])</f>
        <v>147042.62583618439</v>
      </c>
      <c r="AN94" s="160">
        <f>mortgage[[#This Row],[Total Annual Indirect Housing Expenses]]+AN93</f>
        <v>4600850.1537089944</v>
      </c>
    </row>
    <row r="95" spans="9:40" x14ac:dyDescent="0.25">
      <c r="I95">
        <v>79</v>
      </c>
      <c r="J95">
        <f t="shared" si="9"/>
        <v>2100</v>
      </c>
      <c r="K95" s="198">
        <f>IF(mortgage[[#This Row],[Calendar Year]]&gt;=$C$8,mortgage[[#This Row],[Calendar Year]],NA())</f>
        <v>2100</v>
      </c>
      <c r="L95" s="198" t="e">
        <f>IF((mortgage[[#This Row],[Calendar Year]]&gt;=$C$8)*(mortgage[[#This Row],[Calendar Year]]&lt;=$C$10),mortgage[[#This Row],[Calendar Year]],NA())</f>
        <v>#N/A</v>
      </c>
      <c r="M95" s="214" t="e">
        <f>IF((mortgage[[#This Row],[Calendar Year]]&gt;=$C$8)*(mortgage[[#This Row],[Calendar Year]]&lt;=$C$10),mortgage[[#This Row],[Loan Balance (BOY)]],NA())</f>
        <v>#N/A</v>
      </c>
      <c r="N95" s="214" t="e">
        <f>IF((mortgage[[#This Row],[Begin Year (Range)]]&gt;=$C$8)*(mortgage[[#This Row],[Begin Year (Range)]]&lt;=$C$10),mortgage[[#This Row],[Cumulative Interest (EOY)]],NA())</f>
        <v>#N/A</v>
      </c>
      <c r="O95" s="214" t="e">
        <f>IF((mortgage[[#This Row],[Year (Range)]]&gt;=$C$8)*(mortgage[[#This Row],[Year (Range)]]&lt;=$C$10),mortgage[[#This Row],[Cumulative Principal (EOY)]],NA())</f>
        <v>#N/A</v>
      </c>
      <c r="P95" s="214" t="e">
        <f>IF((mortgage[[#This Row],[Year (Range)]]&gt;=$C$8)*(mortgage[[#This Row],[Year (Range)]]&lt;=$C$10),mortgage[[#This Row],[Cumulative Appreciation (EOY)]],NA())</f>
        <v>#N/A</v>
      </c>
      <c r="Q95" s="214" t="e">
        <f>IF((mortgage[[#This Row],[Year (Range)]]&gt;=$C$8)*(mortgage[[#This Row],[Year (Range)]]&lt;=$C$10),mortgage[[#This Row],[Cumulative Equity (EOY)]],NA())</f>
        <v>#N/A</v>
      </c>
      <c r="R95" s="214" t="e">
        <f>IF((mortgage[[#This Row],[Year (Range)]]&gt;=$C$8)*(mortgage[[#This Row],[Year (Range)]]&lt;=$C$10),mortgage[[#This Row],[Cumulative Total Indirect Housing Expenses]],NA())</f>
        <v>#N/A</v>
      </c>
      <c r="S95" s="214" t="e">
        <f>IF((mortgage[[#This Row],[Year (Range)]]&gt;=$C$8)*(mortgage[[#This Row],[Year (Range)]]&lt;=$C$10),mortgage[[#This Row],[Total Annual Indirect Housing Expenses]],NA())</f>
        <v>#N/A</v>
      </c>
      <c r="T95" s="214" t="e">
        <f>IF((mortgage[[#This Row],[Year (Range)]]&gt;=$C$8)*(mortgage[[#This Row],[Year (Range)]]&lt;=$C$10),mortgage[[#This Row],[Est. Home Value (EOY)]],NA())</f>
        <v>#N/A</v>
      </c>
      <c r="U95" s="164">
        <f>IF(U94&lt;W94,0,IF(I95&lt;='Data Entry'!$F$9,(U94-(W94+X94)),0))</f>
        <v>0</v>
      </c>
      <c r="V95" s="183">
        <f>SUMIF(monthly_mortgage_schedule[Calendar Year],mortgage[[#This Row],[Calendar Year]],monthly_mortgage_schedule[Interest With Extra Principal Payments])</f>
        <v>0</v>
      </c>
      <c r="W95" s="4">
        <f>SUMIF(monthly_mortgage_schedule[Calendar Year],mortgage[[#This Row],[Calendar Year]],monthly_mortgage_schedule[Principal With Extra Principal Payments])</f>
        <v>0</v>
      </c>
      <c r="X95" s="4">
        <f>SUMIF(monthly_mortgage_schedule[Calendar Year],mortgage[[#This Row],[Calendar Year]],monthly_mortgage_schedule[Extra Payments Towards Equity])</f>
        <v>0</v>
      </c>
      <c r="Y95" s="4">
        <f>Y94*(1+'Data Entry'!$C$8)</f>
        <v>80240.479264248977</v>
      </c>
      <c r="Z95" s="4">
        <f>SUMIF(monthly_mortgage_schedule[Calendar Year],mortgage[[#This Row],[Calendar Year]],monthly_mortgage_schedule[PMI with Additional Payments])</f>
        <v>0</v>
      </c>
      <c r="AA95" s="4">
        <f>mortgage[[#This Row],[Interest]]+mortgage[[#This Row],[Property Taxes]]</f>
        <v>80240.479264248977</v>
      </c>
      <c r="AB95" s="4">
        <f>AB94*(1+'Data Entry'!$C$10)</f>
        <v>11033.065898834237</v>
      </c>
      <c r="AC95" s="4">
        <f>AC94*(1+'Data Entry'!$C$9)</f>
        <v>60180.359448186719</v>
      </c>
      <c r="AD95" s="4">
        <f>SUMIF(nonroutine_maintenance_expenses[Year (YYYY)],mortgage[[#This Row],[Calendar Year]],nonroutine_maintenance_expenses[Amount ($)])</f>
        <v>0</v>
      </c>
      <c r="AE95" s="4">
        <f>AE94*(1+'Data Entry'!C$7)</f>
        <v>8780081.2376674134</v>
      </c>
      <c r="AF95" s="4">
        <f t="shared" si="10"/>
        <v>8487384.0809857715</v>
      </c>
      <c r="AG95" s="4">
        <f>mortgage[[#This Row],[Principal]]+mortgage[[#This Row],[Extra Payment Towards Equity]]+AG94</f>
        <v>542995.30794004421</v>
      </c>
      <c r="AH95" s="4">
        <f t="shared" si="11"/>
        <v>506863.32958102686</v>
      </c>
      <c r="AI95" s="4">
        <f>AI94+mortgage[[#This Row],[Principal]]+mortgage[[#This Row],[Extra Payment Towards Equity]]</f>
        <v>602995.30794004421</v>
      </c>
      <c r="AJ95" s="180">
        <f>mortgage[[#This Row],[Cumulative Equity (EOY)]]/purchase_price</f>
        <v>1.0049921799000736</v>
      </c>
      <c r="AK95" s="180">
        <f>mortgage[[#This Row],[Loan Balance (BOY)]]/mortgage[[#This Row],[Est. Home Value (EOY)]]</f>
        <v>0</v>
      </c>
      <c r="AL95" s="4">
        <f t="shared" si="8"/>
        <v>0</v>
      </c>
      <c r="AM95" s="4">
        <f>SUM(mortgage[[#This Row],[Property Taxes]],mortgage[[#This Row],[PMI]],mortgage[[#This Row],[Homeowners Insurance]],mortgage[[#This Row],[Routine Maintenance]],mortgage[[#This Row],[Non-Routine Maintenance]])</f>
        <v>151453.90461126994</v>
      </c>
      <c r="AN95" s="160">
        <f>mortgage[[#This Row],[Total Annual Indirect Housing Expenses]]+AN94</f>
        <v>4752304.0583202643</v>
      </c>
    </row>
    <row r="96" spans="9:40" x14ac:dyDescent="0.25">
      <c r="I96">
        <v>80</v>
      </c>
      <c r="J96">
        <f t="shared" si="9"/>
        <v>2101</v>
      </c>
      <c r="K96" s="198">
        <f>IF(mortgage[[#This Row],[Calendar Year]]&gt;=$C$8,mortgage[[#This Row],[Calendar Year]],NA())</f>
        <v>2101</v>
      </c>
      <c r="L96" s="198" t="e">
        <f>IF((mortgage[[#This Row],[Calendar Year]]&gt;=$C$8)*(mortgage[[#This Row],[Calendar Year]]&lt;=$C$10),mortgage[[#This Row],[Calendar Year]],NA())</f>
        <v>#N/A</v>
      </c>
      <c r="M96" s="214" t="e">
        <f>IF((mortgage[[#This Row],[Calendar Year]]&gt;=$C$8)*(mortgage[[#This Row],[Calendar Year]]&lt;=$C$10),mortgage[[#This Row],[Loan Balance (BOY)]],NA())</f>
        <v>#N/A</v>
      </c>
      <c r="N96" s="214" t="e">
        <f>IF((mortgage[[#This Row],[Begin Year (Range)]]&gt;=$C$8)*(mortgage[[#This Row],[Begin Year (Range)]]&lt;=$C$10),mortgage[[#This Row],[Cumulative Interest (EOY)]],NA())</f>
        <v>#N/A</v>
      </c>
      <c r="O96" s="214" t="e">
        <f>IF((mortgage[[#This Row],[Year (Range)]]&gt;=$C$8)*(mortgage[[#This Row],[Year (Range)]]&lt;=$C$10),mortgage[[#This Row],[Cumulative Principal (EOY)]],NA())</f>
        <v>#N/A</v>
      </c>
      <c r="P96" s="214" t="e">
        <f>IF((mortgage[[#This Row],[Year (Range)]]&gt;=$C$8)*(mortgage[[#This Row],[Year (Range)]]&lt;=$C$10),mortgage[[#This Row],[Cumulative Appreciation (EOY)]],NA())</f>
        <v>#N/A</v>
      </c>
      <c r="Q96" s="214" t="e">
        <f>IF((mortgage[[#This Row],[Year (Range)]]&gt;=$C$8)*(mortgage[[#This Row],[Year (Range)]]&lt;=$C$10),mortgage[[#This Row],[Cumulative Equity (EOY)]],NA())</f>
        <v>#N/A</v>
      </c>
      <c r="R96" s="214" t="e">
        <f>IF((mortgage[[#This Row],[Year (Range)]]&gt;=$C$8)*(mortgage[[#This Row],[Year (Range)]]&lt;=$C$10),mortgage[[#This Row],[Cumulative Total Indirect Housing Expenses]],NA())</f>
        <v>#N/A</v>
      </c>
      <c r="S96" s="214" t="e">
        <f>IF((mortgage[[#This Row],[Year (Range)]]&gt;=$C$8)*(mortgage[[#This Row],[Year (Range)]]&lt;=$C$10),mortgage[[#This Row],[Total Annual Indirect Housing Expenses]],NA())</f>
        <v>#N/A</v>
      </c>
      <c r="T96" s="214" t="e">
        <f>IF((mortgage[[#This Row],[Year (Range)]]&gt;=$C$8)*(mortgage[[#This Row],[Year (Range)]]&lt;=$C$10),mortgage[[#This Row],[Est. Home Value (EOY)]],NA())</f>
        <v>#N/A</v>
      </c>
      <c r="U96" s="164">
        <f>IF(U95&lt;W95,0,IF(I96&lt;='Data Entry'!$F$9,(U95-(W95+X95)),0))</f>
        <v>0</v>
      </c>
      <c r="V96" s="183">
        <f>SUMIF(monthly_mortgage_schedule[Calendar Year],mortgage[[#This Row],[Calendar Year]],monthly_mortgage_schedule[Interest With Extra Principal Payments])</f>
        <v>0</v>
      </c>
      <c r="W96" s="4">
        <f>SUMIF(monthly_mortgage_schedule[Calendar Year],mortgage[[#This Row],[Calendar Year]],monthly_mortgage_schedule[Principal With Extra Principal Payments])</f>
        <v>0</v>
      </c>
      <c r="X96" s="4">
        <f>SUMIF(monthly_mortgage_schedule[Calendar Year],mortgage[[#This Row],[Calendar Year]],monthly_mortgage_schedule[Extra Payments Towards Equity])</f>
        <v>0</v>
      </c>
      <c r="Y96" s="4">
        <f>Y95*(1+'Data Entry'!$C$8)</f>
        <v>82647.693642176455</v>
      </c>
      <c r="Z96" s="4">
        <f>SUMIF(monthly_mortgage_schedule[Calendar Year],mortgage[[#This Row],[Calendar Year]],monthly_mortgage_schedule[PMI with Additional Payments])</f>
        <v>0</v>
      </c>
      <c r="AA96" s="4">
        <f>mortgage[[#This Row],[Interest]]+mortgage[[#This Row],[Property Taxes]]</f>
        <v>82647.693642176455</v>
      </c>
      <c r="AB96" s="4">
        <f>AB95*(1+'Data Entry'!$C$10)</f>
        <v>11364.057875799264</v>
      </c>
      <c r="AC96" s="4">
        <f>AC95*(1+'Data Entry'!$C$9)</f>
        <v>61985.770231632319</v>
      </c>
      <c r="AD96" s="4">
        <f>SUMIF(nonroutine_maintenance_expenses[Year (YYYY)],mortgage[[#This Row],[Calendar Year]],nonroutine_maintenance_expenses[Amount ($)])</f>
        <v>0</v>
      </c>
      <c r="AE96" s="4">
        <f>AE95*(1+'Data Entry'!C$7)</f>
        <v>9087384.0809857715</v>
      </c>
      <c r="AF96" s="4">
        <f t="shared" si="10"/>
        <v>8805442.5238202736</v>
      </c>
      <c r="AG96" s="4">
        <f>mortgage[[#This Row],[Principal]]+mortgage[[#This Row],[Extra Payment Towards Equity]]+AG95</f>
        <v>542995.30794004421</v>
      </c>
      <c r="AH96" s="4">
        <f t="shared" si="11"/>
        <v>506863.32958102686</v>
      </c>
      <c r="AI96" s="4">
        <f>AI95+mortgage[[#This Row],[Principal]]+mortgage[[#This Row],[Extra Payment Towards Equity]]</f>
        <v>602995.30794004421</v>
      </c>
      <c r="AJ96" s="180">
        <f>mortgage[[#This Row],[Cumulative Equity (EOY)]]/purchase_price</f>
        <v>1.0049921799000736</v>
      </c>
      <c r="AK96" s="180">
        <f>mortgage[[#This Row],[Loan Balance (BOY)]]/mortgage[[#This Row],[Est. Home Value (EOY)]]</f>
        <v>0</v>
      </c>
      <c r="AL96" s="4">
        <f t="shared" si="8"/>
        <v>0</v>
      </c>
      <c r="AM96" s="4">
        <f>SUM(mortgage[[#This Row],[Property Taxes]],mortgage[[#This Row],[PMI]],mortgage[[#This Row],[Homeowners Insurance]],mortgage[[#This Row],[Routine Maintenance]],mortgage[[#This Row],[Non-Routine Maintenance]])</f>
        <v>155997.52174960804</v>
      </c>
      <c r="AN96" s="160">
        <f>mortgage[[#This Row],[Total Annual Indirect Housing Expenses]]+AN95</f>
        <v>4908301.5800698726</v>
      </c>
    </row>
    <row r="97" spans="9:40" x14ac:dyDescent="0.25">
      <c r="I97">
        <v>81</v>
      </c>
      <c r="J97">
        <f t="shared" si="9"/>
        <v>2102</v>
      </c>
      <c r="K97" s="198">
        <f>IF(mortgage[[#This Row],[Calendar Year]]&gt;=$C$8,mortgage[[#This Row],[Calendar Year]],NA())</f>
        <v>2102</v>
      </c>
      <c r="L97" s="198" t="e">
        <f>IF((mortgage[[#This Row],[Calendar Year]]&gt;=$C$8)*(mortgage[[#This Row],[Calendar Year]]&lt;=$C$10),mortgage[[#This Row],[Calendar Year]],NA())</f>
        <v>#N/A</v>
      </c>
      <c r="M97" s="214" t="e">
        <f>IF((mortgage[[#This Row],[Calendar Year]]&gt;=$C$8)*(mortgage[[#This Row],[Calendar Year]]&lt;=$C$10),mortgage[[#This Row],[Loan Balance (BOY)]],NA())</f>
        <v>#N/A</v>
      </c>
      <c r="N97" s="214" t="e">
        <f>IF((mortgage[[#This Row],[Begin Year (Range)]]&gt;=$C$8)*(mortgage[[#This Row],[Begin Year (Range)]]&lt;=$C$10),mortgage[[#This Row],[Cumulative Interest (EOY)]],NA())</f>
        <v>#N/A</v>
      </c>
      <c r="O97" s="214" t="e">
        <f>IF((mortgage[[#This Row],[Year (Range)]]&gt;=$C$8)*(mortgage[[#This Row],[Year (Range)]]&lt;=$C$10),mortgage[[#This Row],[Cumulative Principal (EOY)]],NA())</f>
        <v>#N/A</v>
      </c>
      <c r="P97" s="214" t="e">
        <f>IF((mortgage[[#This Row],[Year (Range)]]&gt;=$C$8)*(mortgage[[#This Row],[Year (Range)]]&lt;=$C$10),mortgage[[#This Row],[Cumulative Appreciation (EOY)]],NA())</f>
        <v>#N/A</v>
      </c>
      <c r="Q97" s="214" t="e">
        <f>IF((mortgage[[#This Row],[Year (Range)]]&gt;=$C$8)*(mortgage[[#This Row],[Year (Range)]]&lt;=$C$10),mortgage[[#This Row],[Cumulative Equity (EOY)]],NA())</f>
        <v>#N/A</v>
      </c>
      <c r="R97" s="214" t="e">
        <f>IF((mortgage[[#This Row],[Year (Range)]]&gt;=$C$8)*(mortgage[[#This Row],[Year (Range)]]&lt;=$C$10),mortgage[[#This Row],[Cumulative Total Indirect Housing Expenses]],NA())</f>
        <v>#N/A</v>
      </c>
      <c r="S97" s="214" t="e">
        <f>IF((mortgage[[#This Row],[Year (Range)]]&gt;=$C$8)*(mortgage[[#This Row],[Year (Range)]]&lt;=$C$10),mortgage[[#This Row],[Total Annual Indirect Housing Expenses]],NA())</f>
        <v>#N/A</v>
      </c>
      <c r="T97" s="214" t="e">
        <f>IF((mortgage[[#This Row],[Year (Range)]]&gt;=$C$8)*(mortgage[[#This Row],[Year (Range)]]&lt;=$C$10),mortgage[[#This Row],[Est. Home Value (EOY)]],NA())</f>
        <v>#N/A</v>
      </c>
      <c r="U97" s="164">
        <f>IF(U96&lt;W96,0,IF(I97&lt;='Data Entry'!$F$9,(U96-(W96+X96)),0))</f>
        <v>0</v>
      </c>
      <c r="V97" s="183">
        <f>SUMIF(monthly_mortgage_schedule[Calendar Year],mortgage[[#This Row],[Calendar Year]],monthly_mortgage_schedule[Interest With Extra Principal Payments])</f>
        <v>0</v>
      </c>
      <c r="W97" s="4">
        <f>SUMIF(monthly_mortgage_schedule[Calendar Year],mortgage[[#This Row],[Calendar Year]],monthly_mortgage_schedule[Principal With Extra Principal Payments])</f>
        <v>0</v>
      </c>
      <c r="X97" s="4">
        <f>SUMIF(monthly_mortgage_schedule[Calendar Year],mortgage[[#This Row],[Calendar Year]],monthly_mortgage_schedule[Extra Payments Towards Equity])</f>
        <v>0</v>
      </c>
      <c r="Y97" s="4">
        <f>Y96*(1+'Data Entry'!$C$8)</f>
        <v>85127.124451441749</v>
      </c>
      <c r="Z97" s="4">
        <f>SUMIF(monthly_mortgage_schedule[Calendar Year],mortgage[[#This Row],[Calendar Year]],monthly_mortgage_schedule[PMI with Additional Payments])</f>
        <v>0</v>
      </c>
      <c r="AA97" s="4">
        <f>mortgage[[#This Row],[Interest]]+mortgage[[#This Row],[Property Taxes]]</f>
        <v>85127.124451441749</v>
      </c>
      <c r="AB97" s="4">
        <f>AB96*(1+'Data Entry'!$C$10)</f>
        <v>11704.979612073243</v>
      </c>
      <c r="AC97" s="4">
        <f>AC96*(1+'Data Entry'!$C$9)</f>
        <v>63845.34333858129</v>
      </c>
      <c r="AD97" s="4">
        <f>SUMIF(nonroutine_maintenance_expenses[Year (YYYY)],mortgage[[#This Row],[Calendar Year]],nonroutine_maintenance_expenses[Amount ($)])</f>
        <v>0</v>
      </c>
      <c r="AE97" s="4">
        <f>AE96*(1+'Data Entry'!C$7)</f>
        <v>9405442.5238202736</v>
      </c>
      <c r="AF97" s="4">
        <f t="shared" si="10"/>
        <v>9134633.0121539831</v>
      </c>
      <c r="AG97" s="4">
        <f>mortgage[[#This Row],[Principal]]+mortgage[[#This Row],[Extra Payment Towards Equity]]+AG96</f>
        <v>542995.30794004421</v>
      </c>
      <c r="AH97" s="4">
        <f t="shared" si="11"/>
        <v>506863.32958102686</v>
      </c>
      <c r="AI97" s="4">
        <f>AI96+mortgage[[#This Row],[Principal]]+mortgage[[#This Row],[Extra Payment Towards Equity]]</f>
        <v>602995.30794004421</v>
      </c>
      <c r="AJ97" s="180">
        <f>mortgage[[#This Row],[Cumulative Equity (EOY)]]/purchase_price</f>
        <v>1.0049921799000736</v>
      </c>
      <c r="AK97" s="180">
        <f>mortgage[[#This Row],[Loan Balance (BOY)]]/mortgage[[#This Row],[Est. Home Value (EOY)]]</f>
        <v>0</v>
      </c>
      <c r="AL97" s="4">
        <f t="shared" si="8"/>
        <v>0</v>
      </c>
      <c r="AM97" s="4">
        <f>SUM(mortgage[[#This Row],[Property Taxes]],mortgage[[#This Row],[PMI]],mortgage[[#This Row],[Homeowners Insurance]],mortgage[[#This Row],[Routine Maintenance]],mortgage[[#This Row],[Non-Routine Maintenance]])</f>
        <v>160677.4474020963</v>
      </c>
      <c r="AN97" s="160">
        <f>mortgage[[#This Row],[Total Annual Indirect Housing Expenses]]+AN96</f>
        <v>5068979.0274719689</v>
      </c>
    </row>
    <row r="98" spans="9:40" x14ac:dyDescent="0.25">
      <c r="I98">
        <v>82</v>
      </c>
      <c r="J98">
        <f t="shared" si="9"/>
        <v>2103</v>
      </c>
      <c r="K98" s="198">
        <f>IF(mortgage[[#This Row],[Calendar Year]]&gt;=$C$8,mortgage[[#This Row],[Calendar Year]],NA())</f>
        <v>2103</v>
      </c>
      <c r="L98" s="198" t="e">
        <f>IF((mortgage[[#This Row],[Calendar Year]]&gt;=$C$8)*(mortgage[[#This Row],[Calendar Year]]&lt;=$C$10),mortgage[[#This Row],[Calendar Year]],NA())</f>
        <v>#N/A</v>
      </c>
      <c r="M98" s="214" t="e">
        <f>IF((mortgage[[#This Row],[Calendar Year]]&gt;=$C$8)*(mortgage[[#This Row],[Calendar Year]]&lt;=$C$10),mortgage[[#This Row],[Loan Balance (BOY)]],NA())</f>
        <v>#N/A</v>
      </c>
      <c r="N98" s="214" t="e">
        <f>IF((mortgage[[#This Row],[Begin Year (Range)]]&gt;=$C$8)*(mortgage[[#This Row],[Begin Year (Range)]]&lt;=$C$10),mortgage[[#This Row],[Cumulative Interest (EOY)]],NA())</f>
        <v>#N/A</v>
      </c>
      <c r="O98" s="214" t="e">
        <f>IF((mortgage[[#This Row],[Year (Range)]]&gt;=$C$8)*(mortgage[[#This Row],[Year (Range)]]&lt;=$C$10),mortgage[[#This Row],[Cumulative Principal (EOY)]],NA())</f>
        <v>#N/A</v>
      </c>
      <c r="P98" s="214" t="e">
        <f>IF((mortgage[[#This Row],[Year (Range)]]&gt;=$C$8)*(mortgage[[#This Row],[Year (Range)]]&lt;=$C$10),mortgage[[#This Row],[Cumulative Appreciation (EOY)]],NA())</f>
        <v>#N/A</v>
      </c>
      <c r="Q98" s="214" t="e">
        <f>IF((mortgage[[#This Row],[Year (Range)]]&gt;=$C$8)*(mortgage[[#This Row],[Year (Range)]]&lt;=$C$10),mortgage[[#This Row],[Cumulative Equity (EOY)]],NA())</f>
        <v>#N/A</v>
      </c>
      <c r="R98" s="214" t="e">
        <f>IF((mortgage[[#This Row],[Year (Range)]]&gt;=$C$8)*(mortgage[[#This Row],[Year (Range)]]&lt;=$C$10),mortgage[[#This Row],[Cumulative Total Indirect Housing Expenses]],NA())</f>
        <v>#N/A</v>
      </c>
      <c r="S98" s="214" t="e">
        <f>IF((mortgage[[#This Row],[Year (Range)]]&gt;=$C$8)*(mortgage[[#This Row],[Year (Range)]]&lt;=$C$10),mortgage[[#This Row],[Total Annual Indirect Housing Expenses]],NA())</f>
        <v>#N/A</v>
      </c>
      <c r="T98" s="214" t="e">
        <f>IF((mortgage[[#This Row],[Year (Range)]]&gt;=$C$8)*(mortgage[[#This Row],[Year (Range)]]&lt;=$C$10),mortgage[[#This Row],[Est. Home Value (EOY)]],NA())</f>
        <v>#N/A</v>
      </c>
      <c r="U98" s="164">
        <f>IF(U97&lt;W97,0,IF(I98&lt;='Data Entry'!$F$9,(U97-(W97+X97)),0))</f>
        <v>0</v>
      </c>
      <c r="V98" s="183">
        <f>SUMIF(monthly_mortgage_schedule[Calendar Year],mortgage[[#This Row],[Calendar Year]],monthly_mortgage_schedule[Interest With Extra Principal Payments])</f>
        <v>0</v>
      </c>
      <c r="W98" s="4">
        <f>SUMIF(monthly_mortgage_schedule[Calendar Year],mortgage[[#This Row],[Calendar Year]],monthly_mortgage_schedule[Principal With Extra Principal Payments])</f>
        <v>0</v>
      </c>
      <c r="X98" s="4">
        <f>SUMIF(monthly_mortgage_schedule[Calendar Year],mortgage[[#This Row],[Calendar Year]],monthly_mortgage_schedule[Extra Payments Towards Equity])</f>
        <v>0</v>
      </c>
      <c r="Y98" s="4">
        <f>Y97*(1+'Data Entry'!$C$8)</f>
        <v>87680.938184985003</v>
      </c>
      <c r="Z98" s="4">
        <f>SUMIF(monthly_mortgage_schedule[Calendar Year],mortgage[[#This Row],[Calendar Year]],monthly_mortgage_schedule[PMI with Additional Payments])</f>
        <v>0</v>
      </c>
      <c r="AA98" s="4">
        <f>mortgage[[#This Row],[Interest]]+mortgage[[#This Row],[Property Taxes]]</f>
        <v>87680.938184985003</v>
      </c>
      <c r="AB98" s="4">
        <f>AB97*(1+'Data Entry'!$C$10)</f>
        <v>12056.12900043544</v>
      </c>
      <c r="AC98" s="4">
        <f>AC97*(1+'Data Entry'!$C$9)</f>
        <v>65760.703638738734</v>
      </c>
      <c r="AD98" s="4">
        <f>SUMIF(nonroutine_maintenance_expenses[Year (YYYY)],mortgage[[#This Row],[Calendar Year]],nonroutine_maintenance_expenses[Amount ($)])</f>
        <v>0</v>
      </c>
      <c r="AE98" s="4">
        <f>AE97*(1+'Data Entry'!C$7)</f>
        <v>9734633.0121539831</v>
      </c>
      <c r="AF98" s="4">
        <f t="shared" si="10"/>
        <v>9475345.1675793715</v>
      </c>
      <c r="AG98" s="4">
        <f>mortgage[[#This Row],[Principal]]+mortgage[[#This Row],[Extra Payment Towards Equity]]+AG97</f>
        <v>542995.30794004421</v>
      </c>
      <c r="AH98" s="4">
        <f t="shared" si="11"/>
        <v>506863.32958102686</v>
      </c>
      <c r="AI98" s="4">
        <f>AI97+mortgage[[#This Row],[Principal]]+mortgage[[#This Row],[Extra Payment Towards Equity]]</f>
        <v>602995.30794004421</v>
      </c>
      <c r="AJ98" s="180">
        <f>mortgage[[#This Row],[Cumulative Equity (EOY)]]/purchase_price</f>
        <v>1.0049921799000736</v>
      </c>
      <c r="AK98" s="180">
        <f>mortgage[[#This Row],[Loan Balance (BOY)]]/mortgage[[#This Row],[Est. Home Value (EOY)]]</f>
        <v>0</v>
      </c>
      <c r="AL98" s="4">
        <f t="shared" si="8"/>
        <v>0</v>
      </c>
      <c r="AM98" s="4">
        <f>SUM(mortgage[[#This Row],[Property Taxes]],mortgage[[#This Row],[PMI]],mortgage[[#This Row],[Homeowners Insurance]],mortgage[[#This Row],[Routine Maintenance]],mortgage[[#This Row],[Non-Routine Maintenance]])</f>
        <v>165497.77082415918</v>
      </c>
      <c r="AN98" s="160">
        <f>mortgage[[#This Row],[Total Annual Indirect Housing Expenses]]+AN97</f>
        <v>5234476.7982961284</v>
      </c>
    </row>
    <row r="99" spans="9:40" x14ac:dyDescent="0.25">
      <c r="I99">
        <v>83</v>
      </c>
      <c r="J99">
        <f t="shared" si="9"/>
        <v>2104</v>
      </c>
      <c r="K99" s="198">
        <f>IF(mortgage[[#This Row],[Calendar Year]]&gt;=$C$8,mortgage[[#This Row],[Calendar Year]],NA())</f>
        <v>2104</v>
      </c>
      <c r="L99" s="198" t="e">
        <f>IF((mortgage[[#This Row],[Calendar Year]]&gt;=$C$8)*(mortgage[[#This Row],[Calendar Year]]&lt;=$C$10),mortgage[[#This Row],[Calendar Year]],NA())</f>
        <v>#N/A</v>
      </c>
      <c r="M99" s="214" t="e">
        <f>IF((mortgage[[#This Row],[Calendar Year]]&gt;=$C$8)*(mortgage[[#This Row],[Calendar Year]]&lt;=$C$10),mortgage[[#This Row],[Loan Balance (BOY)]],NA())</f>
        <v>#N/A</v>
      </c>
      <c r="N99" s="214" t="e">
        <f>IF((mortgage[[#This Row],[Begin Year (Range)]]&gt;=$C$8)*(mortgage[[#This Row],[Begin Year (Range)]]&lt;=$C$10),mortgage[[#This Row],[Cumulative Interest (EOY)]],NA())</f>
        <v>#N/A</v>
      </c>
      <c r="O99" s="214" t="e">
        <f>IF((mortgage[[#This Row],[Year (Range)]]&gt;=$C$8)*(mortgage[[#This Row],[Year (Range)]]&lt;=$C$10),mortgage[[#This Row],[Cumulative Principal (EOY)]],NA())</f>
        <v>#N/A</v>
      </c>
      <c r="P99" s="214" t="e">
        <f>IF((mortgage[[#This Row],[Year (Range)]]&gt;=$C$8)*(mortgage[[#This Row],[Year (Range)]]&lt;=$C$10),mortgage[[#This Row],[Cumulative Appreciation (EOY)]],NA())</f>
        <v>#N/A</v>
      </c>
      <c r="Q99" s="214" t="e">
        <f>IF((mortgage[[#This Row],[Year (Range)]]&gt;=$C$8)*(mortgage[[#This Row],[Year (Range)]]&lt;=$C$10),mortgage[[#This Row],[Cumulative Equity (EOY)]],NA())</f>
        <v>#N/A</v>
      </c>
      <c r="R99" s="214" t="e">
        <f>IF((mortgage[[#This Row],[Year (Range)]]&gt;=$C$8)*(mortgage[[#This Row],[Year (Range)]]&lt;=$C$10),mortgage[[#This Row],[Cumulative Total Indirect Housing Expenses]],NA())</f>
        <v>#N/A</v>
      </c>
      <c r="S99" s="214" t="e">
        <f>IF((mortgage[[#This Row],[Year (Range)]]&gt;=$C$8)*(mortgage[[#This Row],[Year (Range)]]&lt;=$C$10),mortgage[[#This Row],[Total Annual Indirect Housing Expenses]],NA())</f>
        <v>#N/A</v>
      </c>
      <c r="T99" s="214" t="e">
        <f>IF((mortgage[[#This Row],[Year (Range)]]&gt;=$C$8)*(mortgage[[#This Row],[Year (Range)]]&lt;=$C$10),mortgage[[#This Row],[Est. Home Value (EOY)]],NA())</f>
        <v>#N/A</v>
      </c>
      <c r="U99" s="164">
        <f>IF(U98&lt;W98,0,IF(I99&lt;='Data Entry'!$F$9,(U98-(W98+X98)),0))</f>
        <v>0</v>
      </c>
      <c r="V99" s="183">
        <f>SUMIF(monthly_mortgage_schedule[Calendar Year],mortgage[[#This Row],[Calendar Year]],monthly_mortgage_schedule[Interest With Extra Principal Payments])</f>
        <v>0</v>
      </c>
      <c r="W99" s="4">
        <f>SUMIF(monthly_mortgage_schedule[Calendar Year],mortgage[[#This Row],[Calendar Year]],monthly_mortgage_schedule[Principal With Extra Principal Payments])</f>
        <v>0</v>
      </c>
      <c r="X99" s="4">
        <f>SUMIF(monthly_mortgage_schedule[Calendar Year],mortgage[[#This Row],[Calendar Year]],monthly_mortgage_schedule[Extra Payments Towards Equity])</f>
        <v>0</v>
      </c>
      <c r="Y99" s="4">
        <f>Y98*(1+'Data Entry'!$C$8)</f>
        <v>90311.366330534554</v>
      </c>
      <c r="Z99" s="4">
        <f>SUMIF(monthly_mortgage_schedule[Calendar Year],mortgage[[#This Row],[Calendar Year]],monthly_mortgage_schedule[PMI with Additional Payments])</f>
        <v>0</v>
      </c>
      <c r="AA99" s="4">
        <f>mortgage[[#This Row],[Interest]]+mortgage[[#This Row],[Property Taxes]]</f>
        <v>90311.366330534554</v>
      </c>
      <c r="AB99" s="4">
        <f>AB98*(1+'Data Entry'!$C$10)</f>
        <v>12417.812870448503</v>
      </c>
      <c r="AC99" s="4">
        <f>AC98*(1+'Data Entry'!$C$9)</f>
        <v>67733.524747900898</v>
      </c>
      <c r="AD99" s="4">
        <f>SUMIF(nonroutine_maintenance_expenses[Year (YYYY)],mortgage[[#This Row],[Calendar Year]],nonroutine_maintenance_expenses[Amount ($)])</f>
        <v>0</v>
      </c>
      <c r="AE99" s="4">
        <f>AE98*(1+'Data Entry'!C$7)</f>
        <v>10075345.167579371</v>
      </c>
      <c r="AF99" s="4">
        <f t="shared" si="10"/>
        <v>9827982.2484446485</v>
      </c>
      <c r="AG99" s="4">
        <f>mortgage[[#This Row],[Principal]]+mortgage[[#This Row],[Extra Payment Towards Equity]]+AG98</f>
        <v>542995.30794004421</v>
      </c>
      <c r="AH99" s="4">
        <f t="shared" si="11"/>
        <v>506863.32958102686</v>
      </c>
      <c r="AI99" s="4">
        <f>AI98+mortgage[[#This Row],[Principal]]+mortgage[[#This Row],[Extra Payment Towards Equity]]</f>
        <v>602995.30794004421</v>
      </c>
      <c r="AJ99" s="180">
        <f>mortgage[[#This Row],[Cumulative Equity (EOY)]]/purchase_price</f>
        <v>1.0049921799000736</v>
      </c>
      <c r="AK99" s="180">
        <f>mortgage[[#This Row],[Loan Balance (BOY)]]/mortgage[[#This Row],[Est. Home Value (EOY)]]</f>
        <v>0</v>
      </c>
      <c r="AL99" s="4">
        <f t="shared" si="8"/>
        <v>0</v>
      </c>
      <c r="AM99" s="4">
        <f>SUM(mortgage[[#This Row],[Property Taxes]],mortgage[[#This Row],[PMI]],mortgage[[#This Row],[Homeowners Insurance]],mortgage[[#This Row],[Routine Maintenance]],mortgage[[#This Row],[Non-Routine Maintenance]])</f>
        <v>170462.70394888395</v>
      </c>
      <c r="AN99" s="160">
        <f>mortgage[[#This Row],[Total Annual Indirect Housing Expenses]]+AN98</f>
        <v>5404939.5022450127</v>
      </c>
    </row>
    <row r="100" spans="9:40" x14ac:dyDescent="0.25">
      <c r="I100">
        <v>84</v>
      </c>
      <c r="J100">
        <f t="shared" si="9"/>
        <v>2105</v>
      </c>
      <c r="K100" s="198">
        <f>IF(mortgage[[#This Row],[Calendar Year]]&gt;=$C$8,mortgage[[#This Row],[Calendar Year]],NA())</f>
        <v>2105</v>
      </c>
      <c r="L100" s="198" t="e">
        <f>IF((mortgage[[#This Row],[Calendar Year]]&gt;=$C$8)*(mortgage[[#This Row],[Calendar Year]]&lt;=$C$10),mortgage[[#This Row],[Calendar Year]],NA())</f>
        <v>#N/A</v>
      </c>
      <c r="M100" s="214" t="e">
        <f>IF((mortgage[[#This Row],[Calendar Year]]&gt;=$C$8)*(mortgage[[#This Row],[Calendar Year]]&lt;=$C$10),mortgage[[#This Row],[Loan Balance (BOY)]],NA())</f>
        <v>#N/A</v>
      </c>
      <c r="N100" s="214" t="e">
        <f>IF((mortgage[[#This Row],[Begin Year (Range)]]&gt;=$C$8)*(mortgage[[#This Row],[Begin Year (Range)]]&lt;=$C$10),mortgage[[#This Row],[Cumulative Interest (EOY)]],NA())</f>
        <v>#N/A</v>
      </c>
      <c r="O100" s="214" t="e">
        <f>IF((mortgage[[#This Row],[Year (Range)]]&gt;=$C$8)*(mortgage[[#This Row],[Year (Range)]]&lt;=$C$10),mortgage[[#This Row],[Cumulative Principal (EOY)]],NA())</f>
        <v>#N/A</v>
      </c>
      <c r="P100" s="214" t="e">
        <f>IF((mortgage[[#This Row],[Year (Range)]]&gt;=$C$8)*(mortgage[[#This Row],[Year (Range)]]&lt;=$C$10),mortgage[[#This Row],[Cumulative Appreciation (EOY)]],NA())</f>
        <v>#N/A</v>
      </c>
      <c r="Q100" s="214" t="e">
        <f>IF((mortgage[[#This Row],[Year (Range)]]&gt;=$C$8)*(mortgage[[#This Row],[Year (Range)]]&lt;=$C$10),mortgage[[#This Row],[Cumulative Equity (EOY)]],NA())</f>
        <v>#N/A</v>
      </c>
      <c r="R100" s="214" t="e">
        <f>IF((mortgage[[#This Row],[Year (Range)]]&gt;=$C$8)*(mortgage[[#This Row],[Year (Range)]]&lt;=$C$10),mortgage[[#This Row],[Cumulative Total Indirect Housing Expenses]],NA())</f>
        <v>#N/A</v>
      </c>
      <c r="S100" s="214" t="e">
        <f>IF((mortgage[[#This Row],[Year (Range)]]&gt;=$C$8)*(mortgage[[#This Row],[Year (Range)]]&lt;=$C$10),mortgage[[#This Row],[Total Annual Indirect Housing Expenses]],NA())</f>
        <v>#N/A</v>
      </c>
      <c r="T100" s="214" t="e">
        <f>IF((mortgage[[#This Row],[Year (Range)]]&gt;=$C$8)*(mortgage[[#This Row],[Year (Range)]]&lt;=$C$10),mortgage[[#This Row],[Est. Home Value (EOY)]],NA())</f>
        <v>#N/A</v>
      </c>
      <c r="U100" s="164">
        <f>IF(U99&lt;W99,0,IF(I100&lt;='Data Entry'!$F$9,(U99-(W99+X99)),0))</f>
        <v>0</v>
      </c>
      <c r="V100" s="183">
        <f>SUMIF(monthly_mortgage_schedule[Calendar Year],mortgage[[#This Row],[Calendar Year]],monthly_mortgage_schedule[Interest With Extra Principal Payments])</f>
        <v>0</v>
      </c>
      <c r="W100" s="4">
        <f>SUMIF(monthly_mortgage_schedule[Calendar Year],mortgage[[#This Row],[Calendar Year]],monthly_mortgage_schedule[Principal With Extra Principal Payments])</f>
        <v>0</v>
      </c>
      <c r="X100" s="4">
        <f>SUMIF(monthly_mortgage_schedule[Calendar Year],mortgage[[#This Row],[Calendar Year]],monthly_mortgage_schedule[Extra Payments Towards Equity])</f>
        <v>0</v>
      </c>
      <c r="Y100" s="4">
        <f>Y99*(1+'Data Entry'!$C$8)</f>
        <v>93020.707320450587</v>
      </c>
      <c r="Z100" s="4">
        <f>SUMIF(monthly_mortgage_schedule[Calendar Year],mortgage[[#This Row],[Calendar Year]],monthly_mortgage_schedule[PMI with Additional Payments])</f>
        <v>0</v>
      </c>
      <c r="AA100" s="4">
        <f>mortgage[[#This Row],[Interest]]+mortgage[[#This Row],[Property Taxes]]</f>
        <v>93020.707320450587</v>
      </c>
      <c r="AB100" s="4">
        <f>AB99*(1+'Data Entry'!$C$10)</f>
        <v>12790.347256561958</v>
      </c>
      <c r="AC100" s="4">
        <f>AC99*(1+'Data Entry'!$C$9)</f>
        <v>69765.530490337929</v>
      </c>
      <c r="AD100" s="4">
        <f>SUMIF(nonroutine_maintenance_expenses[Year (YYYY)],mortgage[[#This Row],[Calendar Year]],nonroutine_maintenance_expenses[Amount ($)])</f>
        <v>0</v>
      </c>
      <c r="AE100" s="4">
        <f>AE99*(1+'Data Entry'!C$7)</f>
        <v>10427982.248444648</v>
      </c>
      <c r="AF100" s="4">
        <f t="shared" si="10"/>
        <v>10192961.627140211</v>
      </c>
      <c r="AG100" s="4">
        <f>mortgage[[#This Row],[Principal]]+mortgage[[#This Row],[Extra Payment Towards Equity]]+AG99</f>
        <v>542995.30794004421</v>
      </c>
      <c r="AH100" s="4">
        <f t="shared" si="11"/>
        <v>506863.32958102686</v>
      </c>
      <c r="AI100" s="4">
        <f>AI99+mortgage[[#This Row],[Principal]]+mortgage[[#This Row],[Extra Payment Towards Equity]]</f>
        <v>602995.30794004421</v>
      </c>
      <c r="AJ100" s="180">
        <f>mortgage[[#This Row],[Cumulative Equity (EOY)]]/purchase_price</f>
        <v>1.0049921799000736</v>
      </c>
      <c r="AK100" s="180">
        <f>mortgage[[#This Row],[Loan Balance (BOY)]]/mortgage[[#This Row],[Est. Home Value (EOY)]]</f>
        <v>0</v>
      </c>
      <c r="AL100" s="4">
        <f t="shared" si="8"/>
        <v>0</v>
      </c>
      <c r="AM100" s="4">
        <f>SUM(mortgage[[#This Row],[Property Taxes]],mortgage[[#This Row],[PMI]],mortgage[[#This Row],[Homeowners Insurance]],mortgage[[#This Row],[Routine Maintenance]],mortgage[[#This Row],[Non-Routine Maintenance]])</f>
        <v>175576.58506735048</v>
      </c>
      <c r="AN100" s="160">
        <f>mortgage[[#This Row],[Total Annual Indirect Housing Expenses]]+AN99</f>
        <v>5580516.0873123631</v>
      </c>
    </row>
    <row r="101" spans="9:40" x14ac:dyDescent="0.25">
      <c r="I101">
        <v>85</v>
      </c>
      <c r="J101">
        <f t="shared" si="9"/>
        <v>2106</v>
      </c>
      <c r="K101" s="198">
        <f>IF(mortgage[[#This Row],[Calendar Year]]&gt;=$C$8,mortgage[[#This Row],[Calendar Year]],NA())</f>
        <v>2106</v>
      </c>
      <c r="L101" s="198" t="e">
        <f>IF((mortgage[[#This Row],[Calendar Year]]&gt;=$C$8)*(mortgage[[#This Row],[Calendar Year]]&lt;=$C$10),mortgage[[#This Row],[Calendar Year]],NA())</f>
        <v>#N/A</v>
      </c>
      <c r="M101" s="214" t="e">
        <f>IF((mortgage[[#This Row],[Calendar Year]]&gt;=$C$8)*(mortgage[[#This Row],[Calendar Year]]&lt;=$C$10),mortgage[[#This Row],[Loan Balance (BOY)]],NA())</f>
        <v>#N/A</v>
      </c>
      <c r="N101" s="214" t="e">
        <f>IF((mortgage[[#This Row],[Begin Year (Range)]]&gt;=$C$8)*(mortgage[[#This Row],[Begin Year (Range)]]&lt;=$C$10),mortgage[[#This Row],[Cumulative Interest (EOY)]],NA())</f>
        <v>#N/A</v>
      </c>
      <c r="O101" s="214" t="e">
        <f>IF((mortgage[[#This Row],[Year (Range)]]&gt;=$C$8)*(mortgage[[#This Row],[Year (Range)]]&lt;=$C$10),mortgage[[#This Row],[Cumulative Principal (EOY)]],NA())</f>
        <v>#N/A</v>
      </c>
      <c r="P101" s="214" t="e">
        <f>IF((mortgage[[#This Row],[Year (Range)]]&gt;=$C$8)*(mortgage[[#This Row],[Year (Range)]]&lt;=$C$10),mortgage[[#This Row],[Cumulative Appreciation (EOY)]],NA())</f>
        <v>#N/A</v>
      </c>
      <c r="Q101" s="214" t="e">
        <f>IF((mortgage[[#This Row],[Year (Range)]]&gt;=$C$8)*(mortgage[[#This Row],[Year (Range)]]&lt;=$C$10),mortgage[[#This Row],[Cumulative Equity (EOY)]],NA())</f>
        <v>#N/A</v>
      </c>
      <c r="R101" s="214" t="e">
        <f>IF((mortgage[[#This Row],[Year (Range)]]&gt;=$C$8)*(mortgage[[#This Row],[Year (Range)]]&lt;=$C$10),mortgage[[#This Row],[Cumulative Total Indirect Housing Expenses]],NA())</f>
        <v>#N/A</v>
      </c>
      <c r="S101" s="214" t="e">
        <f>IF((mortgage[[#This Row],[Year (Range)]]&gt;=$C$8)*(mortgage[[#This Row],[Year (Range)]]&lt;=$C$10),mortgage[[#This Row],[Total Annual Indirect Housing Expenses]],NA())</f>
        <v>#N/A</v>
      </c>
      <c r="T101" s="214" t="e">
        <f>IF((mortgage[[#This Row],[Year (Range)]]&gt;=$C$8)*(mortgage[[#This Row],[Year (Range)]]&lt;=$C$10),mortgage[[#This Row],[Est. Home Value (EOY)]],NA())</f>
        <v>#N/A</v>
      </c>
      <c r="U101" s="164">
        <f>IF(U100&lt;W100,0,IF(I101&lt;='Data Entry'!$F$9,(U100-(W100+X100)),0))</f>
        <v>0</v>
      </c>
      <c r="V101" s="183">
        <f>SUMIF(monthly_mortgage_schedule[Calendar Year],mortgage[[#This Row],[Calendar Year]],monthly_mortgage_schedule[Interest With Extra Principal Payments])</f>
        <v>0</v>
      </c>
      <c r="W101" s="4">
        <f>SUMIF(monthly_mortgage_schedule[Calendar Year],mortgage[[#This Row],[Calendar Year]],monthly_mortgage_schedule[Principal With Extra Principal Payments])</f>
        <v>0</v>
      </c>
      <c r="X101" s="4">
        <f>SUMIF(monthly_mortgage_schedule[Calendar Year],mortgage[[#This Row],[Calendar Year]],monthly_mortgage_schedule[Extra Payments Towards Equity])</f>
        <v>0</v>
      </c>
      <c r="Y101" s="4">
        <f>Y100*(1+'Data Entry'!$C$8)</f>
        <v>95811.328540064103</v>
      </c>
      <c r="Z101" s="4">
        <f>SUMIF(monthly_mortgage_schedule[Calendar Year],mortgage[[#This Row],[Calendar Year]],monthly_mortgage_schedule[PMI with Additional Payments])</f>
        <v>0</v>
      </c>
      <c r="AA101" s="4">
        <f>mortgage[[#This Row],[Interest]]+mortgage[[#This Row],[Property Taxes]]</f>
        <v>95811.328540064103</v>
      </c>
      <c r="AB101" s="4">
        <f>AB100*(1+'Data Entry'!$C$10)</f>
        <v>13174.057674258816</v>
      </c>
      <c r="AC101" s="4">
        <f>AC100*(1+'Data Entry'!$C$9)</f>
        <v>71858.496405048063</v>
      </c>
      <c r="AD101" s="4">
        <f>SUMIF(nonroutine_maintenance_expenses[Year (YYYY)],mortgage[[#This Row],[Calendar Year]],nonroutine_maintenance_expenses[Amount ($)])</f>
        <v>0</v>
      </c>
      <c r="AE101" s="4">
        <f>AE100*(1+'Data Entry'!C$7)</f>
        <v>10792961.627140211</v>
      </c>
      <c r="AF101" s="4">
        <f t="shared" si="10"/>
        <v>10570715.284090117</v>
      </c>
      <c r="AG101" s="4">
        <f>mortgage[[#This Row],[Principal]]+mortgage[[#This Row],[Extra Payment Towards Equity]]+AG100</f>
        <v>542995.30794004421</v>
      </c>
      <c r="AH101" s="4">
        <f t="shared" si="11"/>
        <v>506863.32958102686</v>
      </c>
      <c r="AI101" s="4">
        <f>AI100+mortgage[[#This Row],[Principal]]+mortgage[[#This Row],[Extra Payment Towards Equity]]</f>
        <v>602995.30794004421</v>
      </c>
      <c r="AJ101" s="180">
        <f>mortgage[[#This Row],[Cumulative Equity (EOY)]]/purchase_price</f>
        <v>1.0049921799000736</v>
      </c>
      <c r="AK101" s="180">
        <f>mortgage[[#This Row],[Loan Balance (BOY)]]/mortgage[[#This Row],[Est. Home Value (EOY)]]</f>
        <v>0</v>
      </c>
      <c r="AL101" s="4">
        <f t="shared" si="8"/>
        <v>0</v>
      </c>
      <c r="AM101" s="4">
        <f>SUM(mortgage[[#This Row],[Property Taxes]],mortgage[[#This Row],[PMI]],mortgage[[#This Row],[Homeowners Insurance]],mortgage[[#This Row],[Routine Maintenance]],mortgage[[#This Row],[Non-Routine Maintenance]])</f>
        <v>180843.882619371</v>
      </c>
      <c r="AN101" s="160">
        <f>mortgage[[#This Row],[Total Annual Indirect Housing Expenses]]+AN100</f>
        <v>5761359.9699317338</v>
      </c>
    </row>
    <row r="102" spans="9:40" x14ac:dyDescent="0.25">
      <c r="I102">
        <v>86</v>
      </c>
      <c r="J102">
        <f t="shared" si="9"/>
        <v>2107</v>
      </c>
      <c r="K102" s="198">
        <f>IF(mortgage[[#This Row],[Calendar Year]]&gt;=$C$8,mortgage[[#This Row],[Calendar Year]],NA())</f>
        <v>2107</v>
      </c>
      <c r="L102" s="198" t="e">
        <f>IF((mortgage[[#This Row],[Calendar Year]]&gt;=$C$8)*(mortgage[[#This Row],[Calendar Year]]&lt;=$C$10),mortgage[[#This Row],[Calendar Year]],NA())</f>
        <v>#N/A</v>
      </c>
      <c r="M102" s="214" t="e">
        <f>IF((mortgage[[#This Row],[Calendar Year]]&gt;=$C$8)*(mortgage[[#This Row],[Calendar Year]]&lt;=$C$10),mortgage[[#This Row],[Loan Balance (BOY)]],NA())</f>
        <v>#N/A</v>
      </c>
      <c r="N102" s="214" t="e">
        <f>IF((mortgage[[#This Row],[Begin Year (Range)]]&gt;=$C$8)*(mortgage[[#This Row],[Begin Year (Range)]]&lt;=$C$10),mortgage[[#This Row],[Cumulative Interest (EOY)]],NA())</f>
        <v>#N/A</v>
      </c>
      <c r="O102" s="214" t="e">
        <f>IF((mortgage[[#This Row],[Year (Range)]]&gt;=$C$8)*(mortgage[[#This Row],[Year (Range)]]&lt;=$C$10),mortgage[[#This Row],[Cumulative Principal (EOY)]],NA())</f>
        <v>#N/A</v>
      </c>
      <c r="P102" s="214" t="e">
        <f>IF((mortgage[[#This Row],[Year (Range)]]&gt;=$C$8)*(mortgage[[#This Row],[Year (Range)]]&lt;=$C$10),mortgage[[#This Row],[Cumulative Appreciation (EOY)]],NA())</f>
        <v>#N/A</v>
      </c>
      <c r="Q102" s="214" t="e">
        <f>IF((mortgage[[#This Row],[Year (Range)]]&gt;=$C$8)*(mortgage[[#This Row],[Year (Range)]]&lt;=$C$10),mortgage[[#This Row],[Cumulative Equity (EOY)]],NA())</f>
        <v>#N/A</v>
      </c>
      <c r="R102" s="214" t="e">
        <f>IF((mortgage[[#This Row],[Year (Range)]]&gt;=$C$8)*(mortgage[[#This Row],[Year (Range)]]&lt;=$C$10),mortgage[[#This Row],[Cumulative Total Indirect Housing Expenses]],NA())</f>
        <v>#N/A</v>
      </c>
      <c r="S102" s="214" t="e">
        <f>IF((mortgage[[#This Row],[Year (Range)]]&gt;=$C$8)*(mortgage[[#This Row],[Year (Range)]]&lt;=$C$10),mortgage[[#This Row],[Total Annual Indirect Housing Expenses]],NA())</f>
        <v>#N/A</v>
      </c>
      <c r="T102" s="214" t="e">
        <f>IF((mortgage[[#This Row],[Year (Range)]]&gt;=$C$8)*(mortgage[[#This Row],[Year (Range)]]&lt;=$C$10),mortgage[[#This Row],[Est. Home Value (EOY)]],NA())</f>
        <v>#N/A</v>
      </c>
      <c r="U102" s="164">
        <f>IF(U101&lt;W101,0,IF(I102&lt;='Data Entry'!$F$9,(U101-(W101+X101)),0))</f>
        <v>0</v>
      </c>
      <c r="V102" s="183">
        <f>SUMIF(monthly_mortgage_schedule[Calendar Year],mortgage[[#This Row],[Calendar Year]],monthly_mortgage_schedule[Interest With Extra Principal Payments])</f>
        <v>0</v>
      </c>
      <c r="W102" s="4">
        <f>SUMIF(monthly_mortgage_schedule[Calendar Year],mortgage[[#This Row],[Calendar Year]],monthly_mortgage_schedule[Principal With Extra Principal Payments])</f>
        <v>0</v>
      </c>
      <c r="X102" s="4">
        <f>SUMIF(monthly_mortgage_schedule[Calendar Year],mortgage[[#This Row],[Calendar Year]],monthly_mortgage_schedule[Extra Payments Towards Equity])</f>
        <v>0</v>
      </c>
      <c r="Y102" s="4">
        <f>Y101*(1+'Data Entry'!$C$8)</f>
        <v>98685.668396266032</v>
      </c>
      <c r="Z102" s="4">
        <f>SUMIF(monthly_mortgage_schedule[Calendar Year],mortgage[[#This Row],[Calendar Year]],monthly_mortgage_schedule[PMI with Additional Payments])</f>
        <v>0</v>
      </c>
      <c r="AA102" s="4">
        <f>mortgage[[#This Row],[Interest]]+mortgage[[#This Row],[Property Taxes]]</f>
        <v>98685.668396266032</v>
      </c>
      <c r="AB102" s="4">
        <f>AB101*(1+'Data Entry'!$C$10)</f>
        <v>13569.27940448658</v>
      </c>
      <c r="AC102" s="4">
        <f>AC101*(1+'Data Entry'!$C$9)</f>
        <v>74014.251297199502</v>
      </c>
      <c r="AD102" s="4">
        <f>SUMIF(nonroutine_maintenance_expenses[Year (YYYY)],mortgage[[#This Row],[Calendar Year]],nonroutine_maintenance_expenses[Amount ($)])</f>
        <v>0</v>
      </c>
      <c r="AE102" s="4">
        <f>AE101*(1+'Data Entry'!C$7)</f>
        <v>11170715.284090117</v>
      </c>
      <c r="AF102" s="4">
        <f t="shared" si="10"/>
        <v>10961690.319033271</v>
      </c>
      <c r="AG102" s="4">
        <f>mortgage[[#This Row],[Principal]]+mortgage[[#This Row],[Extra Payment Towards Equity]]+AG101</f>
        <v>542995.30794004421</v>
      </c>
      <c r="AH102" s="4">
        <f t="shared" si="11"/>
        <v>506863.32958102686</v>
      </c>
      <c r="AI102" s="4">
        <f>AI101+mortgage[[#This Row],[Principal]]+mortgage[[#This Row],[Extra Payment Towards Equity]]</f>
        <v>602995.30794004421</v>
      </c>
      <c r="AJ102" s="180">
        <f>mortgage[[#This Row],[Cumulative Equity (EOY)]]/purchase_price</f>
        <v>1.0049921799000736</v>
      </c>
      <c r="AK102" s="180">
        <f>mortgage[[#This Row],[Loan Balance (BOY)]]/mortgage[[#This Row],[Est. Home Value (EOY)]]</f>
        <v>0</v>
      </c>
      <c r="AL102" s="4">
        <f t="shared" si="8"/>
        <v>0</v>
      </c>
      <c r="AM102" s="4">
        <f>SUM(mortgage[[#This Row],[Property Taxes]],mortgage[[#This Row],[PMI]],mortgage[[#This Row],[Homeowners Insurance]],mortgage[[#This Row],[Routine Maintenance]],mortgage[[#This Row],[Non-Routine Maintenance]])</f>
        <v>186269.19909795211</v>
      </c>
      <c r="AN102" s="160">
        <f>mortgage[[#This Row],[Total Annual Indirect Housing Expenses]]+AN101</f>
        <v>5947629.1690296857</v>
      </c>
    </row>
    <row r="103" spans="9:40" x14ac:dyDescent="0.25">
      <c r="I103">
        <v>87</v>
      </c>
      <c r="J103">
        <f t="shared" si="9"/>
        <v>2108</v>
      </c>
      <c r="K103" s="198">
        <f>IF(mortgage[[#This Row],[Calendar Year]]&gt;=$C$8,mortgage[[#This Row],[Calendar Year]],NA())</f>
        <v>2108</v>
      </c>
      <c r="L103" s="198" t="e">
        <f>IF((mortgage[[#This Row],[Calendar Year]]&gt;=$C$8)*(mortgage[[#This Row],[Calendar Year]]&lt;=$C$10),mortgage[[#This Row],[Calendar Year]],NA())</f>
        <v>#N/A</v>
      </c>
      <c r="M103" s="214" t="e">
        <f>IF((mortgage[[#This Row],[Calendar Year]]&gt;=$C$8)*(mortgage[[#This Row],[Calendar Year]]&lt;=$C$10),mortgage[[#This Row],[Loan Balance (BOY)]],NA())</f>
        <v>#N/A</v>
      </c>
      <c r="N103" s="214" t="e">
        <f>IF((mortgage[[#This Row],[Begin Year (Range)]]&gt;=$C$8)*(mortgage[[#This Row],[Begin Year (Range)]]&lt;=$C$10),mortgage[[#This Row],[Cumulative Interest (EOY)]],NA())</f>
        <v>#N/A</v>
      </c>
      <c r="O103" s="214" t="e">
        <f>IF((mortgage[[#This Row],[Year (Range)]]&gt;=$C$8)*(mortgage[[#This Row],[Year (Range)]]&lt;=$C$10),mortgage[[#This Row],[Cumulative Principal (EOY)]],NA())</f>
        <v>#N/A</v>
      </c>
      <c r="P103" s="214" t="e">
        <f>IF((mortgage[[#This Row],[Year (Range)]]&gt;=$C$8)*(mortgage[[#This Row],[Year (Range)]]&lt;=$C$10),mortgage[[#This Row],[Cumulative Appreciation (EOY)]],NA())</f>
        <v>#N/A</v>
      </c>
      <c r="Q103" s="214" t="e">
        <f>IF((mortgage[[#This Row],[Year (Range)]]&gt;=$C$8)*(mortgage[[#This Row],[Year (Range)]]&lt;=$C$10),mortgage[[#This Row],[Cumulative Equity (EOY)]],NA())</f>
        <v>#N/A</v>
      </c>
      <c r="R103" s="214" t="e">
        <f>IF((mortgage[[#This Row],[Year (Range)]]&gt;=$C$8)*(mortgage[[#This Row],[Year (Range)]]&lt;=$C$10),mortgage[[#This Row],[Cumulative Total Indirect Housing Expenses]],NA())</f>
        <v>#N/A</v>
      </c>
      <c r="S103" s="214" t="e">
        <f>IF((mortgage[[#This Row],[Year (Range)]]&gt;=$C$8)*(mortgage[[#This Row],[Year (Range)]]&lt;=$C$10),mortgage[[#This Row],[Total Annual Indirect Housing Expenses]],NA())</f>
        <v>#N/A</v>
      </c>
      <c r="T103" s="214" t="e">
        <f>IF((mortgage[[#This Row],[Year (Range)]]&gt;=$C$8)*(mortgage[[#This Row],[Year (Range)]]&lt;=$C$10),mortgage[[#This Row],[Est. Home Value (EOY)]],NA())</f>
        <v>#N/A</v>
      </c>
      <c r="U103" s="164">
        <f>IF(U102&lt;W102,0,IF(I103&lt;='Data Entry'!$F$9,(U102-(W102+X102)),0))</f>
        <v>0</v>
      </c>
      <c r="V103" s="183">
        <f>SUMIF(monthly_mortgage_schedule[Calendar Year],mortgage[[#This Row],[Calendar Year]],monthly_mortgage_schedule[Interest With Extra Principal Payments])</f>
        <v>0</v>
      </c>
      <c r="W103" s="4">
        <f>SUMIF(monthly_mortgage_schedule[Calendar Year],mortgage[[#This Row],[Calendar Year]],monthly_mortgage_schedule[Principal With Extra Principal Payments])</f>
        <v>0</v>
      </c>
      <c r="X103" s="4">
        <f>SUMIF(monthly_mortgage_schedule[Calendar Year],mortgage[[#This Row],[Calendar Year]],monthly_mortgage_schedule[Extra Payments Towards Equity])</f>
        <v>0</v>
      </c>
      <c r="Y103" s="4">
        <f>Y102*(1+'Data Entry'!$C$8)</f>
        <v>101646.23844815402</v>
      </c>
      <c r="Z103" s="4">
        <f>SUMIF(monthly_mortgage_schedule[Calendar Year],mortgage[[#This Row],[Calendar Year]],monthly_mortgage_schedule[PMI with Additional Payments])</f>
        <v>0</v>
      </c>
      <c r="AA103" s="4">
        <f>mortgage[[#This Row],[Interest]]+mortgage[[#This Row],[Property Taxes]]</f>
        <v>101646.23844815402</v>
      </c>
      <c r="AB103" s="4">
        <f>AB102*(1+'Data Entry'!$C$10)</f>
        <v>13976.357786621178</v>
      </c>
      <c r="AC103" s="4">
        <f>AC102*(1+'Data Entry'!$C$9)</f>
        <v>76234.67883611549</v>
      </c>
      <c r="AD103" s="4">
        <f>SUMIF(nonroutine_maintenance_expenses[Year (YYYY)],mortgage[[#This Row],[Calendar Year]],nonroutine_maintenance_expenses[Amount ($)])</f>
        <v>0</v>
      </c>
      <c r="AE103" s="4">
        <f>AE102*(1+'Data Entry'!C$7)</f>
        <v>11561690.319033271</v>
      </c>
      <c r="AF103" s="4">
        <f t="shared" si="10"/>
        <v>11366349.480199434</v>
      </c>
      <c r="AG103" s="4">
        <f>mortgage[[#This Row],[Principal]]+mortgage[[#This Row],[Extra Payment Towards Equity]]+AG102</f>
        <v>542995.30794004421</v>
      </c>
      <c r="AH103" s="4">
        <f t="shared" si="11"/>
        <v>506863.32958102686</v>
      </c>
      <c r="AI103" s="4">
        <f>AI102+mortgage[[#This Row],[Principal]]+mortgage[[#This Row],[Extra Payment Towards Equity]]</f>
        <v>602995.30794004421</v>
      </c>
      <c r="AJ103" s="180">
        <f>mortgage[[#This Row],[Cumulative Equity (EOY)]]/purchase_price</f>
        <v>1.0049921799000736</v>
      </c>
      <c r="AK103" s="180">
        <f>mortgage[[#This Row],[Loan Balance (BOY)]]/mortgage[[#This Row],[Est. Home Value (EOY)]]</f>
        <v>0</v>
      </c>
      <c r="AL103" s="4">
        <f t="shared" si="8"/>
        <v>0</v>
      </c>
      <c r="AM103" s="4">
        <f>SUM(mortgage[[#This Row],[Property Taxes]],mortgage[[#This Row],[PMI]],mortgage[[#This Row],[Homeowners Insurance]],mortgage[[#This Row],[Routine Maintenance]],mortgage[[#This Row],[Non-Routine Maintenance]])</f>
        <v>191857.2750708907</v>
      </c>
      <c r="AN103" s="160">
        <f>mortgage[[#This Row],[Total Annual Indirect Housing Expenses]]+AN102</f>
        <v>6139486.4441005765</v>
      </c>
    </row>
    <row r="104" spans="9:40" x14ac:dyDescent="0.25">
      <c r="I104">
        <v>88</v>
      </c>
      <c r="J104">
        <f t="shared" si="9"/>
        <v>2109</v>
      </c>
      <c r="K104" s="198">
        <f>IF(mortgage[[#This Row],[Calendar Year]]&gt;=$C$8,mortgage[[#This Row],[Calendar Year]],NA())</f>
        <v>2109</v>
      </c>
      <c r="L104" s="198" t="e">
        <f>IF((mortgage[[#This Row],[Calendar Year]]&gt;=$C$8)*(mortgage[[#This Row],[Calendar Year]]&lt;=$C$10),mortgage[[#This Row],[Calendar Year]],NA())</f>
        <v>#N/A</v>
      </c>
      <c r="M104" s="214" t="e">
        <f>IF((mortgage[[#This Row],[Calendar Year]]&gt;=$C$8)*(mortgage[[#This Row],[Calendar Year]]&lt;=$C$10),mortgage[[#This Row],[Loan Balance (BOY)]],NA())</f>
        <v>#N/A</v>
      </c>
      <c r="N104" s="214" t="e">
        <f>IF((mortgage[[#This Row],[Begin Year (Range)]]&gt;=$C$8)*(mortgage[[#This Row],[Begin Year (Range)]]&lt;=$C$10),mortgage[[#This Row],[Cumulative Interest (EOY)]],NA())</f>
        <v>#N/A</v>
      </c>
      <c r="O104" s="214" t="e">
        <f>IF((mortgage[[#This Row],[Year (Range)]]&gt;=$C$8)*(mortgage[[#This Row],[Year (Range)]]&lt;=$C$10),mortgage[[#This Row],[Cumulative Principal (EOY)]],NA())</f>
        <v>#N/A</v>
      </c>
      <c r="P104" s="214" t="e">
        <f>IF((mortgage[[#This Row],[Year (Range)]]&gt;=$C$8)*(mortgage[[#This Row],[Year (Range)]]&lt;=$C$10),mortgage[[#This Row],[Cumulative Appreciation (EOY)]],NA())</f>
        <v>#N/A</v>
      </c>
      <c r="Q104" s="214" t="e">
        <f>IF((mortgage[[#This Row],[Year (Range)]]&gt;=$C$8)*(mortgage[[#This Row],[Year (Range)]]&lt;=$C$10),mortgage[[#This Row],[Cumulative Equity (EOY)]],NA())</f>
        <v>#N/A</v>
      </c>
      <c r="R104" s="214" t="e">
        <f>IF((mortgage[[#This Row],[Year (Range)]]&gt;=$C$8)*(mortgage[[#This Row],[Year (Range)]]&lt;=$C$10),mortgage[[#This Row],[Cumulative Total Indirect Housing Expenses]],NA())</f>
        <v>#N/A</v>
      </c>
      <c r="S104" s="214" t="e">
        <f>IF((mortgage[[#This Row],[Year (Range)]]&gt;=$C$8)*(mortgage[[#This Row],[Year (Range)]]&lt;=$C$10),mortgage[[#This Row],[Total Annual Indirect Housing Expenses]],NA())</f>
        <v>#N/A</v>
      </c>
      <c r="T104" s="214" t="e">
        <f>IF((mortgage[[#This Row],[Year (Range)]]&gt;=$C$8)*(mortgage[[#This Row],[Year (Range)]]&lt;=$C$10),mortgage[[#This Row],[Est. Home Value (EOY)]],NA())</f>
        <v>#N/A</v>
      </c>
      <c r="U104" s="164">
        <f>IF(U103&lt;W103,0,IF(I104&lt;='Data Entry'!$F$9,(U103-(W103+X103)),0))</f>
        <v>0</v>
      </c>
      <c r="V104" s="183">
        <f>SUMIF(monthly_mortgage_schedule[Calendar Year],mortgage[[#This Row],[Calendar Year]],monthly_mortgage_schedule[Interest With Extra Principal Payments])</f>
        <v>0</v>
      </c>
      <c r="W104" s="4">
        <f>SUMIF(monthly_mortgage_schedule[Calendar Year],mortgage[[#This Row],[Calendar Year]],monthly_mortgage_schedule[Principal With Extra Principal Payments])</f>
        <v>0</v>
      </c>
      <c r="X104" s="4">
        <f>SUMIF(monthly_mortgage_schedule[Calendar Year],mortgage[[#This Row],[Calendar Year]],monthly_mortgage_schedule[Extra Payments Towards Equity])</f>
        <v>0</v>
      </c>
      <c r="Y104" s="4">
        <f>Y103*(1+'Data Entry'!$C$8)</f>
        <v>104695.62560159864</v>
      </c>
      <c r="Z104" s="4">
        <f>SUMIF(monthly_mortgage_schedule[Calendar Year],mortgage[[#This Row],[Calendar Year]],monthly_mortgage_schedule[PMI with Additional Payments])</f>
        <v>0</v>
      </c>
      <c r="AA104" s="4">
        <f>mortgage[[#This Row],[Interest]]+mortgage[[#This Row],[Property Taxes]]</f>
        <v>104695.62560159864</v>
      </c>
      <c r="AB104" s="4">
        <f>AB103*(1+'Data Entry'!$C$10)</f>
        <v>14395.648520219815</v>
      </c>
      <c r="AC104" s="4">
        <f>AC103*(1+'Data Entry'!$C$9)</f>
        <v>78521.719201198954</v>
      </c>
      <c r="AD104" s="4">
        <f>SUMIF(nonroutine_maintenance_expenses[Year (YYYY)],mortgage[[#This Row],[Calendar Year]],nonroutine_maintenance_expenses[Amount ($)])</f>
        <v>0</v>
      </c>
      <c r="AE104" s="4">
        <f>AE103*(1+'Data Entry'!C$7)</f>
        <v>11966349.480199434</v>
      </c>
      <c r="AF104" s="4">
        <f t="shared" si="10"/>
        <v>11785171.712006412</v>
      </c>
      <c r="AG104" s="4">
        <f>mortgage[[#This Row],[Principal]]+mortgage[[#This Row],[Extra Payment Towards Equity]]+AG103</f>
        <v>542995.30794004421</v>
      </c>
      <c r="AH104" s="4">
        <f t="shared" si="11"/>
        <v>506863.32958102686</v>
      </c>
      <c r="AI104" s="4">
        <f>AI103+mortgage[[#This Row],[Principal]]+mortgage[[#This Row],[Extra Payment Towards Equity]]</f>
        <v>602995.30794004421</v>
      </c>
      <c r="AJ104" s="180">
        <f>mortgage[[#This Row],[Cumulative Equity (EOY)]]/purchase_price</f>
        <v>1.0049921799000736</v>
      </c>
      <c r="AK104" s="180">
        <f>mortgage[[#This Row],[Loan Balance (BOY)]]/mortgage[[#This Row],[Est. Home Value (EOY)]]</f>
        <v>0</v>
      </c>
      <c r="AL104" s="4">
        <f t="shared" si="8"/>
        <v>0</v>
      </c>
      <c r="AM104" s="4">
        <f>SUM(mortgage[[#This Row],[Property Taxes]],mortgage[[#This Row],[PMI]],mortgage[[#This Row],[Homeowners Insurance]],mortgage[[#This Row],[Routine Maintenance]],mortgage[[#This Row],[Non-Routine Maintenance]])</f>
        <v>197612.99332301741</v>
      </c>
      <c r="AN104" s="160">
        <f>mortgage[[#This Row],[Total Annual Indirect Housing Expenses]]+AN103</f>
        <v>6337099.4374235943</v>
      </c>
    </row>
    <row r="105" spans="9:40" x14ac:dyDescent="0.25">
      <c r="I105">
        <v>89</v>
      </c>
      <c r="J105">
        <f t="shared" si="9"/>
        <v>2110</v>
      </c>
      <c r="K105" s="198">
        <f>IF(mortgage[[#This Row],[Calendar Year]]&gt;=$C$8,mortgage[[#This Row],[Calendar Year]],NA())</f>
        <v>2110</v>
      </c>
      <c r="L105" s="198" t="e">
        <f>IF((mortgage[[#This Row],[Calendar Year]]&gt;=$C$8)*(mortgage[[#This Row],[Calendar Year]]&lt;=$C$10),mortgage[[#This Row],[Calendar Year]],NA())</f>
        <v>#N/A</v>
      </c>
      <c r="M105" s="214" t="e">
        <f>IF((mortgage[[#This Row],[Calendar Year]]&gt;=$C$8)*(mortgage[[#This Row],[Calendar Year]]&lt;=$C$10),mortgage[[#This Row],[Loan Balance (BOY)]],NA())</f>
        <v>#N/A</v>
      </c>
      <c r="N105" s="214" t="e">
        <f>IF((mortgage[[#This Row],[Begin Year (Range)]]&gt;=$C$8)*(mortgage[[#This Row],[Begin Year (Range)]]&lt;=$C$10),mortgage[[#This Row],[Cumulative Interest (EOY)]],NA())</f>
        <v>#N/A</v>
      </c>
      <c r="O105" s="214" t="e">
        <f>IF((mortgage[[#This Row],[Year (Range)]]&gt;=$C$8)*(mortgage[[#This Row],[Year (Range)]]&lt;=$C$10),mortgage[[#This Row],[Cumulative Principal (EOY)]],NA())</f>
        <v>#N/A</v>
      </c>
      <c r="P105" s="214" t="e">
        <f>IF((mortgage[[#This Row],[Year (Range)]]&gt;=$C$8)*(mortgage[[#This Row],[Year (Range)]]&lt;=$C$10),mortgage[[#This Row],[Cumulative Appreciation (EOY)]],NA())</f>
        <v>#N/A</v>
      </c>
      <c r="Q105" s="214" t="e">
        <f>IF((mortgage[[#This Row],[Year (Range)]]&gt;=$C$8)*(mortgage[[#This Row],[Year (Range)]]&lt;=$C$10),mortgage[[#This Row],[Cumulative Equity (EOY)]],NA())</f>
        <v>#N/A</v>
      </c>
      <c r="R105" s="214" t="e">
        <f>IF((mortgage[[#This Row],[Year (Range)]]&gt;=$C$8)*(mortgage[[#This Row],[Year (Range)]]&lt;=$C$10),mortgage[[#This Row],[Cumulative Total Indirect Housing Expenses]],NA())</f>
        <v>#N/A</v>
      </c>
      <c r="S105" s="214" t="e">
        <f>IF((mortgage[[#This Row],[Year (Range)]]&gt;=$C$8)*(mortgage[[#This Row],[Year (Range)]]&lt;=$C$10),mortgage[[#This Row],[Total Annual Indirect Housing Expenses]],NA())</f>
        <v>#N/A</v>
      </c>
      <c r="T105" s="214" t="e">
        <f>IF((mortgage[[#This Row],[Year (Range)]]&gt;=$C$8)*(mortgage[[#This Row],[Year (Range)]]&lt;=$C$10),mortgage[[#This Row],[Est. Home Value (EOY)]],NA())</f>
        <v>#N/A</v>
      </c>
      <c r="U105" s="164">
        <f>IF(U104&lt;W104,0,IF(I105&lt;='Data Entry'!$F$9,(U104-(W104+X104)),0))</f>
        <v>0</v>
      </c>
      <c r="V105" s="183">
        <f>SUMIF(monthly_mortgage_schedule[Calendar Year],mortgage[[#This Row],[Calendar Year]],monthly_mortgage_schedule[Interest With Extra Principal Payments])</f>
        <v>0</v>
      </c>
      <c r="W105" s="4">
        <f>SUMIF(monthly_mortgage_schedule[Calendar Year],mortgage[[#This Row],[Calendar Year]],monthly_mortgage_schedule[Principal With Extra Principal Payments])</f>
        <v>0</v>
      </c>
      <c r="X105" s="4">
        <f>SUMIF(monthly_mortgage_schedule[Calendar Year],mortgage[[#This Row],[Calendar Year]],monthly_mortgage_schedule[Extra Payments Towards Equity])</f>
        <v>0</v>
      </c>
      <c r="Y105" s="4">
        <f>Y104*(1+'Data Entry'!$C$8)</f>
        <v>107836.49436964661</v>
      </c>
      <c r="Z105" s="4">
        <f>SUMIF(monthly_mortgage_schedule[Calendar Year],mortgage[[#This Row],[Calendar Year]],monthly_mortgage_schedule[PMI with Additional Payments])</f>
        <v>0</v>
      </c>
      <c r="AA105" s="4">
        <f>mortgage[[#This Row],[Interest]]+mortgage[[#This Row],[Property Taxes]]</f>
        <v>107836.49436964661</v>
      </c>
      <c r="AB105" s="4">
        <f>AB104*(1+'Data Entry'!$C$10)</f>
        <v>14827.517975826409</v>
      </c>
      <c r="AC105" s="4">
        <f>AC104*(1+'Data Entry'!$C$9)</f>
        <v>80877.37077723493</v>
      </c>
      <c r="AD105" s="4">
        <f>SUMIF(nonroutine_maintenance_expenses[Year (YYYY)],mortgage[[#This Row],[Calendar Year]],nonroutine_maintenance_expenses[Amount ($)])</f>
        <v>0</v>
      </c>
      <c r="AE105" s="4">
        <f>AE104*(1+'Data Entry'!C$7)</f>
        <v>12385171.712006412</v>
      </c>
      <c r="AF105" s="4">
        <f t="shared" si="10"/>
        <v>12218652.721926635</v>
      </c>
      <c r="AG105" s="4">
        <f>mortgage[[#This Row],[Principal]]+mortgage[[#This Row],[Extra Payment Towards Equity]]+AG104</f>
        <v>542995.30794004421</v>
      </c>
      <c r="AH105" s="4">
        <f t="shared" si="11"/>
        <v>506863.32958102686</v>
      </c>
      <c r="AI105" s="4">
        <f>AI104+mortgage[[#This Row],[Principal]]+mortgage[[#This Row],[Extra Payment Towards Equity]]</f>
        <v>602995.30794004421</v>
      </c>
      <c r="AJ105" s="180">
        <f>mortgage[[#This Row],[Cumulative Equity (EOY)]]/purchase_price</f>
        <v>1.0049921799000736</v>
      </c>
      <c r="AK105" s="180">
        <f>mortgage[[#This Row],[Loan Balance (BOY)]]/mortgage[[#This Row],[Est. Home Value (EOY)]]</f>
        <v>0</v>
      </c>
      <c r="AL105" s="4">
        <f t="shared" si="8"/>
        <v>0</v>
      </c>
      <c r="AM105" s="4">
        <f>SUM(mortgage[[#This Row],[Property Taxes]],mortgage[[#This Row],[PMI]],mortgage[[#This Row],[Homeowners Insurance]],mortgage[[#This Row],[Routine Maintenance]],mortgage[[#This Row],[Non-Routine Maintenance]])</f>
        <v>203541.38312270795</v>
      </c>
      <c r="AN105" s="160">
        <f>mortgage[[#This Row],[Total Annual Indirect Housing Expenses]]+AN104</f>
        <v>6540640.820546302</v>
      </c>
    </row>
    <row r="106" spans="9:40" x14ac:dyDescent="0.25">
      <c r="I106">
        <v>90</v>
      </c>
      <c r="J106">
        <f t="shared" si="9"/>
        <v>2111</v>
      </c>
      <c r="K106" s="198">
        <f>IF(mortgage[[#This Row],[Calendar Year]]&gt;=$C$8,mortgage[[#This Row],[Calendar Year]],NA())</f>
        <v>2111</v>
      </c>
      <c r="L106" s="198" t="e">
        <f>IF((mortgage[[#This Row],[Calendar Year]]&gt;=$C$8)*(mortgage[[#This Row],[Calendar Year]]&lt;=$C$10),mortgage[[#This Row],[Calendar Year]],NA())</f>
        <v>#N/A</v>
      </c>
      <c r="M106" s="214" t="e">
        <f>IF((mortgage[[#This Row],[Calendar Year]]&gt;=$C$8)*(mortgage[[#This Row],[Calendar Year]]&lt;=$C$10),mortgage[[#This Row],[Loan Balance (BOY)]],NA())</f>
        <v>#N/A</v>
      </c>
      <c r="N106" s="214" t="e">
        <f>IF((mortgage[[#This Row],[Begin Year (Range)]]&gt;=$C$8)*(mortgage[[#This Row],[Begin Year (Range)]]&lt;=$C$10),mortgage[[#This Row],[Cumulative Interest (EOY)]],NA())</f>
        <v>#N/A</v>
      </c>
      <c r="O106" s="214" t="e">
        <f>IF((mortgage[[#This Row],[Year (Range)]]&gt;=$C$8)*(mortgage[[#This Row],[Year (Range)]]&lt;=$C$10),mortgage[[#This Row],[Cumulative Principal (EOY)]],NA())</f>
        <v>#N/A</v>
      </c>
      <c r="P106" s="214" t="e">
        <f>IF((mortgage[[#This Row],[Year (Range)]]&gt;=$C$8)*(mortgage[[#This Row],[Year (Range)]]&lt;=$C$10),mortgage[[#This Row],[Cumulative Appreciation (EOY)]],NA())</f>
        <v>#N/A</v>
      </c>
      <c r="Q106" s="214" t="e">
        <f>IF((mortgage[[#This Row],[Year (Range)]]&gt;=$C$8)*(mortgage[[#This Row],[Year (Range)]]&lt;=$C$10),mortgage[[#This Row],[Cumulative Equity (EOY)]],NA())</f>
        <v>#N/A</v>
      </c>
      <c r="R106" s="214" t="e">
        <f>IF((mortgage[[#This Row],[Year (Range)]]&gt;=$C$8)*(mortgage[[#This Row],[Year (Range)]]&lt;=$C$10),mortgage[[#This Row],[Cumulative Total Indirect Housing Expenses]],NA())</f>
        <v>#N/A</v>
      </c>
      <c r="S106" s="214" t="e">
        <f>IF((mortgage[[#This Row],[Year (Range)]]&gt;=$C$8)*(mortgage[[#This Row],[Year (Range)]]&lt;=$C$10),mortgage[[#This Row],[Total Annual Indirect Housing Expenses]],NA())</f>
        <v>#N/A</v>
      </c>
      <c r="T106" s="214" t="e">
        <f>IF((mortgage[[#This Row],[Year (Range)]]&gt;=$C$8)*(mortgage[[#This Row],[Year (Range)]]&lt;=$C$10),mortgage[[#This Row],[Est. Home Value (EOY)]],NA())</f>
        <v>#N/A</v>
      </c>
      <c r="U106" s="164">
        <f>IF(U105&lt;W105,0,IF(I106&lt;='Data Entry'!$F$9,(U105-(W105+X105)),0))</f>
        <v>0</v>
      </c>
      <c r="V106" s="183">
        <f>SUMIF(monthly_mortgage_schedule[Calendar Year],mortgage[[#This Row],[Calendar Year]],monthly_mortgage_schedule[Interest With Extra Principal Payments])</f>
        <v>0</v>
      </c>
      <c r="W106" s="4">
        <f>SUMIF(monthly_mortgage_schedule[Calendar Year],mortgage[[#This Row],[Calendar Year]],monthly_mortgage_schedule[Principal With Extra Principal Payments])</f>
        <v>0</v>
      </c>
      <c r="X106" s="4">
        <f>SUMIF(monthly_mortgage_schedule[Calendar Year],mortgage[[#This Row],[Calendar Year]],monthly_mortgage_schedule[Extra Payments Towards Equity])</f>
        <v>0</v>
      </c>
      <c r="Y106" s="4">
        <f>Y105*(1+'Data Entry'!$C$8)</f>
        <v>111071.58920073601</v>
      </c>
      <c r="Z106" s="4">
        <f>SUMIF(monthly_mortgage_schedule[Calendar Year],mortgage[[#This Row],[Calendar Year]],monthly_mortgage_schedule[PMI with Additional Payments])</f>
        <v>0</v>
      </c>
      <c r="AA106" s="4">
        <f>mortgage[[#This Row],[Interest]]+mortgage[[#This Row],[Property Taxes]]</f>
        <v>111071.58920073601</v>
      </c>
      <c r="AB106" s="4">
        <f>AB105*(1+'Data Entry'!$C$10)</f>
        <v>15272.343515101202</v>
      </c>
      <c r="AC106" s="4">
        <f>AC105*(1+'Data Entry'!$C$9)</f>
        <v>83303.691900551974</v>
      </c>
      <c r="AD106" s="4">
        <f>SUMIF(nonroutine_maintenance_expenses[Year (YYYY)],mortgage[[#This Row],[Calendar Year]],nonroutine_maintenance_expenses[Amount ($)])</f>
        <v>0</v>
      </c>
      <c r="AE106" s="4">
        <f>AE105*(1+'Data Entry'!C$7)</f>
        <v>12818652.721926635</v>
      </c>
      <c r="AF106" s="4">
        <f t="shared" si="10"/>
        <v>12667305.567194067</v>
      </c>
      <c r="AG106" s="4">
        <f>mortgage[[#This Row],[Principal]]+mortgage[[#This Row],[Extra Payment Towards Equity]]+AG105</f>
        <v>542995.30794004421</v>
      </c>
      <c r="AH106" s="4">
        <f t="shared" si="11"/>
        <v>506863.32958102686</v>
      </c>
      <c r="AI106" s="4">
        <f>AI105+mortgage[[#This Row],[Principal]]+mortgage[[#This Row],[Extra Payment Towards Equity]]</f>
        <v>602995.30794004421</v>
      </c>
      <c r="AJ106" s="180">
        <f>mortgage[[#This Row],[Cumulative Equity (EOY)]]/purchase_price</f>
        <v>1.0049921799000736</v>
      </c>
      <c r="AK106" s="180">
        <f>mortgage[[#This Row],[Loan Balance (BOY)]]/mortgage[[#This Row],[Est. Home Value (EOY)]]</f>
        <v>0</v>
      </c>
      <c r="AL106" s="4">
        <f t="shared" si="8"/>
        <v>0</v>
      </c>
      <c r="AM106" s="4">
        <f>SUM(mortgage[[#This Row],[Property Taxes]],mortgage[[#This Row],[PMI]],mortgage[[#This Row],[Homeowners Insurance]],mortgage[[#This Row],[Routine Maintenance]],mortgage[[#This Row],[Non-Routine Maintenance]])</f>
        <v>209647.62461638916</v>
      </c>
      <c r="AN106" s="160">
        <f>mortgage[[#This Row],[Total Annual Indirect Housing Expenses]]+AN105</f>
        <v>6750288.4451626912</v>
      </c>
    </row>
    <row r="107" spans="9:40" x14ac:dyDescent="0.25">
      <c r="I107">
        <v>91</v>
      </c>
      <c r="J107">
        <f t="shared" si="9"/>
        <v>2112</v>
      </c>
      <c r="K107" s="198">
        <f>IF(mortgage[[#This Row],[Calendar Year]]&gt;=$C$8,mortgage[[#This Row],[Calendar Year]],NA())</f>
        <v>2112</v>
      </c>
      <c r="L107" s="198" t="e">
        <f>IF((mortgage[[#This Row],[Calendar Year]]&gt;=$C$8)*(mortgage[[#This Row],[Calendar Year]]&lt;=$C$10),mortgage[[#This Row],[Calendar Year]],NA())</f>
        <v>#N/A</v>
      </c>
      <c r="M107" s="214" t="e">
        <f>IF((mortgage[[#This Row],[Calendar Year]]&gt;=$C$8)*(mortgage[[#This Row],[Calendar Year]]&lt;=$C$10),mortgage[[#This Row],[Loan Balance (BOY)]],NA())</f>
        <v>#N/A</v>
      </c>
      <c r="N107" s="214" t="e">
        <f>IF((mortgage[[#This Row],[Begin Year (Range)]]&gt;=$C$8)*(mortgage[[#This Row],[Begin Year (Range)]]&lt;=$C$10),mortgage[[#This Row],[Cumulative Interest (EOY)]],NA())</f>
        <v>#N/A</v>
      </c>
      <c r="O107" s="214" t="e">
        <f>IF((mortgage[[#This Row],[Year (Range)]]&gt;=$C$8)*(mortgage[[#This Row],[Year (Range)]]&lt;=$C$10),mortgage[[#This Row],[Cumulative Principal (EOY)]],NA())</f>
        <v>#N/A</v>
      </c>
      <c r="P107" s="214" t="e">
        <f>IF((mortgage[[#This Row],[Year (Range)]]&gt;=$C$8)*(mortgage[[#This Row],[Year (Range)]]&lt;=$C$10),mortgage[[#This Row],[Cumulative Appreciation (EOY)]],NA())</f>
        <v>#N/A</v>
      </c>
      <c r="Q107" s="214" t="e">
        <f>IF((mortgage[[#This Row],[Year (Range)]]&gt;=$C$8)*(mortgage[[#This Row],[Year (Range)]]&lt;=$C$10),mortgage[[#This Row],[Cumulative Equity (EOY)]],NA())</f>
        <v>#N/A</v>
      </c>
      <c r="R107" s="214" t="e">
        <f>IF((mortgage[[#This Row],[Year (Range)]]&gt;=$C$8)*(mortgage[[#This Row],[Year (Range)]]&lt;=$C$10),mortgage[[#This Row],[Cumulative Total Indirect Housing Expenses]],NA())</f>
        <v>#N/A</v>
      </c>
      <c r="S107" s="214" t="e">
        <f>IF((mortgage[[#This Row],[Year (Range)]]&gt;=$C$8)*(mortgage[[#This Row],[Year (Range)]]&lt;=$C$10),mortgage[[#This Row],[Total Annual Indirect Housing Expenses]],NA())</f>
        <v>#N/A</v>
      </c>
      <c r="T107" s="214" t="e">
        <f>IF((mortgage[[#This Row],[Year (Range)]]&gt;=$C$8)*(mortgage[[#This Row],[Year (Range)]]&lt;=$C$10),mortgage[[#This Row],[Est. Home Value (EOY)]],NA())</f>
        <v>#N/A</v>
      </c>
      <c r="U107" s="164">
        <f>IF(U106&lt;W106,0,IF(I107&lt;='Data Entry'!$F$9,(U106-(W106+X106)),0))</f>
        <v>0</v>
      </c>
      <c r="V107" s="183">
        <f>SUMIF(monthly_mortgage_schedule[Calendar Year],mortgage[[#This Row],[Calendar Year]],monthly_mortgage_schedule[Interest With Extra Principal Payments])</f>
        <v>0</v>
      </c>
      <c r="W107" s="4">
        <f>SUMIF(monthly_mortgage_schedule[Calendar Year],mortgage[[#This Row],[Calendar Year]],monthly_mortgage_schedule[Principal With Extra Principal Payments])</f>
        <v>0</v>
      </c>
      <c r="X107" s="4">
        <f>SUMIF(monthly_mortgage_schedule[Calendar Year],mortgage[[#This Row],[Calendar Year]],monthly_mortgage_schedule[Extra Payments Towards Equity])</f>
        <v>0</v>
      </c>
      <c r="Y107" s="4">
        <f>Y106*(1+'Data Entry'!$C$8)</f>
        <v>114403.73687675809</v>
      </c>
      <c r="Z107" s="4">
        <f>SUMIF(monthly_mortgage_schedule[Calendar Year],mortgage[[#This Row],[Calendar Year]],monthly_mortgage_schedule[PMI with Additional Payments])</f>
        <v>0</v>
      </c>
      <c r="AA107" s="4">
        <f>mortgage[[#This Row],[Interest]]+mortgage[[#This Row],[Property Taxes]]</f>
        <v>114403.73687675809</v>
      </c>
      <c r="AB107" s="4">
        <f>AB106*(1+'Data Entry'!$C$10)</f>
        <v>15730.513820554239</v>
      </c>
      <c r="AC107" s="4">
        <f>AC106*(1+'Data Entry'!$C$9)</f>
        <v>85802.802657568536</v>
      </c>
      <c r="AD107" s="4">
        <f>SUMIF(nonroutine_maintenance_expenses[Year (YYYY)],mortgage[[#This Row],[Calendar Year]],nonroutine_maintenance_expenses[Amount ($)])</f>
        <v>0</v>
      </c>
      <c r="AE107" s="4">
        <f>AE106*(1+'Data Entry'!C$7)</f>
        <v>13267305.567194067</v>
      </c>
      <c r="AF107" s="4">
        <f t="shared" si="10"/>
        <v>13131661.262045858</v>
      </c>
      <c r="AG107" s="4">
        <f>mortgage[[#This Row],[Principal]]+mortgage[[#This Row],[Extra Payment Towards Equity]]+AG106</f>
        <v>542995.30794004421</v>
      </c>
      <c r="AH107" s="4">
        <f t="shared" si="11"/>
        <v>506863.32958102686</v>
      </c>
      <c r="AI107" s="4">
        <f>AI106+mortgage[[#This Row],[Principal]]+mortgage[[#This Row],[Extra Payment Towards Equity]]</f>
        <v>602995.30794004421</v>
      </c>
      <c r="AJ107" s="180">
        <f>mortgage[[#This Row],[Cumulative Equity (EOY)]]/purchase_price</f>
        <v>1.0049921799000736</v>
      </c>
      <c r="AK107" s="180">
        <f>mortgage[[#This Row],[Loan Balance (BOY)]]/mortgage[[#This Row],[Est. Home Value (EOY)]]</f>
        <v>0</v>
      </c>
      <c r="AL107" s="4">
        <f t="shared" si="8"/>
        <v>0</v>
      </c>
      <c r="AM107" s="4">
        <f>SUM(mortgage[[#This Row],[Property Taxes]],mortgage[[#This Row],[PMI]],mortgage[[#This Row],[Homeowners Insurance]],mortgage[[#This Row],[Routine Maintenance]],mortgage[[#This Row],[Non-Routine Maintenance]])</f>
        <v>215937.05335488086</v>
      </c>
      <c r="AN107" s="160">
        <f>mortgage[[#This Row],[Total Annual Indirect Housing Expenses]]+AN106</f>
        <v>6966225.4985175719</v>
      </c>
    </row>
    <row r="108" spans="9:40" x14ac:dyDescent="0.25">
      <c r="I108">
        <v>92</v>
      </c>
      <c r="J108">
        <f t="shared" si="9"/>
        <v>2113</v>
      </c>
      <c r="K108" s="198">
        <f>IF(mortgage[[#This Row],[Calendar Year]]&gt;=$C$8,mortgage[[#This Row],[Calendar Year]],NA())</f>
        <v>2113</v>
      </c>
      <c r="L108" s="198" t="e">
        <f>IF((mortgage[[#This Row],[Calendar Year]]&gt;=$C$8)*(mortgage[[#This Row],[Calendar Year]]&lt;=$C$10),mortgage[[#This Row],[Calendar Year]],NA())</f>
        <v>#N/A</v>
      </c>
      <c r="M108" s="214" t="e">
        <f>IF((mortgage[[#This Row],[Calendar Year]]&gt;=$C$8)*(mortgage[[#This Row],[Calendar Year]]&lt;=$C$10),mortgage[[#This Row],[Loan Balance (BOY)]],NA())</f>
        <v>#N/A</v>
      </c>
      <c r="N108" s="214" t="e">
        <f>IF((mortgage[[#This Row],[Begin Year (Range)]]&gt;=$C$8)*(mortgage[[#This Row],[Begin Year (Range)]]&lt;=$C$10),mortgage[[#This Row],[Cumulative Interest (EOY)]],NA())</f>
        <v>#N/A</v>
      </c>
      <c r="O108" s="214" t="e">
        <f>IF((mortgage[[#This Row],[Year (Range)]]&gt;=$C$8)*(mortgage[[#This Row],[Year (Range)]]&lt;=$C$10),mortgage[[#This Row],[Cumulative Principal (EOY)]],NA())</f>
        <v>#N/A</v>
      </c>
      <c r="P108" s="214" t="e">
        <f>IF((mortgage[[#This Row],[Year (Range)]]&gt;=$C$8)*(mortgage[[#This Row],[Year (Range)]]&lt;=$C$10),mortgage[[#This Row],[Cumulative Appreciation (EOY)]],NA())</f>
        <v>#N/A</v>
      </c>
      <c r="Q108" s="214" t="e">
        <f>IF((mortgage[[#This Row],[Year (Range)]]&gt;=$C$8)*(mortgage[[#This Row],[Year (Range)]]&lt;=$C$10),mortgage[[#This Row],[Cumulative Equity (EOY)]],NA())</f>
        <v>#N/A</v>
      </c>
      <c r="R108" s="214" t="e">
        <f>IF((mortgage[[#This Row],[Year (Range)]]&gt;=$C$8)*(mortgage[[#This Row],[Year (Range)]]&lt;=$C$10),mortgage[[#This Row],[Cumulative Total Indirect Housing Expenses]],NA())</f>
        <v>#N/A</v>
      </c>
      <c r="S108" s="214" t="e">
        <f>IF((mortgage[[#This Row],[Year (Range)]]&gt;=$C$8)*(mortgage[[#This Row],[Year (Range)]]&lt;=$C$10),mortgage[[#This Row],[Total Annual Indirect Housing Expenses]],NA())</f>
        <v>#N/A</v>
      </c>
      <c r="T108" s="214" t="e">
        <f>IF((mortgage[[#This Row],[Year (Range)]]&gt;=$C$8)*(mortgage[[#This Row],[Year (Range)]]&lt;=$C$10),mortgage[[#This Row],[Est. Home Value (EOY)]],NA())</f>
        <v>#N/A</v>
      </c>
      <c r="U108" s="164">
        <f>IF(U107&lt;W107,0,IF(I108&lt;='Data Entry'!$F$9,(U107-(W107+X107)),0))</f>
        <v>0</v>
      </c>
      <c r="V108" s="183">
        <f>SUMIF(monthly_mortgage_schedule[Calendar Year],mortgage[[#This Row],[Calendar Year]],monthly_mortgage_schedule[Interest With Extra Principal Payments])</f>
        <v>0</v>
      </c>
      <c r="W108" s="4">
        <f>SUMIF(monthly_mortgage_schedule[Calendar Year],mortgage[[#This Row],[Calendar Year]],monthly_mortgage_schedule[Principal With Extra Principal Payments])</f>
        <v>0</v>
      </c>
      <c r="X108" s="4">
        <f>SUMIF(monthly_mortgage_schedule[Calendar Year],mortgage[[#This Row],[Calendar Year]],monthly_mortgage_schedule[Extra Payments Towards Equity])</f>
        <v>0</v>
      </c>
      <c r="Y108" s="4">
        <f>Y107*(1+'Data Entry'!$C$8)</f>
        <v>117835.84898306083</v>
      </c>
      <c r="Z108" s="4">
        <f>SUMIF(monthly_mortgage_schedule[Calendar Year],mortgage[[#This Row],[Calendar Year]],monthly_mortgage_schedule[PMI with Additional Payments])</f>
        <v>0</v>
      </c>
      <c r="AA108" s="4">
        <f>mortgage[[#This Row],[Interest]]+mortgage[[#This Row],[Property Taxes]]</f>
        <v>117835.84898306083</v>
      </c>
      <c r="AB108" s="4">
        <f>AB107*(1+'Data Entry'!$C$10)</f>
        <v>16202.429235170866</v>
      </c>
      <c r="AC108" s="4">
        <f>AC107*(1+'Data Entry'!$C$9)</f>
        <v>88376.886737295601</v>
      </c>
      <c r="AD108" s="4">
        <f>SUMIF(nonroutine_maintenance_expenses[Year (YYYY)],mortgage[[#This Row],[Calendar Year]],nonroutine_maintenance_expenses[Amount ($)])</f>
        <v>0</v>
      </c>
      <c r="AE108" s="4">
        <f>AE107*(1+'Data Entry'!C$7)</f>
        <v>13731661.262045858</v>
      </c>
      <c r="AF108" s="4">
        <f t="shared" si="10"/>
        <v>13612269.406217461</v>
      </c>
      <c r="AG108" s="4">
        <f>mortgage[[#This Row],[Principal]]+mortgage[[#This Row],[Extra Payment Towards Equity]]+AG107</f>
        <v>542995.30794004421</v>
      </c>
      <c r="AH108" s="4">
        <f t="shared" si="11"/>
        <v>506863.32958102686</v>
      </c>
      <c r="AI108" s="4">
        <f>AI107+mortgage[[#This Row],[Principal]]+mortgage[[#This Row],[Extra Payment Towards Equity]]</f>
        <v>602995.30794004421</v>
      </c>
      <c r="AJ108" s="180">
        <f>mortgage[[#This Row],[Cumulative Equity (EOY)]]/purchase_price</f>
        <v>1.0049921799000736</v>
      </c>
      <c r="AK108" s="180">
        <f>mortgage[[#This Row],[Loan Balance (BOY)]]/mortgage[[#This Row],[Est. Home Value (EOY)]]</f>
        <v>0</v>
      </c>
      <c r="AL108" s="4">
        <f t="shared" si="8"/>
        <v>0</v>
      </c>
      <c r="AM108" s="4">
        <f>SUM(mortgage[[#This Row],[Property Taxes]],mortgage[[#This Row],[PMI]],mortgage[[#This Row],[Homeowners Insurance]],mortgage[[#This Row],[Routine Maintenance]],mortgage[[#This Row],[Non-Routine Maintenance]])</f>
        <v>222415.16495552729</v>
      </c>
      <c r="AN108" s="160">
        <f>mortgage[[#This Row],[Total Annual Indirect Housing Expenses]]+AN107</f>
        <v>7188640.6634730995</v>
      </c>
    </row>
    <row r="109" spans="9:40" x14ac:dyDescent="0.25">
      <c r="I109">
        <v>93</v>
      </c>
      <c r="J109">
        <f t="shared" si="9"/>
        <v>2114</v>
      </c>
      <c r="K109" s="198">
        <f>IF(mortgage[[#This Row],[Calendar Year]]&gt;=$C$8,mortgage[[#This Row],[Calendar Year]],NA())</f>
        <v>2114</v>
      </c>
      <c r="L109" s="198" t="e">
        <f>IF((mortgage[[#This Row],[Calendar Year]]&gt;=$C$8)*(mortgage[[#This Row],[Calendar Year]]&lt;=$C$10),mortgage[[#This Row],[Calendar Year]],NA())</f>
        <v>#N/A</v>
      </c>
      <c r="M109" s="214" t="e">
        <f>IF((mortgage[[#This Row],[Calendar Year]]&gt;=$C$8)*(mortgage[[#This Row],[Calendar Year]]&lt;=$C$10),mortgage[[#This Row],[Loan Balance (BOY)]],NA())</f>
        <v>#N/A</v>
      </c>
      <c r="N109" s="214" t="e">
        <f>IF((mortgage[[#This Row],[Begin Year (Range)]]&gt;=$C$8)*(mortgage[[#This Row],[Begin Year (Range)]]&lt;=$C$10),mortgage[[#This Row],[Cumulative Interest (EOY)]],NA())</f>
        <v>#N/A</v>
      </c>
      <c r="O109" s="214" t="e">
        <f>IF((mortgage[[#This Row],[Year (Range)]]&gt;=$C$8)*(mortgage[[#This Row],[Year (Range)]]&lt;=$C$10),mortgage[[#This Row],[Cumulative Principal (EOY)]],NA())</f>
        <v>#N/A</v>
      </c>
      <c r="P109" s="214" t="e">
        <f>IF((mortgage[[#This Row],[Year (Range)]]&gt;=$C$8)*(mortgage[[#This Row],[Year (Range)]]&lt;=$C$10),mortgage[[#This Row],[Cumulative Appreciation (EOY)]],NA())</f>
        <v>#N/A</v>
      </c>
      <c r="Q109" s="214" t="e">
        <f>IF((mortgage[[#This Row],[Year (Range)]]&gt;=$C$8)*(mortgage[[#This Row],[Year (Range)]]&lt;=$C$10),mortgage[[#This Row],[Cumulative Equity (EOY)]],NA())</f>
        <v>#N/A</v>
      </c>
      <c r="R109" s="214" t="e">
        <f>IF((mortgage[[#This Row],[Year (Range)]]&gt;=$C$8)*(mortgage[[#This Row],[Year (Range)]]&lt;=$C$10),mortgage[[#This Row],[Cumulative Total Indirect Housing Expenses]],NA())</f>
        <v>#N/A</v>
      </c>
      <c r="S109" s="214" t="e">
        <f>IF((mortgage[[#This Row],[Year (Range)]]&gt;=$C$8)*(mortgage[[#This Row],[Year (Range)]]&lt;=$C$10),mortgage[[#This Row],[Total Annual Indirect Housing Expenses]],NA())</f>
        <v>#N/A</v>
      </c>
      <c r="T109" s="214" t="e">
        <f>IF((mortgage[[#This Row],[Year (Range)]]&gt;=$C$8)*(mortgage[[#This Row],[Year (Range)]]&lt;=$C$10),mortgage[[#This Row],[Est. Home Value (EOY)]],NA())</f>
        <v>#N/A</v>
      </c>
      <c r="U109" s="164">
        <f>IF(U108&lt;W108,0,IF(I109&lt;='Data Entry'!$F$9,(U108-(W108+X108)),0))</f>
        <v>0</v>
      </c>
      <c r="V109" s="183">
        <f>SUMIF(monthly_mortgage_schedule[Calendar Year],mortgage[[#This Row],[Calendar Year]],monthly_mortgage_schedule[Interest With Extra Principal Payments])</f>
        <v>0</v>
      </c>
      <c r="W109" s="4">
        <f>SUMIF(monthly_mortgage_schedule[Calendar Year],mortgage[[#This Row],[Calendar Year]],monthly_mortgage_schedule[Principal With Extra Principal Payments])</f>
        <v>0</v>
      </c>
      <c r="X109" s="4">
        <f>SUMIF(monthly_mortgage_schedule[Calendar Year],mortgage[[#This Row],[Calendar Year]],monthly_mortgage_schedule[Extra Payments Towards Equity])</f>
        <v>0</v>
      </c>
      <c r="Y109" s="4">
        <f>Y108*(1+'Data Entry'!$C$8)</f>
        <v>121370.92445255266</v>
      </c>
      <c r="Z109" s="4">
        <f>SUMIF(monthly_mortgage_schedule[Calendar Year],mortgage[[#This Row],[Calendar Year]],monthly_mortgage_schedule[PMI with Additional Payments])</f>
        <v>0</v>
      </c>
      <c r="AA109" s="4">
        <f>mortgage[[#This Row],[Interest]]+mortgage[[#This Row],[Property Taxes]]</f>
        <v>121370.92445255266</v>
      </c>
      <c r="AB109" s="4">
        <f>AB108*(1+'Data Entry'!$C$10)</f>
        <v>16688.502112225993</v>
      </c>
      <c r="AC109" s="4">
        <f>AC108*(1+'Data Entry'!$C$9)</f>
        <v>91028.193339414473</v>
      </c>
      <c r="AD109" s="4">
        <f>SUMIF(nonroutine_maintenance_expenses[Year (YYYY)],mortgage[[#This Row],[Calendar Year]],nonroutine_maintenance_expenses[Amount ($)])</f>
        <v>0</v>
      </c>
      <c r="AE109" s="4">
        <f>AE108*(1+'Data Entry'!C$7)</f>
        <v>14212269.406217461</v>
      </c>
      <c r="AF109" s="4">
        <f t="shared" si="10"/>
        <v>14109698.835435072</v>
      </c>
      <c r="AG109" s="4">
        <f>mortgage[[#This Row],[Principal]]+mortgage[[#This Row],[Extra Payment Towards Equity]]+AG108</f>
        <v>542995.30794004421</v>
      </c>
      <c r="AH109" s="4">
        <f t="shared" si="11"/>
        <v>506863.32958102686</v>
      </c>
      <c r="AI109" s="4">
        <f>AI108+mortgage[[#This Row],[Principal]]+mortgage[[#This Row],[Extra Payment Towards Equity]]</f>
        <v>602995.30794004421</v>
      </c>
      <c r="AJ109" s="180">
        <f>mortgage[[#This Row],[Cumulative Equity (EOY)]]/purchase_price</f>
        <v>1.0049921799000736</v>
      </c>
      <c r="AK109" s="180">
        <f>mortgage[[#This Row],[Loan Balance (BOY)]]/mortgage[[#This Row],[Est. Home Value (EOY)]]</f>
        <v>0</v>
      </c>
      <c r="AL109" s="4">
        <f t="shared" si="8"/>
        <v>0</v>
      </c>
      <c r="AM109" s="4">
        <f>SUM(mortgage[[#This Row],[Property Taxes]],mortgage[[#This Row],[PMI]],mortgage[[#This Row],[Homeowners Insurance]],mortgage[[#This Row],[Routine Maintenance]],mortgage[[#This Row],[Non-Routine Maintenance]])</f>
        <v>229087.61990419315</v>
      </c>
      <c r="AN109" s="160">
        <f>mortgage[[#This Row],[Total Annual Indirect Housing Expenses]]+AN108</f>
        <v>7417728.2833772926</v>
      </c>
    </row>
    <row r="110" spans="9:40" x14ac:dyDescent="0.25">
      <c r="I110">
        <v>94</v>
      </c>
      <c r="J110">
        <f t="shared" si="9"/>
        <v>2115</v>
      </c>
      <c r="K110" s="198">
        <f>IF(mortgage[[#This Row],[Calendar Year]]&gt;=$C$8,mortgage[[#This Row],[Calendar Year]],NA())</f>
        <v>2115</v>
      </c>
      <c r="L110" s="198" t="e">
        <f>IF((mortgage[[#This Row],[Calendar Year]]&gt;=$C$8)*(mortgage[[#This Row],[Calendar Year]]&lt;=$C$10),mortgage[[#This Row],[Calendar Year]],NA())</f>
        <v>#N/A</v>
      </c>
      <c r="M110" s="214" t="e">
        <f>IF((mortgage[[#This Row],[Calendar Year]]&gt;=$C$8)*(mortgage[[#This Row],[Calendar Year]]&lt;=$C$10),mortgage[[#This Row],[Loan Balance (BOY)]],NA())</f>
        <v>#N/A</v>
      </c>
      <c r="N110" s="214" t="e">
        <f>IF((mortgage[[#This Row],[Begin Year (Range)]]&gt;=$C$8)*(mortgage[[#This Row],[Begin Year (Range)]]&lt;=$C$10),mortgage[[#This Row],[Cumulative Interest (EOY)]],NA())</f>
        <v>#N/A</v>
      </c>
      <c r="O110" s="214" t="e">
        <f>IF((mortgage[[#This Row],[Year (Range)]]&gt;=$C$8)*(mortgage[[#This Row],[Year (Range)]]&lt;=$C$10),mortgage[[#This Row],[Cumulative Principal (EOY)]],NA())</f>
        <v>#N/A</v>
      </c>
      <c r="P110" s="214" t="e">
        <f>IF((mortgage[[#This Row],[Year (Range)]]&gt;=$C$8)*(mortgage[[#This Row],[Year (Range)]]&lt;=$C$10),mortgage[[#This Row],[Cumulative Appreciation (EOY)]],NA())</f>
        <v>#N/A</v>
      </c>
      <c r="Q110" s="214" t="e">
        <f>IF((mortgage[[#This Row],[Year (Range)]]&gt;=$C$8)*(mortgage[[#This Row],[Year (Range)]]&lt;=$C$10),mortgage[[#This Row],[Cumulative Equity (EOY)]],NA())</f>
        <v>#N/A</v>
      </c>
      <c r="R110" s="214" t="e">
        <f>IF((mortgage[[#This Row],[Year (Range)]]&gt;=$C$8)*(mortgage[[#This Row],[Year (Range)]]&lt;=$C$10),mortgage[[#This Row],[Cumulative Total Indirect Housing Expenses]],NA())</f>
        <v>#N/A</v>
      </c>
      <c r="S110" s="214" t="e">
        <f>IF((mortgage[[#This Row],[Year (Range)]]&gt;=$C$8)*(mortgage[[#This Row],[Year (Range)]]&lt;=$C$10),mortgage[[#This Row],[Total Annual Indirect Housing Expenses]],NA())</f>
        <v>#N/A</v>
      </c>
      <c r="T110" s="214" t="e">
        <f>IF((mortgage[[#This Row],[Year (Range)]]&gt;=$C$8)*(mortgage[[#This Row],[Year (Range)]]&lt;=$C$10),mortgage[[#This Row],[Est. Home Value (EOY)]],NA())</f>
        <v>#N/A</v>
      </c>
      <c r="U110" s="164">
        <f>IF(U109&lt;W109,0,IF(I110&lt;='Data Entry'!$F$9,(U109-(W109+X109)),0))</f>
        <v>0</v>
      </c>
      <c r="V110" s="183">
        <f>SUMIF(monthly_mortgage_schedule[Calendar Year],mortgage[[#This Row],[Calendar Year]],monthly_mortgage_schedule[Interest With Extra Principal Payments])</f>
        <v>0</v>
      </c>
      <c r="W110" s="4">
        <f>SUMIF(monthly_mortgage_schedule[Calendar Year],mortgage[[#This Row],[Calendar Year]],monthly_mortgage_schedule[Principal With Extra Principal Payments])</f>
        <v>0</v>
      </c>
      <c r="X110" s="4">
        <f>SUMIF(monthly_mortgage_schedule[Calendar Year],mortgage[[#This Row],[Calendar Year]],monthly_mortgage_schedule[Extra Payments Towards Equity])</f>
        <v>0</v>
      </c>
      <c r="Y110" s="4">
        <f>Y109*(1+'Data Entry'!$C$8)</f>
        <v>125012.05218612924</v>
      </c>
      <c r="Z110" s="4">
        <f>SUMIF(monthly_mortgage_schedule[Calendar Year],mortgage[[#This Row],[Calendar Year]],monthly_mortgage_schedule[PMI with Additional Payments])</f>
        <v>0</v>
      </c>
      <c r="AA110" s="4">
        <f>mortgage[[#This Row],[Interest]]+mortgage[[#This Row],[Property Taxes]]</f>
        <v>125012.05218612924</v>
      </c>
      <c r="AB110" s="4">
        <f>AB109*(1+'Data Entry'!$C$10)</f>
        <v>17189.157175592773</v>
      </c>
      <c r="AC110" s="4">
        <f>AC109*(1+'Data Entry'!$C$9)</f>
        <v>93759.039139596905</v>
      </c>
      <c r="AD110" s="4">
        <f>SUMIF(nonroutine_maintenance_expenses[Year (YYYY)],mortgage[[#This Row],[Calendar Year]],nonroutine_maintenance_expenses[Amount ($)])</f>
        <v>0</v>
      </c>
      <c r="AE110" s="4">
        <f>AE109*(1+'Data Entry'!C$7)</f>
        <v>14709698.835435072</v>
      </c>
      <c r="AF110" s="4">
        <f t="shared" si="10"/>
        <v>14624538.294675298</v>
      </c>
      <c r="AG110" s="4">
        <f>mortgage[[#This Row],[Principal]]+mortgage[[#This Row],[Extra Payment Towards Equity]]+AG109</f>
        <v>542995.30794004421</v>
      </c>
      <c r="AH110" s="4">
        <f t="shared" si="11"/>
        <v>506863.32958102686</v>
      </c>
      <c r="AI110" s="4">
        <f>AI109+mortgage[[#This Row],[Principal]]+mortgage[[#This Row],[Extra Payment Towards Equity]]</f>
        <v>602995.30794004421</v>
      </c>
      <c r="AJ110" s="180">
        <f>mortgage[[#This Row],[Cumulative Equity (EOY)]]/purchase_price</f>
        <v>1.0049921799000736</v>
      </c>
      <c r="AK110" s="180">
        <f>mortgage[[#This Row],[Loan Balance (BOY)]]/mortgage[[#This Row],[Est. Home Value (EOY)]]</f>
        <v>0</v>
      </c>
      <c r="AL110" s="4">
        <f t="shared" si="8"/>
        <v>0</v>
      </c>
      <c r="AM110" s="4">
        <f>SUM(mortgage[[#This Row],[Property Taxes]],mortgage[[#This Row],[PMI]],mortgage[[#This Row],[Homeowners Insurance]],mortgage[[#This Row],[Routine Maintenance]],mortgage[[#This Row],[Non-Routine Maintenance]])</f>
        <v>235960.24850131891</v>
      </c>
      <c r="AN110" s="160">
        <f>mortgage[[#This Row],[Total Annual Indirect Housing Expenses]]+AN109</f>
        <v>7653688.5318786111</v>
      </c>
    </row>
    <row r="111" spans="9:40" x14ac:dyDescent="0.25">
      <c r="I111">
        <v>95</v>
      </c>
      <c r="J111">
        <f t="shared" si="9"/>
        <v>2116</v>
      </c>
      <c r="K111" s="198">
        <f>IF(mortgage[[#This Row],[Calendar Year]]&gt;=$C$8,mortgage[[#This Row],[Calendar Year]],NA())</f>
        <v>2116</v>
      </c>
      <c r="L111" s="198" t="e">
        <f>IF((mortgage[[#This Row],[Calendar Year]]&gt;=$C$8)*(mortgage[[#This Row],[Calendar Year]]&lt;=$C$10),mortgage[[#This Row],[Calendar Year]],NA())</f>
        <v>#N/A</v>
      </c>
      <c r="M111" s="214" t="e">
        <f>IF((mortgage[[#This Row],[Calendar Year]]&gt;=$C$8)*(mortgage[[#This Row],[Calendar Year]]&lt;=$C$10),mortgage[[#This Row],[Loan Balance (BOY)]],NA())</f>
        <v>#N/A</v>
      </c>
      <c r="N111" s="214" t="e">
        <f>IF((mortgage[[#This Row],[Begin Year (Range)]]&gt;=$C$8)*(mortgage[[#This Row],[Begin Year (Range)]]&lt;=$C$10),mortgage[[#This Row],[Cumulative Interest (EOY)]],NA())</f>
        <v>#N/A</v>
      </c>
      <c r="O111" s="214" t="e">
        <f>IF((mortgage[[#This Row],[Year (Range)]]&gt;=$C$8)*(mortgage[[#This Row],[Year (Range)]]&lt;=$C$10),mortgage[[#This Row],[Cumulative Principal (EOY)]],NA())</f>
        <v>#N/A</v>
      </c>
      <c r="P111" s="214" t="e">
        <f>IF((mortgage[[#This Row],[Year (Range)]]&gt;=$C$8)*(mortgage[[#This Row],[Year (Range)]]&lt;=$C$10),mortgage[[#This Row],[Cumulative Appreciation (EOY)]],NA())</f>
        <v>#N/A</v>
      </c>
      <c r="Q111" s="214" t="e">
        <f>IF((mortgage[[#This Row],[Year (Range)]]&gt;=$C$8)*(mortgage[[#This Row],[Year (Range)]]&lt;=$C$10),mortgage[[#This Row],[Cumulative Equity (EOY)]],NA())</f>
        <v>#N/A</v>
      </c>
      <c r="R111" s="214" t="e">
        <f>IF((mortgage[[#This Row],[Year (Range)]]&gt;=$C$8)*(mortgage[[#This Row],[Year (Range)]]&lt;=$C$10),mortgage[[#This Row],[Cumulative Total Indirect Housing Expenses]],NA())</f>
        <v>#N/A</v>
      </c>
      <c r="S111" s="214" t="e">
        <f>IF((mortgage[[#This Row],[Year (Range)]]&gt;=$C$8)*(mortgage[[#This Row],[Year (Range)]]&lt;=$C$10),mortgage[[#This Row],[Total Annual Indirect Housing Expenses]],NA())</f>
        <v>#N/A</v>
      </c>
      <c r="T111" s="214" t="e">
        <f>IF((mortgage[[#This Row],[Year (Range)]]&gt;=$C$8)*(mortgage[[#This Row],[Year (Range)]]&lt;=$C$10),mortgage[[#This Row],[Est. Home Value (EOY)]],NA())</f>
        <v>#N/A</v>
      </c>
      <c r="U111" s="164">
        <f>IF(U110&lt;W110,0,IF(I111&lt;='Data Entry'!$F$9,(U110-(W110+X110)),0))</f>
        <v>0</v>
      </c>
      <c r="V111" s="183">
        <f>SUMIF(monthly_mortgage_schedule[Calendar Year],mortgage[[#This Row],[Calendar Year]],monthly_mortgage_schedule[Interest With Extra Principal Payments])</f>
        <v>0</v>
      </c>
      <c r="W111" s="4">
        <f>SUMIF(monthly_mortgage_schedule[Calendar Year],mortgage[[#This Row],[Calendar Year]],monthly_mortgage_schedule[Principal With Extra Principal Payments])</f>
        <v>0</v>
      </c>
      <c r="X111" s="4">
        <f>SUMIF(monthly_mortgage_schedule[Calendar Year],mortgage[[#This Row],[Calendar Year]],monthly_mortgage_schedule[Extra Payments Towards Equity])</f>
        <v>0</v>
      </c>
      <c r="Y111" s="4">
        <f>Y110*(1+'Data Entry'!$C$8)</f>
        <v>128762.41375171312</v>
      </c>
      <c r="Z111" s="4">
        <f>SUMIF(monthly_mortgage_schedule[Calendar Year],mortgage[[#This Row],[Calendar Year]],monthly_mortgage_schedule[PMI with Additional Payments])</f>
        <v>0</v>
      </c>
      <c r="AA111" s="4">
        <f>mortgage[[#This Row],[Interest]]+mortgage[[#This Row],[Property Taxes]]</f>
        <v>128762.41375171312</v>
      </c>
      <c r="AB111" s="4">
        <f>AB110*(1+'Data Entry'!$C$10)</f>
        <v>17704.831890860558</v>
      </c>
      <c r="AC111" s="4">
        <f>AC110*(1+'Data Entry'!$C$9)</f>
        <v>96571.810313784808</v>
      </c>
      <c r="AD111" s="4">
        <f>SUMIF(nonroutine_maintenance_expenses[Year (YYYY)],mortgage[[#This Row],[Calendar Year]],nonroutine_maintenance_expenses[Amount ($)])</f>
        <v>0</v>
      </c>
      <c r="AE111" s="4">
        <f>AE110*(1+'Data Entry'!C$7)</f>
        <v>15224538.294675298</v>
      </c>
      <c r="AF111" s="4">
        <f t="shared" si="10"/>
        <v>15157397.134988932</v>
      </c>
      <c r="AG111" s="4">
        <f>mortgage[[#This Row],[Principal]]+mortgage[[#This Row],[Extra Payment Towards Equity]]+AG110</f>
        <v>542995.30794004421</v>
      </c>
      <c r="AH111" s="4">
        <f t="shared" si="11"/>
        <v>506863.32958102686</v>
      </c>
      <c r="AI111" s="4">
        <f>AI110+mortgage[[#This Row],[Principal]]+mortgage[[#This Row],[Extra Payment Towards Equity]]</f>
        <v>602995.30794004421</v>
      </c>
      <c r="AJ111" s="180">
        <f>mortgage[[#This Row],[Cumulative Equity (EOY)]]/purchase_price</f>
        <v>1.0049921799000736</v>
      </c>
      <c r="AK111" s="180">
        <f>mortgage[[#This Row],[Loan Balance (BOY)]]/mortgage[[#This Row],[Est. Home Value (EOY)]]</f>
        <v>0</v>
      </c>
      <c r="AL111" s="4">
        <f t="shared" si="8"/>
        <v>0</v>
      </c>
      <c r="AM111" s="4">
        <f>SUM(mortgage[[#This Row],[Property Taxes]],mortgage[[#This Row],[PMI]],mortgage[[#This Row],[Homeowners Insurance]],mortgage[[#This Row],[Routine Maintenance]],mortgage[[#This Row],[Non-Routine Maintenance]])</f>
        <v>243039.0559563585</v>
      </c>
      <c r="AN111" s="160">
        <f>mortgage[[#This Row],[Total Annual Indirect Housing Expenses]]+AN110</f>
        <v>7896727.5878349692</v>
      </c>
    </row>
    <row r="112" spans="9:40" x14ac:dyDescent="0.25">
      <c r="I112">
        <v>96</v>
      </c>
      <c r="J112">
        <f t="shared" si="9"/>
        <v>2117</v>
      </c>
      <c r="K112" s="198">
        <f>IF(mortgage[[#This Row],[Calendar Year]]&gt;=$C$8,mortgage[[#This Row],[Calendar Year]],NA())</f>
        <v>2117</v>
      </c>
      <c r="L112" s="198" t="e">
        <f>IF((mortgage[[#This Row],[Calendar Year]]&gt;=$C$8)*(mortgage[[#This Row],[Calendar Year]]&lt;=$C$10),mortgage[[#This Row],[Calendar Year]],NA())</f>
        <v>#N/A</v>
      </c>
      <c r="M112" s="214" t="e">
        <f>IF((mortgage[[#This Row],[Calendar Year]]&gt;=$C$8)*(mortgage[[#This Row],[Calendar Year]]&lt;=$C$10),mortgage[[#This Row],[Loan Balance (BOY)]],NA())</f>
        <v>#N/A</v>
      </c>
      <c r="N112" s="214" t="e">
        <f>IF((mortgage[[#This Row],[Begin Year (Range)]]&gt;=$C$8)*(mortgage[[#This Row],[Begin Year (Range)]]&lt;=$C$10),mortgage[[#This Row],[Cumulative Interest (EOY)]],NA())</f>
        <v>#N/A</v>
      </c>
      <c r="O112" s="214" t="e">
        <f>IF((mortgage[[#This Row],[Year (Range)]]&gt;=$C$8)*(mortgage[[#This Row],[Year (Range)]]&lt;=$C$10),mortgage[[#This Row],[Cumulative Principal (EOY)]],NA())</f>
        <v>#N/A</v>
      </c>
      <c r="P112" s="214" t="e">
        <f>IF((mortgage[[#This Row],[Year (Range)]]&gt;=$C$8)*(mortgage[[#This Row],[Year (Range)]]&lt;=$C$10),mortgage[[#This Row],[Cumulative Appreciation (EOY)]],NA())</f>
        <v>#N/A</v>
      </c>
      <c r="Q112" s="214" t="e">
        <f>IF((mortgage[[#This Row],[Year (Range)]]&gt;=$C$8)*(mortgage[[#This Row],[Year (Range)]]&lt;=$C$10),mortgage[[#This Row],[Cumulative Equity (EOY)]],NA())</f>
        <v>#N/A</v>
      </c>
      <c r="R112" s="214" t="e">
        <f>IF((mortgage[[#This Row],[Year (Range)]]&gt;=$C$8)*(mortgage[[#This Row],[Year (Range)]]&lt;=$C$10),mortgage[[#This Row],[Cumulative Total Indirect Housing Expenses]],NA())</f>
        <v>#N/A</v>
      </c>
      <c r="S112" s="214" t="e">
        <f>IF((mortgage[[#This Row],[Year (Range)]]&gt;=$C$8)*(mortgage[[#This Row],[Year (Range)]]&lt;=$C$10),mortgage[[#This Row],[Total Annual Indirect Housing Expenses]],NA())</f>
        <v>#N/A</v>
      </c>
      <c r="T112" s="214" t="e">
        <f>IF((mortgage[[#This Row],[Year (Range)]]&gt;=$C$8)*(mortgage[[#This Row],[Year (Range)]]&lt;=$C$10),mortgage[[#This Row],[Est. Home Value (EOY)]],NA())</f>
        <v>#N/A</v>
      </c>
      <c r="U112" s="164">
        <f>IF(U111&lt;W111,0,IF(I112&lt;='Data Entry'!$F$9,(U111-(W111+X111)),0))</f>
        <v>0</v>
      </c>
      <c r="V112" s="183">
        <f>SUMIF(monthly_mortgage_schedule[Calendar Year],mortgage[[#This Row],[Calendar Year]],monthly_mortgage_schedule[Interest With Extra Principal Payments])</f>
        <v>0</v>
      </c>
      <c r="W112" s="4">
        <f>SUMIF(monthly_mortgage_schedule[Calendar Year],mortgage[[#This Row],[Calendar Year]],monthly_mortgage_schedule[Principal With Extra Principal Payments])</f>
        <v>0</v>
      </c>
      <c r="X112" s="4">
        <f>SUMIF(monthly_mortgage_schedule[Calendar Year],mortgage[[#This Row],[Calendar Year]],monthly_mortgage_schedule[Extra Payments Towards Equity])</f>
        <v>0</v>
      </c>
      <c r="Y112" s="4">
        <f>Y111*(1+'Data Entry'!$C$8)</f>
        <v>132625.28616426451</v>
      </c>
      <c r="Z112" s="4">
        <f>SUMIF(monthly_mortgage_schedule[Calendar Year],mortgage[[#This Row],[Calendar Year]],monthly_mortgage_schedule[PMI with Additional Payments])</f>
        <v>0</v>
      </c>
      <c r="AA112" s="4">
        <f>mortgage[[#This Row],[Interest]]+mortgage[[#This Row],[Property Taxes]]</f>
        <v>132625.28616426451</v>
      </c>
      <c r="AB112" s="4">
        <f>AB111*(1+'Data Entry'!$C$10)</f>
        <v>18235.976847586375</v>
      </c>
      <c r="AC112" s="4">
        <f>AC111*(1+'Data Entry'!$C$9)</f>
        <v>99468.96462319835</v>
      </c>
      <c r="AD112" s="4">
        <f>SUMIF(nonroutine_maintenance_expenses[Year (YYYY)],mortgage[[#This Row],[Calendar Year]],nonroutine_maintenance_expenses[Amount ($)])</f>
        <v>0</v>
      </c>
      <c r="AE112" s="4">
        <f>AE111*(1+'Data Entry'!C$7)</f>
        <v>15757397.134988932</v>
      </c>
      <c r="AF112" s="4">
        <f t="shared" si="10"/>
        <v>15708906.034713544</v>
      </c>
      <c r="AG112" s="4">
        <f>mortgage[[#This Row],[Principal]]+mortgage[[#This Row],[Extra Payment Towards Equity]]+AG111</f>
        <v>542995.30794004421</v>
      </c>
      <c r="AH112" s="4">
        <f t="shared" si="11"/>
        <v>506863.32958102686</v>
      </c>
      <c r="AI112" s="4">
        <f>AI111+mortgage[[#This Row],[Principal]]+mortgage[[#This Row],[Extra Payment Towards Equity]]</f>
        <v>602995.30794004421</v>
      </c>
      <c r="AJ112" s="180">
        <f>mortgage[[#This Row],[Cumulative Equity (EOY)]]/purchase_price</f>
        <v>1.0049921799000736</v>
      </c>
      <c r="AK112" s="180">
        <f>mortgage[[#This Row],[Loan Balance (BOY)]]/mortgage[[#This Row],[Est. Home Value (EOY)]]</f>
        <v>0</v>
      </c>
      <c r="AL112" s="4">
        <f t="shared" si="8"/>
        <v>0</v>
      </c>
      <c r="AM112" s="4">
        <f>SUM(mortgage[[#This Row],[Property Taxes]],mortgage[[#This Row],[PMI]],mortgage[[#This Row],[Homeowners Insurance]],mortgage[[#This Row],[Routine Maintenance]],mortgage[[#This Row],[Non-Routine Maintenance]])</f>
        <v>250330.22763504923</v>
      </c>
      <c r="AN112" s="160">
        <f>mortgage[[#This Row],[Total Annual Indirect Housing Expenses]]+AN111</f>
        <v>8147057.8154700184</v>
      </c>
    </row>
    <row r="113" spans="9:40" x14ac:dyDescent="0.25">
      <c r="I113">
        <v>97</v>
      </c>
      <c r="J113">
        <f t="shared" si="9"/>
        <v>2118</v>
      </c>
      <c r="K113" s="198">
        <f>IF(mortgage[[#This Row],[Calendar Year]]&gt;=$C$8,mortgage[[#This Row],[Calendar Year]],NA())</f>
        <v>2118</v>
      </c>
      <c r="L113" s="198" t="e">
        <f>IF((mortgage[[#This Row],[Calendar Year]]&gt;=$C$8)*(mortgage[[#This Row],[Calendar Year]]&lt;=$C$10),mortgage[[#This Row],[Calendar Year]],NA())</f>
        <v>#N/A</v>
      </c>
      <c r="M113" s="214" t="e">
        <f>IF((mortgage[[#This Row],[Calendar Year]]&gt;=$C$8)*(mortgage[[#This Row],[Calendar Year]]&lt;=$C$10),mortgage[[#This Row],[Loan Balance (BOY)]],NA())</f>
        <v>#N/A</v>
      </c>
      <c r="N113" s="214" t="e">
        <f>IF((mortgage[[#This Row],[Begin Year (Range)]]&gt;=$C$8)*(mortgage[[#This Row],[Begin Year (Range)]]&lt;=$C$10),mortgage[[#This Row],[Cumulative Interest (EOY)]],NA())</f>
        <v>#N/A</v>
      </c>
      <c r="O113" s="214" t="e">
        <f>IF((mortgage[[#This Row],[Year (Range)]]&gt;=$C$8)*(mortgage[[#This Row],[Year (Range)]]&lt;=$C$10),mortgage[[#This Row],[Cumulative Principal (EOY)]],NA())</f>
        <v>#N/A</v>
      </c>
      <c r="P113" s="214" t="e">
        <f>IF((mortgage[[#This Row],[Year (Range)]]&gt;=$C$8)*(mortgage[[#This Row],[Year (Range)]]&lt;=$C$10),mortgage[[#This Row],[Cumulative Appreciation (EOY)]],NA())</f>
        <v>#N/A</v>
      </c>
      <c r="Q113" s="214" t="e">
        <f>IF((mortgage[[#This Row],[Year (Range)]]&gt;=$C$8)*(mortgage[[#This Row],[Year (Range)]]&lt;=$C$10),mortgage[[#This Row],[Cumulative Equity (EOY)]],NA())</f>
        <v>#N/A</v>
      </c>
      <c r="R113" s="214" t="e">
        <f>IF((mortgage[[#This Row],[Year (Range)]]&gt;=$C$8)*(mortgage[[#This Row],[Year (Range)]]&lt;=$C$10),mortgage[[#This Row],[Cumulative Total Indirect Housing Expenses]],NA())</f>
        <v>#N/A</v>
      </c>
      <c r="S113" s="214" t="e">
        <f>IF((mortgage[[#This Row],[Year (Range)]]&gt;=$C$8)*(mortgage[[#This Row],[Year (Range)]]&lt;=$C$10),mortgage[[#This Row],[Total Annual Indirect Housing Expenses]],NA())</f>
        <v>#N/A</v>
      </c>
      <c r="T113" s="214" t="e">
        <f>IF((mortgage[[#This Row],[Year (Range)]]&gt;=$C$8)*(mortgage[[#This Row],[Year (Range)]]&lt;=$C$10),mortgage[[#This Row],[Est. Home Value (EOY)]],NA())</f>
        <v>#N/A</v>
      </c>
      <c r="U113" s="164">
        <f>IF(U112&lt;W112,0,IF(I113&lt;='Data Entry'!$F$9,(U112-(W112+X112)),0))</f>
        <v>0</v>
      </c>
      <c r="V113" s="183">
        <f>SUMIF(monthly_mortgage_schedule[Calendar Year],mortgage[[#This Row],[Calendar Year]],monthly_mortgage_schedule[Interest With Extra Principal Payments])</f>
        <v>0</v>
      </c>
      <c r="W113" s="4">
        <f>SUMIF(monthly_mortgage_schedule[Calendar Year],mortgage[[#This Row],[Calendar Year]],monthly_mortgage_schedule[Principal With Extra Principal Payments])</f>
        <v>0</v>
      </c>
      <c r="X113" s="4">
        <f>SUMIF(monthly_mortgage_schedule[Calendar Year],mortgage[[#This Row],[Calendar Year]],monthly_mortgage_schedule[Extra Payments Towards Equity])</f>
        <v>0</v>
      </c>
      <c r="Y113" s="4">
        <f>Y112*(1+'Data Entry'!$C$8)</f>
        <v>136604.04474919246</v>
      </c>
      <c r="Z113" s="4">
        <f>SUMIF(monthly_mortgage_schedule[Calendar Year],mortgage[[#This Row],[Calendar Year]],monthly_mortgage_schedule[PMI with Additional Payments])</f>
        <v>0</v>
      </c>
      <c r="AA113" s="4">
        <f>mortgage[[#This Row],[Interest]]+mortgage[[#This Row],[Property Taxes]]</f>
        <v>136604.04474919246</v>
      </c>
      <c r="AB113" s="4">
        <f>AB112*(1+'Data Entry'!$C$10)</f>
        <v>18783.056153013968</v>
      </c>
      <c r="AC113" s="4">
        <f>AC112*(1+'Data Entry'!$C$9)</f>
        <v>102453.03356189431</v>
      </c>
      <c r="AD113" s="4">
        <f>SUMIF(nonroutine_maintenance_expenses[Year (YYYY)],mortgage[[#This Row],[Calendar Year]],nonroutine_maintenance_expenses[Amount ($)])</f>
        <v>0</v>
      </c>
      <c r="AE113" s="4">
        <f>AE112*(1+'Data Entry'!C$7)</f>
        <v>16308906.034713544</v>
      </c>
      <c r="AF113" s="4">
        <f t="shared" si="10"/>
        <v>16279717.745928518</v>
      </c>
      <c r="AG113" s="4">
        <f>mortgage[[#This Row],[Principal]]+mortgage[[#This Row],[Extra Payment Towards Equity]]+AG112</f>
        <v>542995.30794004421</v>
      </c>
      <c r="AH113" s="4">
        <f t="shared" si="11"/>
        <v>506863.32958102686</v>
      </c>
      <c r="AI113" s="4">
        <f>AI112+mortgage[[#This Row],[Principal]]+mortgage[[#This Row],[Extra Payment Towards Equity]]</f>
        <v>602995.30794004421</v>
      </c>
      <c r="AJ113" s="180">
        <f>mortgage[[#This Row],[Cumulative Equity (EOY)]]/purchase_price</f>
        <v>1.0049921799000736</v>
      </c>
      <c r="AK113" s="180">
        <f>mortgage[[#This Row],[Loan Balance (BOY)]]/mortgage[[#This Row],[Est. Home Value (EOY)]]</f>
        <v>0</v>
      </c>
      <c r="AL113" s="4">
        <f t="shared" si="8"/>
        <v>0</v>
      </c>
      <c r="AM113" s="4">
        <f>SUM(mortgage[[#This Row],[Property Taxes]],mortgage[[#This Row],[PMI]],mortgage[[#This Row],[Homeowners Insurance]],mortgage[[#This Row],[Routine Maintenance]],mortgage[[#This Row],[Non-Routine Maintenance]])</f>
        <v>257840.13446410076</v>
      </c>
      <c r="AN113" s="160">
        <f>mortgage[[#This Row],[Total Annual Indirect Housing Expenses]]+AN112</f>
        <v>8404897.9499341194</v>
      </c>
    </row>
    <row r="114" spans="9:40" x14ac:dyDescent="0.25">
      <c r="I114">
        <v>98</v>
      </c>
      <c r="J114">
        <f t="shared" si="9"/>
        <v>2119</v>
      </c>
      <c r="K114" s="198">
        <f>IF(mortgage[[#This Row],[Calendar Year]]&gt;=$C$8,mortgage[[#This Row],[Calendar Year]],NA())</f>
        <v>2119</v>
      </c>
      <c r="L114" s="198" t="e">
        <f>IF((mortgage[[#This Row],[Calendar Year]]&gt;=$C$8)*(mortgage[[#This Row],[Calendar Year]]&lt;=$C$10),mortgage[[#This Row],[Calendar Year]],NA())</f>
        <v>#N/A</v>
      </c>
      <c r="M114" s="214" t="e">
        <f>IF((mortgage[[#This Row],[Calendar Year]]&gt;=$C$8)*(mortgage[[#This Row],[Calendar Year]]&lt;=$C$10),mortgage[[#This Row],[Loan Balance (BOY)]],NA())</f>
        <v>#N/A</v>
      </c>
      <c r="N114" s="214" t="e">
        <f>IF((mortgage[[#This Row],[Begin Year (Range)]]&gt;=$C$8)*(mortgage[[#This Row],[Begin Year (Range)]]&lt;=$C$10),mortgage[[#This Row],[Cumulative Interest (EOY)]],NA())</f>
        <v>#N/A</v>
      </c>
      <c r="O114" s="214" t="e">
        <f>IF((mortgage[[#This Row],[Year (Range)]]&gt;=$C$8)*(mortgage[[#This Row],[Year (Range)]]&lt;=$C$10),mortgage[[#This Row],[Cumulative Principal (EOY)]],NA())</f>
        <v>#N/A</v>
      </c>
      <c r="P114" s="214" t="e">
        <f>IF((mortgage[[#This Row],[Year (Range)]]&gt;=$C$8)*(mortgage[[#This Row],[Year (Range)]]&lt;=$C$10),mortgage[[#This Row],[Cumulative Appreciation (EOY)]],NA())</f>
        <v>#N/A</v>
      </c>
      <c r="Q114" s="214" t="e">
        <f>IF((mortgage[[#This Row],[Year (Range)]]&gt;=$C$8)*(mortgage[[#This Row],[Year (Range)]]&lt;=$C$10),mortgage[[#This Row],[Cumulative Equity (EOY)]],NA())</f>
        <v>#N/A</v>
      </c>
      <c r="R114" s="214" t="e">
        <f>IF((mortgage[[#This Row],[Year (Range)]]&gt;=$C$8)*(mortgage[[#This Row],[Year (Range)]]&lt;=$C$10),mortgage[[#This Row],[Cumulative Total Indirect Housing Expenses]],NA())</f>
        <v>#N/A</v>
      </c>
      <c r="S114" s="214" t="e">
        <f>IF((mortgage[[#This Row],[Year (Range)]]&gt;=$C$8)*(mortgage[[#This Row],[Year (Range)]]&lt;=$C$10),mortgage[[#This Row],[Total Annual Indirect Housing Expenses]],NA())</f>
        <v>#N/A</v>
      </c>
      <c r="T114" s="214" t="e">
        <f>IF((mortgage[[#This Row],[Year (Range)]]&gt;=$C$8)*(mortgage[[#This Row],[Year (Range)]]&lt;=$C$10),mortgage[[#This Row],[Est. Home Value (EOY)]],NA())</f>
        <v>#N/A</v>
      </c>
      <c r="U114" s="164">
        <f>IF(U113&lt;W113,0,IF(I114&lt;='Data Entry'!$F$9,(U113-(W113+X113)),0))</f>
        <v>0</v>
      </c>
      <c r="V114" s="183">
        <f>SUMIF(monthly_mortgage_schedule[Calendar Year],mortgage[[#This Row],[Calendar Year]],monthly_mortgage_schedule[Interest With Extra Principal Payments])</f>
        <v>0</v>
      </c>
      <c r="W114" s="4">
        <f>SUMIF(monthly_mortgage_schedule[Calendar Year],mortgage[[#This Row],[Calendar Year]],monthly_mortgage_schedule[Principal With Extra Principal Payments])</f>
        <v>0</v>
      </c>
      <c r="X114" s="4">
        <f>SUMIF(monthly_mortgage_schedule[Calendar Year],mortgage[[#This Row],[Calendar Year]],monthly_mortgage_schedule[Extra Payments Towards Equity])</f>
        <v>0</v>
      </c>
      <c r="Y114" s="4">
        <f>Y113*(1+'Data Entry'!$C$8)</f>
        <v>140702.16609166824</v>
      </c>
      <c r="Z114" s="4">
        <f>SUMIF(monthly_mortgage_schedule[Calendar Year],mortgage[[#This Row],[Calendar Year]],monthly_mortgage_schedule[PMI with Additional Payments])</f>
        <v>0</v>
      </c>
      <c r="AA114" s="4">
        <f>mortgage[[#This Row],[Interest]]+mortgage[[#This Row],[Property Taxes]]</f>
        <v>140702.16609166824</v>
      </c>
      <c r="AB114" s="4">
        <f>AB113*(1+'Data Entry'!$C$10)</f>
        <v>19346.547837604387</v>
      </c>
      <c r="AC114" s="4">
        <f>AC113*(1+'Data Entry'!$C$9)</f>
        <v>105526.62456875114</v>
      </c>
      <c r="AD114" s="4">
        <f>SUMIF(nonroutine_maintenance_expenses[Year (YYYY)],mortgage[[#This Row],[Calendar Year]],nonroutine_maintenance_expenses[Amount ($)])</f>
        <v>0</v>
      </c>
      <c r="AE114" s="4">
        <f>AE113*(1+'Data Entry'!C$7)</f>
        <v>16879717.745928518</v>
      </c>
      <c r="AF114" s="4">
        <f t="shared" ref="AF114:AF116" si="12">IF(AE115&gt;1,AF113+(AE115-AE114),0)</f>
        <v>16870507.867036015</v>
      </c>
      <c r="AG114" s="4">
        <f>mortgage[[#This Row],[Principal]]+mortgage[[#This Row],[Extra Payment Towards Equity]]+AG113</f>
        <v>542995.30794004421</v>
      </c>
      <c r="AH114" s="4">
        <f t="shared" si="11"/>
        <v>506863.32958102686</v>
      </c>
      <c r="AI114" s="4">
        <f>AI113+mortgage[[#This Row],[Principal]]+mortgage[[#This Row],[Extra Payment Towards Equity]]</f>
        <v>602995.30794004421</v>
      </c>
      <c r="AJ114" s="180">
        <f>mortgage[[#This Row],[Cumulative Equity (EOY)]]/purchase_price</f>
        <v>1.0049921799000736</v>
      </c>
      <c r="AK114" s="180">
        <f>mortgage[[#This Row],[Loan Balance (BOY)]]/mortgage[[#This Row],[Est. Home Value (EOY)]]</f>
        <v>0</v>
      </c>
      <c r="AL114" s="4">
        <f t="shared" si="8"/>
        <v>0</v>
      </c>
      <c r="AM114" s="4">
        <f>SUM(mortgage[[#This Row],[Property Taxes]],mortgage[[#This Row],[PMI]],mortgage[[#This Row],[Homeowners Insurance]],mortgage[[#This Row],[Routine Maintenance]],mortgage[[#This Row],[Non-Routine Maintenance]])</f>
        <v>265575.3384980238</v>
      </c>
      <c r="AN114" s="160">
        <f>mortgage[[#This Row],[Total Annual Indirect Housing Expenses]]+AN113</f>
        <v>8670473.2884321436</v>
      </c>
    </row>
    <row r="115" spans="9:40" x14ac:dyDescent="0.25">
      <c r="I115">
        <v>99</v>
      </c>
      <c r="J115">
        <f t="shared" si="9"/>
        <v>2120</v>
      </c>
      <c r="K115" s="198">
        <f>IF(mortgage[[#This Row],[Calendar Year]]&gt;=$C$8,mortgage[[#This Row],[Calendar Year]],NA())</f>
        <v>2120</v>
      </c>
      <c r="L115" s="198" t="e">
        <f>IF((mortgage[[#This Row],[Calendar Year]]&gt;=$C$8)*(mortgage[[#This Row],[Calendar Year]]&lt;=$C$10),mortgage[[#This Row],[Calendar Year]],NA())</f>
        <v>#N/A</v>
      </c>
      <c r="M115" s="214" t="e">
        <f>IF((mortgage[[#This Row],[Calendar Year]]&gt;=$C$8)*(mortgage[[#This Row],[Calendar Year]]&lt;=$C$10),mortgage[[#This Row],[Loan Balance (BOY)]],NA())</f>
        <v>#N/A</v>
      </c>
      <c r="N115" s="214" t="e">
        <f>IF((mortgage[[#This Row],[Begin Year (Range)]]&gt;=$C$8)*(mortgage[[#This Row],[Begin Year (Range)]]&lt;=$C$10),mortgage[[#This Row],[Cumulative Interest (EOY)]],NA())</f>
        <v>#N/A</v>
      </c>
      <c r="O115" s="214" t="e">
        <f>IF((mortgage[[#This Row],[Year (Range)]]&gt;=$C$8)*(mortgage[[#This Row],[Year (Range)]]&lt;=$C$10),mortgage[[#This Row],[Cumulative Principal (EOY)]],NA())</f>
        <v>#N/A</v>
      </c>
      <c r="P115" s="214" t="e">
        <f>IF((mortgage[[#This Row],[Year (Range)]]&gt;=$C$8)*(mortgage[[#This Row],[Year (Range)]]&lt;=$C$10),mortgage[[#This Row],[Cumulative Appreciation (EOY)]],NA())</f>
        <v>#N/A</v>
      </c>
      <c r="Q115" s="214" t="e">
        <f>IF((mortgage[[#This Row],[Year (Range)]]&gt;=$C$8)*(mortgage[[#This Row],[Year (Range)]]&lt;=$C$10),mortgage[[#This Row],[Cumulative Equity (EOY)]],NA())</f>
        <v>#N/A</v>
      </c>
      <c r="R115" s="214" t="e">
        <f>IF((mortgage[[#This Row],[Year (Range)]]&gt;=$C$8)*(mortgage[[#This Row],[Year (Range)]]&lt;=$C$10),mortgage[[#This Row],[Cumulative Total Indirect Housing Expenses]],NA())</f>
        <v>#N/A</v>
      </c>
      <c r="S115" s="214" t="e">
        <f>IF((mortgage[[#This Row],[Year (Range)]]&gt;=$C$8)*(mortgage[[#This Row],[Year (Range)]]&lt;=$C$10),mortgage[[#This Row],[Total Annual Indirect Housing Expenses]],NA())</f>
        <v>#N/A</v>
      </c>
      <c r="T115" s="214" t="e">
        <f>IF((mortgage[[#This Row],[Year (Range)]]&gt;=$C$8)*(mortgage[[#This Row],[Year (Range)]]&lt;=$C$10),mortgage[[#This Row],[Est. Home Value (EOY)]],NA())</f>
        <v>#N/A</v>
      </c>
      <c r="U115" s="164">
        <f>IF(U114&lt;W114,0,IF(I115&lt;='Data Entry'!$F$9,(U114-(W114+X114)),0))</f>
        <v>0</v>
      </c>
      <c r="V115" s="183">
        <f>SUMIF(monthly_mortgage_schedule[Calendar Year],mortgage[[#This Row],[Calendar Year]],monthly_mortgage_schedule[Interest With Extra Principal Payments])</f>
        <v>0</v>
      </c>
      <c r="W115" s="4">
        <f>SUMIF(monthly_mortgage_schedule[Calendar Year],mortgage[[#This Row],[Calendar Year]],monthly_mortgage_schedule[Principal With Extra Principal Payments])</f>
        <v>0</v>
      </c>
      <c r="X115" s="4">
        <f>SUMIF(monthly_mortgage_schedule[Calendar Year],mortgage[[#This Row],[Calendar Year]],monthly_mortgage_schedule[Extra Payments Towards Equity])</f>
        <v>0</v>
      </c>
      <c r="Y115" s="4">
        <f>Y114*(1+'Data Entry'!$C$8)</f>
        <v>144923.23107441829</v>
      </c>
      <c r="Z115" s="4">
        <f>SUMIF(monthly_mortgage_schedule[Calendar Year],mortgage[[#This Row],[Calendar Year]],monthly_mortgage_schedule[PMI with Additional Payments])</f>
        <v>0</v>
      </c>
      <c r="AA115" s="4">
        <f>mortgage[[#This Row],[Interest]]+mortgage[[#This Row],[Property Taxes]]</f>
        <v>144923.23107441829</v>
      </c>
      <c r="AB115" s="4">
        <f>AB114*(1+'Data Entry'!$C$10)</f>
        <v>19926.944272732519</v>
      </c>
      <c r="AC115" s="4">
        <f>AC114*(1+'Data Entry'!$C$9)</f>
        <v>108692.42330581367</v>
      </c>
      <c r="AD115" s="4">
        <f>SUMIF(nonroutine_maintenance_expenses[Year (YYYY)],mortgage[[#This Row],[Calendar Year]],nonroutine_maintenance_expenses[Amount ($)])</f>
        <v>0</v>
      </c>
      <c r="AE115" s="4">
        <f>AE114*(1+'Data Entry'!C$7)</f>
        <v>17470507.867036015</v>
      </c>
      <c r="AF115" s="4">
        <f t="shared" si="12"/>
        <v>17481975.642382275</v>
      </c>
      <c r="AG115" s="4">
        <f>mortgage[[#This Row],[Principal]]+mortgage[[#This Row],[Extra Payment Towards Equity]]+AG114</f>
        <v>542995.30794004421</v>
      </c>
      <c r="AH115" s="4">
        <f t="shared" si="11"/>
        <v>506863.32958102686</v>
      </c>
      <c r="AI115" s="4">
        <f>AI114+mortgage[[#This Row],[Principal]]+mortgage[[#This Row],[Extra Payment Towards Equity]]</f>
        <v>602995.30794004421</v>
      </c>
      <c r="AJ115" s="180">
        <f>mortgage[[#This Row],[Cumulative Equity (EOY)]]/purchase_price</f>
        <v>1.0049921799000736</v>
      </c>
      <c r="AK115" s="180">
        <f>mortgage[[#This Row],[Loan Balance (BOY)]]/mortgage[[#This Row],[Est. Home Value (EOY)]]</f>
        <v>0</v>
      </c>
      <c r="AL115" s="4">
        <f t="shared" si="8"/>
        <v>0</v>
      </c>
      <c r="AM115" s="4">
        <f>SUM(mortgage[[#This Row],[Property Taxes]],mortgage[[#This Row],[PMI]],mortgage[[#This Row],[Homeowners Insurance]],mortgage[[#This Row],[Routine Maintenance]],mortgage[[#This Row],[Non-Routine Maintenance]])</f>
        <v>273542.59865296446</v>
      </c>
      <c r="AN115" s="160">
        <f>mortgage[[#This Row],[Total Annual Indirect Housing Expenses]]+AN114</f>
        <v>8944015.8870851081</v>
      </c>
    </row>
    <row r="116" spans="9:40" x14ac:dyDescent="0.25">
      <c r="I116">
        <v>100</v>
      </c>
      <c r="J116">
        <f t="shared" si="9"/>
        <v>2121</v>
      </c>
      <c r="K116" s="198">
        <f>IF(mortgage[[#This Row],[Calendar Year]]&gt;=$C$8,mortgage[[#This Row],[Calendar Year]],NA())</f>
        <v>2121</v>
      </c>
      <c r="L116" s="198" t="e">
        <f>IF((mortgage[[#This Row],[Calendar Year]]&gt;=$C$8)*(mortgage[[#This Row],[Calendar Year]]&lt;=$C$10),mortgage[[#This Row],[Calendar Year]],NA())</f>
        <v>#N/A</v>
      </c>
      <c r="M116" s="214" t="e">
        <f>IF((mortgage[[#This Row],[Calendar Year]]&gt;=$C$8)*(mortgage[[#This Row],[Calendar Year]]&lt;=$C$10),mortgage[[#This Row],[Loan Balance (BOY)]],NA())</f>
        <v>#N/A</v>
      </c>
      <c r="N116" s="214" t="e">
        <f>IF((mortgage[[#This Row],[Begin Year (Range)]]&gt;=$C$8)*(mortgage[[#This Row],[Begin Year (Range)]]&lt;=$C$10),mortgage[[#This Row],[Cumulative Interest (EOY)]],NA())</f>
        <v>#N/A</v>
      </c>
      <c r="O116" s="214" t="e">
        <f>IF((mortgage[[#This Row],[Year (Range)]]&gt;=$C$8)*(mortgage[[#This Row],[Year (Range)]]&lt;=$C$10),mortgage[[#This Row],[Cumulative Principal (EOY)]],NA())</f>
        <v>#N/A</v>
      </c>
      <c r="P116" s="214" t="e">
        <f>IF((mortgage[[#This Row],[Year (Range)]]&gt;=$C$8)*(mortgage[[#This Row],[Year (Range)]]&lt;=$C$10),mortgage[[#This Row],[Cumulative Appreciation (EOY)]],NA())</f>
        <v>#N/A</v>
      </c>
      <c r="Q116" s="214" t="e">
        <f>IF((mortgage[[#This Row],[Year (Range)]]&gt;=$C$8)*(mortgage[[#This Row],[Year (Range)]]&lt;=$C$10),mortgage[[#This Row],[Cumulative Equity (EOY)]],NA())</f>
        <v>#N/A</v>
      </c>
      <c r="R116" s="214" t="e">
        <f>IF((mortgage[[#This Row],[Year (Range)]]&gt;=$C$8)*(mortgage[[#This Row],[Year (Range)]]&lt;=$C$10),mortgage[[#This Row],[Cumulative Total Indirect Housing Expenses]],NA())</f>
        <v>#N/A</v>
      </c>
      <c r="S116" s="214" t="e">
        <f>IF((mortgage[[#This Row],[Year (Range)]]&gt;=$C$8)*(mortgage[[#This Row],[Year (Range)]]&lt;=$C$10),mortgage[[#This Row],[Total Annual Indirect Housing Expenses]],NA())</f>
        <v>#N/A</v>
      </c>
      <c r="T116" s="214" t="e">
        <f>IF((mortgage[[#This Row],[Year (Range)]]&gt;=$C$8)*(mortgage[[#This Row],[Year (Range)]]&lt;=$C$10),mortgage[[#This Row],[Est. Home Value (EOY)]],NA())</f>
        <v>#N/A</v>
      </c>
      <c r="U116" s="164">
        <f>IF(U115&lt;W115,0,IF(I116&lt;='Data Entry'!$F$9,(U115-(W115+X115)),0))</f>
        <v>0</v>
      </c>
      <c r="V116" s="183">
        <f>SUMIF(monthly_mortgage_schedule[Calendar Year],mortgage[[#This Row],[Calendar Year]],monthly_mortgage_schedule[Interest With Extra Principal Payments])</f>
        <v>0</v>
      </c>
      <c r="W116" s="4">
        <f>SUMIF(monthly_mortgage_schedule[Calendar Year],mortgage[[#This Row],[Calendar Year]],monthly_mortgage_schedule[Principal With Extra Principal Payments])</f>
        <v>0</v>
      </c>
      <c r="X116" s="4">
        <f>SUMIF(monthly_mortgage_schedule[Calendar Year],mortgage[[#This Row],[Calendar Year]],monthly_mortgage_schedule[Extra Payments Towards Equity])</f>
        <v>0</v>
      </c>
      <c r="Y116" s="4">
        <f>Y115*(1+'Data Entry'!$C$8)</f>
        <v>149270.92800665085</v>
      </c>
      <c r="Z116" s="4">
        <f>SUMIF(monthly_mortgage_schedule[Calendar Year],mortgage[[#This Row],[Calendar Year]],monthly_mortgage_schedule[PMI with Additional Payments])</f>
        <v>0</v>
      </c>
      <c r="AA116" s="4">
        <f>mortgage[[#This Row],[Interest]]+mortgage[[#This Row],[Property Taxes]]</f>
        <v>149270.92800665085</v>
      </c>
      <c r="AB116" s="4">
        <f>AB115*(1+'Data Entry'!$C$10)</f>
        <v>20524.752600914493</v>
      </c>
      <c r="AC116" s="4">
        <f>AC115*(1+'Data Entry'!$C$9)</f>
        <v>111953.19600498809</v>
      </c>
      <c r="AD116" s="4">
        <f>SUMIF(nonroutine_maintenance_expenses[Year (YYYY)],mortgage[[#This Row],[Calendar Year]],nonroutine_maintenance_expenses[Amount ($)])</f>
        <v>0</v>
      </c>
      <c r="AE116" s="4">
        <f>AE115*(1+'Data Entry'!C$7)</f>
        <v>18081975.642382275</v>
      </c>
      <c r="AF116" s="4">
        <f t="shared" si="12"/>
        <v>0</v>
      </c>
      <c r="AG116" s="4">
        <f>mortgage[[#This Row],[Principal]]+mortgage[[#This Row],[Extra Payment Towards Equity]]+AG115</f>
        <v>542995.30794004421</v>
      </c>
      <c r="AH116" s="4">
        <f t="shared" si="11"/>
        <v>506863.32958102686</v>
      </c>
      <c r="AI116" s="4">
        <f>AI115+mortgage[[#This Row],[Principal]]+mortgage[[#This Row],[Extra Payment Towards Equity]]</f>
        <v>602995.30794004421</v>
      </c>
      <c r="AJ116" s="180">
        <f>mortgage[[#This Row],[Cumulative Equity (EOY)]]/purchase_price</f>
        <v>1.0049921799000736</v>
      </c>
      <c r="AK116" s="180">
        <f>mortgage[[#This Row],[Loan Balance (BOY)]]/mortgage[[#This Row],[Est. Home Value (EOY)]]</f>
        <v>0</v>
      </c>
      <c r="AL116" s="4">
        <f t="shared" si="8"/>
        <v>0</v>
      </c>
      <c r="AM116" s="4">
        <f>SUM(mortgage[[#This Row],[Property Taxes]],mortgage[[#This Row],[PMI]],mortgage[[#This Row],[Homeowners Insurance]],mortgage[[#This Row],[Routine Maintenance]],mortgage[[#This Row],[Non-Routine Maintenance]])</f>
        <v>281748.87661255343</v>
      </c>
      <c r="AN116" s="160">
        <f>mortgage[[#This Row],[Total Annual Indirect Housing Expenses]]+AN115</f>
        <v>9225764.7636976615</v>
      </c>
    </row>
    <row r="117" spans="9:40" x14ac:dyDescent="0.25">
      <c r="AG117" s="58"/>
    </row>
  </sheetData>
  <sheetProtection algorithmName="SHA-512" hashValue="k2U2q19TlmZhtpFRbA01RQSVyC5NCBJSkrR3Ba5jy45ay8OqJey5MIfmu8PKh0xsVwK2i1YhaqUQhHKJzrBpgQ==" saltValue="kX4g/3RN3h/qUxEc6tLyIg==" spinCount="100000" sheet="1" objects="1" scenarios="1"/>
  <mergeCells count="5">
    <mergeCell ref="C8:C9"/>
    <mergeCell ref="B7:C7"/>
    <mergeCell ref="B8:B9"/>
    <mergeCell ref="C10:C11"/>
    <mergeCell ref="B10:B11"/>
  </mergeCells>
  <phoneticPr fontId="6" type="noConversion"/>
  <pageMargins left="0.25" right="0.25" top="0.75" bottom="0.75" header="0.3" footer="0.3"/>
  <pageSetup scale="31" fitToHeight="0" orientation="landscape" r:id="rId1"/>
  <ignoredErrors>
    <ignoredError sqref="Y17 Y18:Y116 AH17 J42:J116 J17:J41 AI18:AI116 AF17:AF116 AK17" calculatedColumn="1"/>
  </ignoredErrors>
  <drawing r:id="rId2"/>
  <legacyDrawing r:id="rId3"/>
  <mc:AlternateContent xmlns:mc="http://schemas.openxmlformats.org/markup-compatibility/2006">
    <mc:Choice Requires="x14">
      <controls>
        <mc:AlternateContent xmlns:mc="http://schemas.openxmlformats.org/markup-compatibility/2006">
          <mc:Choice Requires="x14">
            <control shapeId="51215" r:id="rId4" name="Spinner 15">
              <controlPr defaultSize="0" autoPict="0">
                <anchor moveWithCells="1" sizeWithCells="1">
                  <from>
                    <xdr:col>3</xdr:col>
                    <xdr:colOff>15240</xdr:colOff>
                    <xdr:row>6</xdr:row>
                    <xdr:rowOff>167640</xdr:rowOff>
                  </from>
                  <to>
                    <xdr:col>3</xdr:col>
                    <xdr:colOff>281940</xdr:colOff>
                    <xdr:row>8</xdr:row>
                    <xdr:rowOff>167640</xdr:rowOff>
                  </to>
                </anchor>
              </controlPr>
            </control>
          </mc:Choice>
        </mc:AlternateContent>
        <mc:AlternateContent xmlns:mc="http://schemas.openxmlformats.org/markup-compatibility/2006">
          <mc:Choice Requires="x14">
            <control shapeId="51216" r:id="rId5" name="Spinner 16">
              <controlPr defaultSize="0" autoPict="0">
                <anchor moveWithCells="1" sizeWithCells="1">
                  <from>
                    <xdr:col>3</xdr:col>
                    <xdr:colOff>22860</xdr:colOff>
                    <xdr:row>9</xdr:row>
                    <xdr:rowOff>7620</xdr:rowOff>
                  </from>
                  <to>
                    <xdr:col>3</xdr:col>
                    <xdr:colOff>281940</xdr:colOff>
                    <xdr:row>11</xdr:row>
                    <xdr:rowOff>0</xdr:rowOff>
                  </to>
                </anchor>
              </controlPr>
            </control>
          </mc:Choice>
        </mc:AlternateContent>
      </controls>
    </mc:Choice>
  </mc:AlternateContent>
  <tableParts count="1">
    <tablePart r:id="rId6"/>
  </tablePar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3D517-ED35-4777-9BA1-56CE87D07543}">
  <sheetPr>
    <tabColor theme="4" tint="0.79998168889431442"/>
    <pageSetUpPr fitToPage="1"/>
  </sheetPr>
  <dimension ref="B5:AG117"/>
  <sheetViews>
    <sheetView zoomScaleNormal="100" workbookViewId="0"/>
  </sheetViews>
  <sheetFormatPr defaultRowHeight="13.2" x14ac:dyDescent="0.25"/>
  <cols>
    <col min="1" max="1" width="5.6640625" style="11" customWidth="1"/>
    <col min="2" max="2" width="10.21875" style="11" bestFit="1" customWidth="1"/>
    <col min="3" max="9" width="8.88671875" style="11"/>
    <col min="10" max="10" width="9.21875" style="11" customWidth="1"/>
    <col min="11" max="11" width="5" style="11" bestFit="1" customWidth="1"/>
    <col min="12" max="12" width="9.109375" style="11" customWidth="1"/>
    <col min="13" max="13" width="12.88671875" style="11" hidden="1" customWidth="1"/>
    <col min="14" max="14" width="10.109375" style="11" hidden="1" customWidth="1"/>
    <col min="15" max="16" width="15.5546875" style="11" hidden="1" customWidth="1"/>
    <col min="17" max="17" width="25.5546875" style="11" hidden="1" customWidth="1"/>
    <col min="18" max="18" width="31.5546875" style="11" hidden="1" customWidth="1"/>
    <col min="19" max="19" width="24.109375" style="11" hidden="1" customWidth="1"/>
    <col min="20" max="20" width="24" style="11" hidden="1" customWidth="1"/>
    <col min="21" max="22" width="20.6640625" style="11" hidden="1" customWidth="1"/>
    <col min="23" max="23" width="18.44140625" style="11" customWidth="1"/>
    <col min="24" max="24" width="20" style="11" customWidth="1"/>
    <col min="25" max="25" width="18.33203125" style="11" customWidth="1"/>
    <col min="26" max="26" width="15.5546875" style="11" customWidth="1"/>
    <col min="27" max="27" width="16.21875" style="11" customWidth="1"/>
    <col min="28" max="28" width="15.77734375" style="11" customWidth="1"/>
    <col min="29" max="29" width="7.33203125" style="11" customWidth="1"/>
    <col min="30" max="30" width="5.109375" style="11" hidden="1" customWidth="1"/>
    <col min="31" max="31" width="9.5546875" style="11" hidden="1" customWidth="1"/>
    <col min="32" max="33" width="21.109375" style="11" bestFit="1" customWidth="1"/>
    <col min="34" max="34" width="10.6640625" style="11" customWidth="1"/>
    <col min="35" max="35" width="18.88671875" style="11" customWidth="1"/>
    <col min="36" max="36" width="24.77734375" style="11" customWidth="1"/>
    <col min="37" max="37" width="22.6640625" style="11" customWidth="1"/>
    <col min="38" max="38" width="15.109375" style="11" customWidth="1"/>
    <col min="39" max="39" width="23.6640625" style="11" customWidth="1"/>
    <col min="40" max="40" width="17.109375" style="11" customWidth="1"/>
    <col min="41" max="41" width="6" style="11" customWidth="1"/>
    <col min="42" max="16384" width="8.88671875" style="11"/>
  </cols>
  <sheetData>
    <row r="5" spans="2:33" x14ac:dyDescent="0.25">
      <c r="W5" s="58"/>
    </row>
    <row r="6" spans="2:33" x14ac:dyDescent="0.25">
      <c r="W6" s="58"/>
    </row>
    <row r="7" spans="2:33" x14ac:dyDescent="0.25">
      <c r="B7" s="317" t="s">
        <v>500</v>
      </c>
      <c r="C7" s="317"/>
      <c r="W7" s="58"/>
    </row>
    <row r="8" spans="2:33" x14ac:dyDescent="0.25">
      <c r="B8" s="318" t="s">
        <v>466</v>
      </c>
      <c r="C8" s="320">
        <v>2022</v>
      </c>
      <c r="D8" s="260"/>
      <c r="W8" s="58"/>
    </row>
    <row r="9" spans="2:33" x14ac:dyDescent="0.25">
      <c r="B9" s="319"/>
      <c r="C9" s="321"/>
      <c r="D9" s="260"/>
      <c r="W9" s="58"/>
    </row>
    <row r="10" spans="2:33" x14ac:dyDescent="0.25">
      <c r="B10" s="318" t="s">
        <v>467</v>
      </c>
      <c r="C10" s="322">
        <v>2060</v>
      </c>
      <c r="D10" s="260"/>
    </row>
    <row r="11" spans="2:33" x14ac:dyDescent="0.25">
      <c r="B11" s="319"/>
      <c r="C11" s="323"/>
      <c r="D11" s="260"/>
    </row>
    <row r="16" spans="2:33" x14ac:dyDescent="0.25">
      <c r="W16" s="329" t="s">
        <v>453</v>
      </c>
      <c r="X16" s="329"/>
      <c r="Y16" s="329"/>
      <c r="Z16" s="329"/>
      <c r="AA16" s="328" t="s">
        <v>454</v>
      </c>
      <c r="AB16" s="328"/>
      <c r="AC16" s="165"/>
      <c r="AD16" s="165"/>
      <c r="AE16" s="165"/>
      <c r="AF16" s="330" t="s">
        <v>612</v>
      </c>
      <c r="AG16" s="331"/>
    </row>
    <row r="17" spans="11:33" ht="27" thickBot="1" x14ac:dyDescent="0.3">
      <c r="K17" s="117" t="s">
        <v>3</v>
      </c>
      <c r="L17" s="117" t="s">
        <v>117</v>
      </c>
      <c r="M17" s="197" t="s">
        <v>468</v>
      </c>
      <c r="N17" s="197" t="s">
        <v>472</v>
      </c>
      <c r="O17" s="197" t="s">
        <v>552</v>
      </c>
      <c r="P17" s="197" t="s">
        <v>553</v>
      </c>
      <c r="Q17" s="219" t="s">
        <v>556</v>
      </c>
      <c r="R17" s="219" t="s">
        <v>541</v>
      </c>
      <c r="S17" s="219" t="s">
        <v>557</v>
      </c>
      <c r="T17" s="219" t="s">
        <v>558</v>
      </c>
      <c r="U17" s="219" t="s">
        <v>562</v>
      </c>
      <c r="V17" s="219" t="s">
        <v>561</v>
      </c>
      <c r="W17" s="163" t="s">
        <v>437</v>
      </c>
      <c r="X17" s="163" t="s">
        <v>436</v>
      </c>
      <c r="Y17" s="117" t="s">
        <v>438</v>
      </c>
      <c r="Z17" s="117" t="s">
        <v>559</v>
      </c>
      <c r="AA17" s="117" t="s">
        <v>455</v>
      </c>
      <c r="AB17" s="117" t="s">
        <v>560</v>
      </c>
      <c r="AC17" s="162"/>
      <c r="AD17" s="241" t="s">
        <v>3</v>
      </c>
      <c r="AE17" s="242" t="s">
        <v>117</v>
      </c>
      <c r="AF17" s="117" t="s">
        <v>554</v>
      </c>
      <c r="AG17" s="117" t="s">
        <v>555</v>
      </c>
    </row>
    <row r="18" spans="11:33" x14ac:dyDescent="0.25">
      <c r="K18">
        <v>1</v>
      </c>
      <c r="L18">
        <f>purchase_year</f>
        <v>2022</v>
      </c>
      <c r="M18" s="198">
        <f>IF(AnnualExpenses[[#This Row],[Calendar Year]]&gt;=$C$8,AnnualExpenses[[#This Row],[Calendar Year]],NA())</f>
        <v>2022</v>
      </c>
      <c r="N18" s="198">
        <f>IF((AnnualExpenses[[#This Row],[Calendar Year]]&gt;=$C$8)*(AnnualExpenses[[#This Row],[Calendar Year]]&lt;=$C$10),AnnualExpenses[[#This Row],[Calendar Year]],NA())</f>
        <v>2022</v>
      </c>
      <c r="O18" s="218">
        <f>IF((AnnualExpenses[[#This Row],[Year (Range)]]&gt;=$C$8)*(AnnualExpenses[[#This Row],[Year (Range)]]&lt;=$C$10),Table65[[#This Row],[Buy, Instead of Rent]],NA())</f>
        <v>0</v>
      </c>
      <c r="P18" s="214">
        <f>IF((AnnualExpenses[[#This Row],[Year (Range)]]&gt;=$C$8)*(AnnualExpenses[[#This Row],[Year (Range)]]&lt;=$C$10),Table65[[#This Row],[Rent, Instead of Buy]],NA())</f>
        <v>88705.317945560906</v>
      </c>
      <c r="Q18" s="214">
        <f>IF((AnnualExpenses[[#This Row],[Year (Range)]]&gt;=$C$8)*(AnnualExpenses[[#This Row],[Year (Range)]]&lt;=$C$10),AnnualExpenses[[#This Row],[Total Annual Direct Housing Expenses]],NA())</f>
        <v>37200.317945560899</v>
      </c>
      <c r="R18" s="214">
        <f>IF((AnnualExpenses[[#This Row],[Year (Range)]]&gt;=$C$8)*(AnnualExpenses[[#This Row],[Year (Range)]]&lt;=$C$10),AnnualExpenses[[#This Row],[Total Annual Indirect Housing Expenses]],NA())</f>
        <v>16430</v>
      </c>
      <c r="S18" s="214">
        <f>IF((AnnualExpenses[[#This Row],[Year (Range)]]&gt;=$C$8)*(AnnualExpenses[[#This Row],[Year (Range)]]&lt;=$C$10),AnnualExpenses[[#This Row],[Total Annual Rental Expenses]],NA())</f>
        <v>36000</v>
      </c>
      <c r="T18" s="214">
        <f>IF((AnnualExpenses[[#This Row],[Year (Range)]]&gt;=$C$8)*(AnnualExpenses[[#This Row],[Year (Range)]]&lt;=$C$10),AnnualExpenses[[#This Row],[Total Annual Housing Expenses]],NA())</f>
        <v>53630.317945560899</v>
      </c>
      <c r="U18" s="214">
        <f>IF((AnnualExpenses[[#This Row],[Year (Range)]]&gt;=$C$8)*(AnnualExpenses[[#This Row],[Year (Range)]]&lt;=$C$10),AnnualExpenses[[#This Row],[Buying Average Monthly Cost]],NA())</f>
        <v>4469.1931621300746</v>
      </c>
      <c r="V18" s="214">
        <f>IF((AnnualExpenses[[#This Row],[Year (Range)]]&gt;=$C$8)*(AnnualExpenses[[#This Row],[Year (Range)]]&lt;=$C$10),AnnualExpenses[[#This Row],[Renting Average Monthly Cost]],NA())</f>
        <v>3000</v>
      </c>
      <c r="W18" s="4">
        <f>'Annual Amort. Sch.'!AL17</f>
        <v>37200.317945560899</v>
      </c>
      <c r="X18" s="4">
        <f>'Annual Amort. Sch.'!AM17</f>
        <v>16430</v>
      </c>
      <c r="Y18" s="4">
        <f>(AnnualExpenses[[#This Row],[Total Annual Direct Housing Expenses]]+AnnualExpenses[[#This Row],[Total Annual Indirect Housing Expenses]])</f>
        <v>53630.317945560899</v>
      </c>
      <c r="Z18" s="4">
        <f>AnnualExpenses[[#This Row],[Total Annual Housing Expenses]]/12</f>
        <v>4469.1931621300746</v>
      </c>
      <c r="AA18" s="164">
        <f>monthly_rental_cost*12</f>
        <v>36000</v>
      </c>
      <c r="AB18" s="164">
        <f>AnnualExpenses[[#This Row],[Total Annual Rental Expenses]]/12</f>
        <v>3000</v>
      </c>
      <c r="AC18" s="166"/>
      <c r="AD18" s="243">
        <v>1</v>
      </c>
      <c r="AE18" s="212">
        <f>purchase_year</f>
        <v>2022</v>
      </c>
      <c r="AF18" s="183">
        <f>IF(AnnualExpenses[[#This Row],[Total Annual Housing Expenses]]-AnnualExpenses[[#This Row],[Total Annual Rental Expenses]]&lt;0,AnnualExpenses[[#This Row],[Total Annual Rental Expenses]]-AnnualExpenses[[#This Row],[Total Annual Housing Expenses]],0)</f>
        <v>0</v>
      </c>
      <c r="AG18" s="183">
        <f>cash_to_close+IF(AnnualExpenses[[#This Row],[Total Annual Housing Expenses]]-AnnualExpenses[[#This Row],[Total Annual Rental Expenses]]&gt;0,AnnualExpenses[[#This Row],[Total Annual Housing Expenses]]-AnnualExpenses[[#This Row],[Total Annual Rental Expenses]],0)</f>
        <v>88705.317945560906</v>
      </c>
    </row>
    <row r="19" spans="11:33" x14ac:dyDescent="0.25">
      <c r="K19" s="216">
        <v>2</v>
      </c>
      <c r="L19" s="216">
        <f t="shared" ref="L19:L50" si="0">purchase_year+K18</f>
        <v>2023</v>
      </c>
      <c r="M19" s="217">
        <f>IF(AnnualExpenses[[#This Row],[Calendar Year]]&gt;=$C$8,AnnualExpenses[[#This Row],[Calendar Year]],NA())</f>
        <v>2023</v>
      </c>
      <c r="N19" s="217">
        <f>IF((AnnualExpenses[[#This Row],[Calendar Year]]&gt;=$C$8)*(AnnualExpenses[[#This Row],[Calendar Year]]&lt;=$C$10),AnnualExpenses[[#This Row],[Calendar Year]],NA())</f>
        <v>2023</v>
      </c>
      <c r="O19" s="214">
        <f>IF((AnnualExpenses[[#This Row],[Year (Range)]]&gt;=$C$8)*(AnnualExpenses[[#This Row],[Year (Range)]]&lt;=$C$10),Table65[[#This Row],[Buy, Instead of Rent]],NA())</f>
        <v>0</v>
      </c>
      <c r="P19" s="214">
        <f>IF((AnnualExpenses[[#This Row],[Year (Range)]]&gt;=$C$8)*(AnnualExpenses[[#This Row],[Year (Range)]]&lt;=$C$10),Table65[[#This Row],[Rent, Instead of Buy]],NA())</f>
        <v>20293.317945560899</v>
      </c>
      <c r="Q19" s="214">
        <f>IF((AnnualExpenses[[#This Row],[Year (Range)]]&gt;=$C$8)*(AnnualExpenses[[#This Row],[Year (Range)]]&lt;=$C$10),AnnualExpenses[[#This Row],[Total Annual Direct Housing Expenses]],NA())</f>
        <v>37200.317945560899</v>
      </c>
      <c r="R19" s="214">
        <f>IF((AnnualExpenses[[#This Row],[Year (Range)]]&gt;=$C$8)*(AnnualExpenses[[#This Row],[Year (Range)]]&lt;=$C$10),AnnualExpenses[[#This Row],[Total Annual Indirect Housing Expenses]],NA())</f>
        <v>20533</v>
      </c>
      <c r="S19" s="214">
        <f>IF((AnnualExpenses[[#This Row],[Year (Range)]]&gt;=$C$8)*(AnnualExpenses[[#This Row],[Year (Range)]]&lt;=$C$10),AnnualExpenses[[#This Row],[Total Annual Rental Expenses]],NA())</f>
        <v>37440</v>
      </c>
      <c r="T19" s="214">
        <f>IF((AnnualExpenses[[#This Row],[Year (Range)]]&gt;=$C$8)*(AnnualExpenses[[#This Row],[Year (Range)]]&lt;=$C$10),AnnualExpenses[[#This Row],[Total Annual Housing Expenses]],NA())</f>
        <v>57733.317945560899</v>
      </c>
      <c r="U19" s="214">
        <f>IF((AnnualExpenses[[#This Row],[Year (Range)]]&gt;=$C$8)*(AnnualExpenses[[#This Row],[Year (Range)]]&lt;=$C$10),AnnualExpenses[[#This Row],[Buying Average Monthly Cost]],NA())</f>
        <v>4811.1098287967416</v>
      </c>
      <c r="V19" s="214">
        <f>IF((AnnualExpenses[[#This Row],[Year (Range)]]&gt;=$C$8)*(AnnualExpenses[[#This Row],[Year (Range)]]&lt;=$C$10),AnnualExpenses[[#This Row],[Renting Average Monthly Cost]],NA())</f>
        <v>3120</v>
      </c>
      <c r="W19" s="4">
        <f>'Annual Amort. Sch.'!AL18</f>
        <v>37200.317945560899</v>
      </c>
      <c r="X19" s="4">
        <f>'Annual Amort. Sch.'!AM18</f>
        <v>20533</v>
      </c>
      <c r="Y19" s="4">
        <f>(AnnualExpenses[[#This Row],[Total Annual Direct Housing Expenses]]+AnnualExpenses[[#This Row],[Total Annual Indirect Housing Expenses]])</f>
        <v>57733.317945560899</v>
      </c>
      <c r="Z19" s="4">
        <f>AnnualExpenses[[#This Row],[Total Annual Housing Expenses]]/12</f>
        <v>4811.1098287967416</v>
      </c>
      <c r="AA19" s="164">
        <f t="shared" ref="AA19:AA50" si="1">AA18*(1+annual_rent_increase)</f>
        <v>37440</v>
      </c>
      <c r="AB19" s="164">
        <f>AnnualExpenses[[#This Row],[Total Annual Rental Expenses]]/12</f>
        <v>3120</v>
      </c>
      <c r="AC19" s="166"/>
      <c r="AD19" s="243">
        <v>2</v>
      </c>
      <c r="AE19" s="212">
        <f t="shared" ref="AE19:AE82" si="2">purchase_year+AD18</f>
        <v>2023</v>
      </c>
      <c r="AF19" s="183">
        <f>IF(AnnualExpenses[[#This Row],[Total Annual Housing Expenses]]-AnnualExpenses[[#This Row],[Total Annual Rental Expenses]]&lt;0,AnnualExpenses[[#This Row],[Total Annual Rental Expenses]]-AnnualExpenses[[#This Row],[Total Annual Housing Expenses]],0)</f>
        <v>0</v>
      </c>
      <c r="AG19" s="183">
        <f>IF(AnnualExpenses[[#This Row],[Total Annual Housing Expenses]]-AnnualExpenses[[#This Row],[Total Annual Rental Expenses]]&gt;0,AnnualExpenses[[#This Row],[Total Annual Housing Expenses]]-AnnualExpenses[[#This Row],[Total Annual Rental Expenses]],0)</f>
        <v>20293.317945560899</v>
      </c>
    </row>
    <row r="20" spans="11:33" x14ac:dyDescent="0.25">
      <c r="K20" s="161">
        <v>3</v>
      </c>
      <c r="L20" s="161">
        <f t="shared" si="0"/>
        <v>2024</v>
      </c>
      <c r="M20" s="215">
        <f>IF(AnnualExpenses[[#This Row],[Calendar Year]]&gt;=$C$8,AnnualExpenses[[#This Row],[Calendar Year]],NA())</f>
        <v>2024</v>
      </c>
      <c r="N20" s="215">
        <f>IF((AnnualExpenses[[#This Row],[Calendar Year]]&gt;=$C$8)*(AnnualExpenses[[#This Row],[Calendar Year]]&lt;=$C$10),AnnualExpenses[[#This Row],[Calendar Year]],NA())</f>
        <v>2024</v>
      </c>
      <c r="O20" s="214">
        <f>IF((AnnualExpenses[[#This Row],[Year (Range)]]&gt;=$C$8)*(AnnualExpenses[[#This Row],[Year (Range)]]&lt;=$C$10),Table65[[#This Row],[Buy, Instead of Rent]],NA())</f>
        <v>0</v>
      </c>
      <c r="P20" s="214">
        <f>IF((AnnualExpenses[[#This Row],[Year (Range)]]&gt;=$C$8)*(AnnualExpenses[[#This Row],[Year (Range)]]&lt;=$C$10),Table65[[#This Row],[Rent, Instead of Buy]],NA())</f>
        <v>15362.307945560889</v>
      </c>
      <c r="Q20" s="214">
        <f>IF((AnnualExpenses[[#This Row],[Year (Range)]]&gt;=$C$8)*(AnnualExpenses[[#This Row],[Year (Range)]]&lt;=$C$10),AnnualExpenses[[#This Row],[Total Annual Direct Housing Expenses]],NA())</f>
        <v>37200.317945560892</v>
      </c>
      <c r="R20" s="214">
        <f>IF((AnnualExpenses[[#This Row],[Year (Range)]]&gt;=$C$8)*(AnnualExpenses[[#This Row],[Year (Range)]]&lt;=$C$10),AnnualExpenses[[#This Row],[Total Annual Indirect Housing Expenses]],NA())</f>
        <v>17099.59</v>
      </c>
      <c r="S20" s="214">
        <f>IF((AnnualExpenses[[#This Row],[Year (Range)]]&gt;=$C$8)*(AnnualExpenses[[#This Row],[Year (Range)]]&lt;=$C$10),AnnualExpenses[[#This Row],[Total Annual Rental Expenses]],NA())</f>
        <v>38937.599999999999</v>
      </c>
      <c r="T20" s="214">
        <f>IF((AnnualExpenses[[#This Row],[Year (Range)]]&gt;=$C$8)*(AnnualExpenses[[#This Row],[Year (Range)]]&lt;=$C$10),AnnualExpenses[[#This Row],[Total Annual Housing Expenses]],NA())</f>
        <v>54299.907945560888</v>
      </c>
      <c r="U20" s="214">
        <f>IF((AnnualExpenses[[#This Row],[Year (Range)]]&gt;=$C$8)*(AnnualExpenses[[#This Row],[Year (Range)]]&lt;=$C$10),AnnualExpenses[[#This Row],[Buying Average Monthly Cost]],NA())</f>
        <v>4524.9923287967404</v>
      </c>
      <c r="V20" s="214">
        <f>IF((AnnualExpenses[[#This Row],[Year (Range)]]&gt;=$C$8)*(AnnualExpenses[[#This Row],[Year (Range)]]&lt;=$C$10),AnnualExpenses[[#This Row],[Renting Average Monthly Cost]],NA())</f>
        <v>3244.7999999999997</v>
      </c>
      <c r="W20" s="4">
        <f>'Annual Amort. Sch.'!AL19</f>
        <v>37200.317945560892</v>
      </c>
      <c r="X20" s="4">
        <f>'Annual Amort. Sch.'!AM19</f>
        <v>17099.59</v>
      </c>
      <c r="Y20" s="4">
        <f>(AnnualExpenses[[#This Row],[Total Annual Direct Housing Expenses]]+AnnualExpenses[[#This Row],[Total Annual Indirect Housing Expenses]])</f>
        <v>54299.907945560888</v>
      </c>
      <c r="Z20" s="4">
        <f>AnnualExpenses[[#This Row],[Total Annual Housing Expenses]]/12</f>
        <v>4524.9923287967404</v>
      </c>
      <c r="AA20" s="164">
        <f t="shared" si="1"/>
        <v>38937.599999999999</v>
      </c>
      <c r="AB20" s="164">
        <f>AnnualExpenses[[#This Row],[Total Annual Rental Expenses]]/12</f>
        <v>3244.7999999999997</v>
      </c>
      <c r="AC20" s="166"/>
      <c r="AD20" s="243">
        <v>3</v>
      </c>
      <c r="AE20" s="212">
        <f t="shared" si="2"/>
        <v>2024</v>
      </c>
      <c r="AF20" s="183">
        <f>IF(AnnualExpenses[[#This Row],[Total Annual Housing Expenses]]-AnnualExpenses[[#This Row],[Total Annual Rental Expenses]]&lt;0,AnnualExpenses[[#This Row],[Total Annual Rental Expenses]]-AnnualExpenses[[#This Row],[Total Annual Housing Expenses]],0)</f>
        <v>0</v>
      </c>
      <c r="AG20" s="183">
        <f>IF(AnnualExpenses[[#This Row],[Total Annual Housing Expenses]]-AnnualExpenses[[#This Row],[Total Annual Rental Expenses]]&gt;0,AnnualExpenses[[#This Row],[Total Annual Housing Expenses]]-AnnualExpenses[[#This Row],[Total Annual Rental Expenses]],0)</f>
        <v>15362.307945560889</v>
      </c>
    </row>
    <row r="21" spans="11:33" x14ac:dyDescent="0.25">
      <c r="K21" s="161">
        <v>4</v>
      </c>
      <c r="L21" s="161">
        <f t="shared" si="0"/>
        <v>2025</v>
      </c>
      <c r="M21" s="215">
        <f>IF(AnnualExpenses[[#This Row],[Calendar Year]]&gt;=$C$8,AnnualExpenses[[#This Row],[Calendar Year]],NA())</f>
        <v>2025</v>
      </c>
      <c r="N21" s="215">
        <f>IF((AnnualExpenses[[#This Row],[Calendar Year]]&gt;=$C$8)*(AnnualExpenses[[#This Row],[Calendar Year]]&lt;=$C$10),AnnualExpenses[[#This Row],[Calendar Year]],NA())</f>
        <v>2025</v>
      </c>
      <c r="O21" s="214">
        <f>IF((AnnualExpenses[[#This Row],[Year (Range)]]&gt;=$C$8)*(AnnualExpenses[[#This Row],[Year (Range)]]&lt;=$C$10),Table65[[#This Row],[Buy, Instead of Rent]],NA())</f>
        <v>0</v>
      </c>
      <c r="P21" s="214">
        <f>IF((AnnualExpenses[[#This Row],[Year (Range)]]&gt;=$C$8)*(AnnualExpenses[[#This Row],[Year (Range)]]&lt;=$C$10),Table65[[#This Row],[Rent, Instead of Buy]],NA())</f>
        <v>14285.3916455609</v>
      </c>
      <c r="Q21" s="214">
        <f>IF((AnnualExpenses[[#This Row],[Year (Range)]]&gt;=$C$8)*(AnnualExpenses[[#This Row],[Year (Range)]]&lt;=$C$10),AnnualExpenses[[#This Row],[Total Annual Direct Housing Expenses]],NA())</f>
        <v>37200.317945560899</v>
      </c>
      <c r="R21" s="214">
        <f>IF((AnnualExpenses[[#This Row],[Year (Range)]]&gt;=$C$8)*(AnnualExpenses[[#This Row],[Year (Range)]]&lt;=$C$10),AnnualExpenses[[#This Row],[Total Annual Indirect Housing Expenses]],NA())</f>
        <v>17580.1777</v>
      </c>
      <c r="S21" s="214">
        <f>IF((AnnualExpenses[[#This Row],[Year (Range)]]&gt;=$C$8)*(AnnualExpenses[[#This Row],[Year (Range)]]&lt;=$C$10),AnnualExpenses[[#This Row],[Total Annual Rental Expenses]],NA())</f>
        <v>40495.103999999999</v>
      </c>
      <c r="T21" s="214">
        <f>IF((AnnualExpenses[[#This Row],[Year (Range)]]&gt;=$C$8)*(AnnualExpenses[[#This Row],[Year (Range)]]&lt;=$C$10),AnnualExpenses[[#This Row],[Total Annual Housing Expenses]],NA())</f>
        <v>54780.495645560899</v>
      </c>
      <c r="U21" s="214">
        <f>IF((AnnualExpenses[[#This Row],[Year (Range)]]&gt;=$C$8)*(AnnualExpenses[[#This Row],[Year (Range)]]&lt;=$C$10),AnnualExpenses[[#This Row],[Buying Average Monthly Cost]],NA())</f>
        <v>4565.0413037967419</v>
      </c>
      <c r="V21" s="214">
        <f>IF((AnnualExpenses[[#This Row],[Year (Range)]]&gt;=$C$8)*(AnnualExpenses[[#This Row],[Year (Range)]]&lt;=$C$10),AnnualExpenses[[#This Row],[Renting Average Monthly Cost]],NA())</f>
        <v>3374.5920000000001</v>
      </c>
      <c r="W21" s="4">
        <f>'Annual Amort. Sch.'!AL20</f>
        <v>37200.317945560899</v>
      </c>
      <c r="X21" s="4">
        <f>'Annual Amort. Sch.'!AM20</f>
        <v>17580.1777</v>
      </c>
      <c r="Y21" s="4">
        <f>(AnnualExpenses[[#This Row],[Total Annual Direct Housing Expenses]]+AnnualExpenses[[#This Row],[Total Annual Indirect Housing Expenses]])</f>
        <v>54780.495645560899</v>
      </c>
      <c r="Z21" s="4">
        <f>AnnualExpenses[[#This Row],[Total Annual Housing Expenses]]/12</f>
        <v>4565.0413037967419</v>
      </c>
      <c r="AA21" s="164">
        <f t="shared" si="1"/>
        <v>40495.103999999999</v>
      </c>
      <c r="AB21" s="164">
        <f>AnnualExpenses[[#This Row],[Total Annual Rental Expenses]]/12</f>
        <v>3374.5920000000001</v>
      </c>
      <c r="AC21" s="166"/>
      <c r="AD21" s="243">
        <v>4</v>
      </c>
      <c r="AE21" s="212">
        <f t="shared" si="2"/>
        <v>2025</v>
      </c>
      <c r="AF21" s="183">
        <f>IF(AnnualExpenses[[#This Row],[Total Annual Housing Expenses]]-AnnualExpenses[[#This Row],[Total Annual Rental Expenses]]&lt;0,AnnualExpenses[[#This Row],[Total Annual Rental Expenses]]-AnnualExpenses[[#This Row],[Total Annual Housing Expenses]],0)</f>
        <v>0</v>
      </c>
      <c r="AG21" s="183">
        <f>IF(AnnualExpenses[[#This Row],[Total Annual Housing Expenses]]-AnnualExpenses[[#This Row],[Total Annual Rental Expenses]]&gt;0,AnnualExpenses[[#This Row],[Total Annual Housing Expenses]]-AnnualExpenses[[#This Row],[Total Annual Rental Expenses]],0)</f>
        <v>14285.3916455609</v>
      </c>
    </row>
    <row r="22" spans="11:33" x14ac:dyDescent="0.25">
      <c r="K22" s="161">
        <v>5</v>
      </c>
      <c r="L22" s="161">
        <f t="shared" si="0"/>
        <v>2026</v>
      </c>
      <c r="M22" s="215">
        <f>IF(AnnualExpenses[[#This Row],[Calendar Year]]&gt;=$C$8,AnnualExpenses[[#This Row],[Calendar Year]],NA())</f>
        <v>2026</v>
      </c>
      <c r="N22" s="215">
        <f>IF((AnnualExpenses[[#This Row],[Calendar Year]]&gt;=$C$8)*(AnnualExpenses[[#This Row],[Calendar Year]]&lt;=$C$10),AnnualExpenses[[#This Row],[Calendar Year]],NA())</f>
        <v>2026</v>
      </c>
      <c r="O22" s="214">
        <f>IF((AnnualExpenses[[#This Row],[Year (Range)]]&gt;=$C$8)*(AnnualExpenses[[#This Row],[Year (Range)]]&lt;=$C$10),Table65[[#This Row],[Buy, Instead of Rent]],NA())</f>
        <v>0</v>
      </c>
      <c r="P22" s="214">
        <f>IF((AnnualExpenses[[#This Row],[Year (Range)]]&gt;=$C$8)*(AnnualExpenses[[#This Row],[Year (Range)]]&lt;=$C$10),Table65[[#This Row],[Rent, Instead of Buy]],NA())</f>
        <v>13160.592816560893</v>
      </c>
      <c r="Q22" s="214">
        <f>IF((AnnualExpenses[[#This Row],[Year (Range)]]&gt;=$C$8)*(AnnualExpenses[[#This Row],[Year (Range)]]&lt;=$C$10),AnnualExpenses[[#This Row],[Total Annual Direct Housing Expenses]],NA())</f>
        <v>37200.317945560892</v>
      </c>
      <c r="R22" s="214">
        <f>IF((AnnualExpenses[[#This Row],[Year (Range)]]&gt;=$C$8)*(AnnualExpenses[[#This Row],[Year (Range)]]&lt;=$C$10),AnnualExpenses[[#This Row],[Total Annual Indirect Housing Expenses]],NA())</f>
        <v>18075.183031</v>
      </c>
      <c r="S22" s="214">
        <f>IF((AnnualExpenses[[#This Row],[Year (Range)]]&gt;=$C$8)*(AnnualExpenses[[#This Row],[Year (Range)]]&lt;=$C$10),AnnualExpenses[[#This Row],[Total Annual Rental Expenses]],NA())</f>
        <v>42114.908159999999</v>
      </c>
      <c r="T22" s="214">
        <f>IF((AnnualExpenses[[#This Row],[Year (Range)]]&gt;=$C$8)*(AnnualExpenses[[#This Row],[Year (Range)]]&lt;=$C$10),AnnualExpenses[[#This Row],[Total Annual Housing Expenses]],NA())</f>
        <v>55275.500976560892</v>
      </c>
      <c r="U22" s="214">
        <f>IF((AnnualExpenses[[#This Row],[Year (Range)]]&gt;=$C$8)*(AnnualExpenses[[#This Row],[Year (Range)]]&lt;=$C$10),AnnualExpenses[[#This Row],[Buying Average Monthly Cost]],NA())</f>
        <v>4606.2917480467413</v>
      </c>
      <c r="V22" s="214">
        <f>IF((AnnualExpenses[[#This Row],[Year (Range)]]&gt;=$C$8)*(AnnualExpenses[[#This Row],[Year (Range)]]&lt;=$C$10),AnnualExpenses[[#This Row],[Renting Average Monthly Cost]],NA())</f>
        <v>3509.5756799999999</v>
      </c>
      <c r="W22" s="4">
        <f>'Annual Amort. Sch.'!AL21</f>
        <v>37200.317945560892</v>
      </c>
      <c r="X22" s="4">
        <f>'Annual Amort. Sch.'!AM21</f>
        <v>18075.183031</v>
      </c>
      <c r="Y22" s="4">
        <f>(AnnualExpenses[[#This Row],[Total Annual Direct Housing Expenses]]+AnnualExpenses[[#This Row],[Total Annual Indirect Housing Expenses]])</f>
        <v>55275.500976560892</v>
      </c>
      <c r="Z22" s="4">
        <f>AnnualExpenses[[#This Row],[Total Annual Housing Expenses]]/12</f>
        <v>4606.2917480467413</v>
      </c>
      <c r="AA22" s="164">
        <f t="shared" si="1"/>
        <v>42114.908159999999</v>
      </c>
      <c r="AB22" s="164">
        <f>AnnualExpenses[[#This Row],[Total Annual Rental Expenses]]/12</f>
        <v>3509.5756799999999</v>
      </c>
      <c r="AC22" s="166"/>
      <c r="AD22" s="243">
        <v>5</v>
      </c>
      <c r="AE22" s="212">
        <f t="shared" si="2"/>
        <v>2026</v>
      </c>
      <c r="AF22" s="183">
        <f>IF(AnnualExpenses[[#This Row],[Total Annual Housing Expenses]]-AnnualExpenses[[#This Row],[Total Annual Rental Expenses]]&lt;0,AnnualExpenses[[#This Row],[Total Annual Rental Expenses]]-AnnualExpenses[[#This Row],[Total Annual Housing Expenses]],0)</f>
        <v>0</v>
      </c>
      <c r="AG22" s="183">
        <f>IF(AnnualExpenses[[#This Row],[Total Annual Housing Expenses]]-AnnualExpenses[[#This Row],[Total Annual Rental Expenses]]&gt;0,AnnualExpenses[[#This Row],[Total Annual Housing Expenses]]-AnnualExpenses[[#This Row],[Total Annual Rental Expenses]],0)</f>
        <v>13160.592816560893</v>
      </c>
    </row>
    <row r="23" spans="11:33" x14ac:dyDescent="0.25">
      <c r="K23" s="161">
        <v>6</v>
      </c>
      <c r="L23" s="161">
        <f t="shared" si="0"/>
        <v>2027</v>
      </c>
      <c r="M23" s="215">
        <f>IF(AnnualExpenses[[#This Row],[Calendar Year]]&gt;=$C$8,AnnualExpenses[[#This Row],[Calendar Year]],NA())</f>
        <v>2027</v>
      </c>
      <c r="N23" s="215">
        <f>IF((AnnualExpenses[[#This Row],[Calendar Year]]&gt;=$C$8)*(AnnualExpenses[[#This Row],[Calendar Year]]&lt;=$C$10),AnnualExpenses[[#This Row],[Calendar Year]],NA())</f>
        <v>2027</v>
      </c>
      <c r="O23" s="214">
        <f>IF((AnnualExpenses[[#This Row],[Year (Range)]]&gt;=$C$8)*(AnnualExpenses[[#This Row],[Year (Range)]]&lt;=$C$10),Table65[[#This Row],[Buy, Instead of Rent]],NA())</f>
        <v>0</v>
      </c>
      <c r="P23" s="214">
        <f>IF((AnnualExpenses[[#This Row],[Year (Range)]]&gt;=$C$8)*(AnnualExpenses[[#This Row],[Year (Range)]]&lt;=$C$10),Table65[[#This Row],[Rent, Instead of Buy]],NA())</f>
        <v>11985.851981090898</v>
      </c>
      <c r="Q23" s="214">
        <f>IF((AnnualExpenses[[#This Row],[Year (Range)]]&gt;=$C$8)*(AnnualExpenses[[#This Row],[Year (Range)]]&lt;=$C$10),AnnualExpenses[[#This Row],[Total Annual Direct Housing Expenses]],NA())</f>
        <v>37200.317945560899</v>
      </c>
      <c r="R23" s="214">
        <f>IF((AnnualExpenses[[#This Row],[Year (Range)]]&gt;=$C$8)*(AnnualExpenses[[#This Row],[Year (Range)]]&lt;=$C$10),AnnualExpenses[[#This Row],[Total Annual Indirect Housing Expenses]],NA())</f>
        <v>18585.038521930004</v>
      </c>
      <c r="S23" s="214">
        <f>IF((AnnualExpenses[[#This Row],[Year (Range)]]&gt;=$C$8)*(AnnualExpenses[[#This Row],[Year (Range)]]&lt;=$C$10),AnnualExpenses[[#This Row],[Total Annual Rental Expenses]],NA())</f>
        <v>43799.504486400001</v>
      </c>
      <c r="T23" s="214">
        <f>IF((AnnualExpenses[[#This Row],[Year (Range)]]&gt;=$C$8)*(AnnualExpenses[[#This Row],[Year (Range)]]&lt;=$C$10),AnnualExpenses[[#This Row],[Total Annual Housing Expenses]],NA())</f>
        <v>55785.356467490899</v>
      </c>
      <c r="U23" s="214">
        <f>IF((AnnualExpenses[[#This Row],[Year (Range)]]&gt;=$C$8)*(AnnualExpenses[[#This Row],[Year (Range)]]&lt;=$C$10),AnnualExpenses[[#This Row],[Buying Average Monthly Cost]],NA())</f>
        <v>4648.7797056242416</v>
      </c>
      <c r="V23" s="214">
        <f>IF((AnnualExpenses[[#This Row],[Year (Range)]]&gt;=$C$8)*(AnnualExpenses[[#This Row],[Year (Range)]]&lt;=$C$10),AnnualExpenses[[#This Row],[Renting Average Monthly Cost]],NA())</f>
        <v>3649.9587071999999</v>
      </c>
      <c r="W23" s="4">
        <f>'Annual Amort. Sch.'!AL22</f>
        <v>37200.317945560899</v>
      </c>
      <c r="X23" s="4">
        <f>'Annual Amort. Sch.'!AM22</f>
        <v>18585.038521930004</v>
      </c>
      <c r="Y23" s="4">
        <f>(AnnualExpenses[[#This Row],[Total Annual Direct Housing Expenses]]+AnnualExpenses[[#This Row],[Total Annual Indirect Housing Expenses]])</f>
        <v>55785.356467490899</v>
      </c>
      <c r="Z23" s="4">
        <f>AnnualExpenses[[#This Row],[Total Annual Housing Expenses]]/12</f>
        <v>4648.7797056242416</v>
      </c>
      <c r="AA23" s="164">
        <f t="shared" si="1"/>
        <v>43799.504486400001</v>
      </c>
      <c r="AB23" s="164">
        <f>AnnualExpenses[[#This Row],[Total Annual Rental Expenses]]/12</f>
        <v>3649.9587071999999</v>
      </c>
      <c r="AC23" s="166"/>
      <c r="AD23" s="243">
        <v>6</v>
      </c>
      <c r="AE23" s="212">
        <f t="shared" si="2"/>
        <v>2027</v>
      </c>
      <c r="AF23" s="183">
        <f>IF(AnnualExpenses[[#This Row],[Total Annual Housing Expenses]]-AnnualExpenses[[#This Row],[Total Annual Rental Expenses]]&lt;0,AnnualExpenses[[#This Row],[Total Annual Rental Expenses]]-AnnualExpenses[[#This Row],[Total Annual Housing Expenses]],0)</f>
        <v>0</v>
      </c>
      <c r="AG23" s="183">
        <f>IF(AnnualExpenses[[#This Row],[Total Annual Housing Expenses]]-AnnualExpenses[[#This Row],[Total Annual Rental Expenses]]&gt;0,AnnualExpenses[[#This Row],[Total Annual Housing Expenses]]-AnnualExpenses[[#This Row],[Total Annual Rental Expenses]],0)</f>
        <v>11985.851981090898</v>
      </c>
    </row>
    <row r="24" spans="11:33" x14ac:dyDescent="0.25">
      <c r="K24" s="161">
        <v>7</v>
      </c>
      <c r="L24" s="161">
        <f t="shared" si="0"/>
        <v>2028</v>
      </c>
      <c r="M24" s="215">
        <f>IF(AnnualExpenses[[#This Row],[Calendar Year]]&gt;=$C$8,AnnualExpenses[[#This Row],[Calendar Year]],NA())</f>
        <v>2028</v>
      </c>
      <c r="N24" s="215">
        <f>IF((AnnualExpenses[[#This Row],[Calendar Year]]&gt;=$C$8)*(AnnualExpenses[[#This Row],[Calendar Year]]&lt;=$C$10),AnnualExpenses[[#This Row],[Calendar Year]],NA())</f>
        <v>2028</v>
      </c>
      <c r="O24" s="214">
        <f>IF((AnnualExpenses[[#This Row],[Year (Range)]]&gt;=$C$8)*(AnnualExpenses[[#This Row],[Year (Range)]]&lt;=$C$10),Table65[[#This Row],[Buy, Instead of Rent]],NA())</f>
        <v>0</v>
      </c>
      <c r="P24" s="214">
        <f>IF((AnnualExpenses[[#This Row],[Year (Range)]]&gt;=$C$8)*(AnnualExpenses[[#This Row],[Year (Range)]]&lt;=$C$10),Table65[[#This Row],[Rent, Instead of Buy]],NA())</f>
        <v>9769.0229572928001</v>
      </c>
      <c r="Q24" s="214">
        <f>IF((AnnualExpenses[[#This Row],[Year (Range)]]&gt;=$C$8)*(AnnualExpenses[[#This Row],[Year (Range)]]&lt;=$C$10),AnnualExpenses[[#This Row],[Total Annual Direct Housing Expenses]],NA())</f>
        <v>37200.317945560899</v>
      </c>
      <c r="R24" s="214">
        <f>IF((AnnualExpenses[[#This Row],[Year (Range)]]&gt;=$C$8)*(AnnualExpenses[[#This Row],[Year (Range)]]&lt;=$C$10),AnnualExpenses[[#This Row],[Total Annual Indirect Housing Expenses]],NA())</f>
        <v>18120.189677587903</v>
      </c>
      <c r="S24" s="214">
        <f>IF((AnnualExpenses[[#This Row],[Year (Range)]]&gt;=$C$8)*(AnnualExpenses[[#This Row],[Year (Range)]]&lt;=$C$10),AnnualExpenses[[#This Row],[Total Annual Rental Expenses]],NA())</f>
        <v>45551.484665856005</v>
      </c>
      <c r="T24" s="214">
        <f>IF((AnnualExpenses[[#This Row],[Year (Range)]]&gt;=$C$8)*(AnnualExpenses[[#This Row],[Year (Range)]]&lt;=$C$10),AnnualExpenses[[#This Row],[Total Annual Housing Expenses]],NA())</f>
        <v>55320.507623148806</v>
      </c>
      <c r="U24" s="214">
        <f>IF((AnnualExpenses[[#This Row],[Year (Range)]]&gt;=$C$8)*(AnnualExpenses[[#This Row],[Year (Range)]]&lt;=$C$10),AnnualExpenses[[#This Row],[Buying Average Monthly Cost]],NA())</f>
        <v>4610.0423019290674</v>
      </c>
      <c r="V24" s="214">
        <f>IF((AnnualExpenses[[#This Row],[Year (Range)]]&gt;=$C$8)*(AnnualExpenses[[#This Row],[Year (Range)]]&lt;=$C$10),AnnualExpenses[[#This Row],[Renting Average Monthly Cost]],NA())</f>
        <v>3795.9570554880006</v>
      </c>
      <c r="W24" s="4">
        <f>'Annual Amort. Sch.'!AL23</f>
        <v>37200.317945560899</v>
      </c>
      <c r="X24" s="4">
        <f>'Annual Amort. Sch.'!AM23</f>
        <v>18120.189677587903</v>
      </c>
      <c r="Y24" s="4">
        <f>(AnnualExpenses[[#This Row],[Total Annual Direct Housing Expenses]]+AnnualExpenses[[#This Row],[Total Annual Indirect Housing Expenses]])</f>
        <v>55320.507623148806</v>
      </c>
      <c r="Z24" s="4">
        <f>AnnualExpenses[[#This Row],[Total Annual Housing Expenses]]/12</f>
        <v>4610.0423019290674</v>
      </c>
      <c r="AA24" s="164">
        <f t="shared" si="1"/>
        <v>45551.484665856005</v>
      </c>
      <c r="AB24" s="164">
        <f>AnnualExpenses[[#This Row],[Total Annual Rental Expenses]]/12</f>
        <v>3795.9570554880006</v>
      </c>
      <c r="AC24" s="166"/>
      <c r="AD24" s="243">
        <v>7</v>
      </c>
      <c r="AE24" s="212">
        <f t="shared" si="2"/>
        <v>2028</v>
      </c>
      <c r="AF24" s="183">
        <f>IF(AnnualExpenses[[#This Row],[Total Annual Housing Expenses]]-AnnualExpenses[[#This Row],[Total Annual Rental Expenses]]&lt;0,AnnualExpenses[[#This Row],[Total Annual Rental Expenses]]-AnnualExpenses[[#This Row],[Total Annual Housing Expenses]],0)</f>
        <v>0</v>
      </c>
      <c r="AG24" s="183">
        <f>IF(AnnualExpenses[[#This Row],[Total Annual Housing Expenses]]-AnnualExpenses[[#This Row],[Total Annual Rental Expenses]]&gt;0,AnnualExpenses[[#This Row],[Total Annual Housing Expenses]]-AnnualExpenses[[#This Row],[Total Annual Rental Expenses]],0)</f>
        <v>9769.0229572928001</v>
      </c>
    </row>
    <row r="25" spans="11:33" x14ac:dyDescent="0.25">
      <c r="K25" s="161">
        <v>8</v>
      </c>
      <c r="L25" s="161">
        <f t="shared" si="0"/>
        <v>2029</v>
      </c>
      <c r="M25" s="215">
        <f>IF(AnnualExpenses[[#This Row],[Calendar Year]]&gt;=$C$8,AnnualExpenses[[#This Row],[Calendar Year]],NA())</f>
        <v>2029</v>
      </c>
      <c r="N25" s="215">
        <f>IF((AnnualExpenses[[#This Row],[Calendar Year]]&gt;=$C$8)*(AnnualExpenses[[#This Row],[Calendar Year]]&lt;=$C$10),AnnualExpenses[[#This Row],[Calendar Year]],NA())</f>
        <v>2029</v>
      </c>
      <c r="O25" s="214">
        <f>IF((AnnualExpenses[[#This Row],[Year (Range)]]&gt;=$C$8)*(AnnualExpenses[[#This Row],[Year (Range)]]&lt;=$C$10),Table65[[#This Row],[Buy, Instead of Rent]],NA())</f>
        <v>0</v>
      </c>
      <c r="P25" s="214">
        <f>IF((AnnualExpenses[[#This Row],[Year (Range)]]&gt;=$C$8)*(AnnualExpenses[[#This Row],[Year (Range)]]&lt;=$C$10),Table65[[#This Row],[Rent, Instead of Buy]],NA())</f>
        <v>20397.869260986183</v>
      </c>
      <c r="Q25" s="214">
        <f>IF((AnnualExpenses[[#This Row],[Year (Range)]]&gt;=$C$8)*(AnnualExpenses[[#This Row],[Year (Range)]]&lt;=$C$10),AnnualExpenses[[#This Row],[Total Annual Direct Housing Expenses]],NA())</f>
        <v>37200.317945560892</v>
      </c>
      <c r="R25" s="214">
        <f>IF((AnnualExpenses[[#This Row],[Year (Range)]]&gt;=$C$8)*(AnnualExpenses[[#This Row],[Year (Range)]]&lt;=$C$10),AnnualExpenses[[#This Row],[Total Annual Indirect Housing Expenses]],NA())</f>
        <v>30571.095367915543</v>
      </c>
      <c r="S25" s="214">
        <f>IF((AnnualExpenses[[#This Row],[Year (Range)]]&gt;=$C$8)*(AnnualExpenses[[#This Row],[Year (Range)]]&lt;=$C$10),AnnualExpenses[[#This Row],[Total Annual Rental Expenses]],NA())</f>
        <v>47373.544052490244</v>
      </c>
      <c r="T25" s="214">
        <f>IF((AnnualExpenses[[#This Row],[Year (Range)]]&gt;=$C$8)*(AnnualExpenses[[#This Row],[Year (Range)]]&lt;=$C$10),AnnualExpenses[[#This Row],[Total Annual Housing Expenses]],NA())</f>
        <v>67771.413313476427</v>
      </c>
      <c r="U25" s="214">
        <f>IF((AnnualExpenses[[#This Row],[Year (Range)]]&gt;=$C$8)*(AnnualExpenses[[#This Row],[Year (Range)]]&lt;=$C$10),AnnualExpenses[[#This Row],[Buying Average Monthly Cost]],NA())</f>
        <v>5647.6177761230356</v>
      </c>
      <c r="V25" s="214">
        <f>IF((AnnualExpenses[[#This Row],[Year (Range)]]&gt;=$C$8)*(AnnualExpenses[[#This Row],[Year (Range)]]&lt;=$C$10),AnnualExpenses[[#This Row],[Renting Average Monthly Cost]],NA())</f>
        <v>3947.7953377075205</v>
      </c>
      <c r="W25" s="4">
        <f>'Annual Amort. Sch.'!AL24</f>
        <v>37200.317945560892</v>
      </c>
      <c r="X25" s="4">
        <f>'Annual Amort. Sch.'!AM24</f>
        <v>30571.095367915543</v>
      </c>
      <c r="Y25" s="4">
        <f>(AnnualExpenses[[#This Row],[Total Annual Direct Housing Expenses]]+AnnualExpenses[[#This Row],[Total Annual Indirect Housing Expenses]])</f>
        <v>67771.413313476427</v>
      </c>
      <c r="Z25" s="4">
        <f>AnnualExpenses[[#This Row],[Total Annual Housing Expenses]]/12</f>
        <v>5647.6177761230356</v>
      </c>
      <c r="AA25" s="164">
        <f t="shared" si="1"/>
        <v>47373.544052490244</v>
      </c>
      <c r="AB25" s="164">
        <f>AnnualExpenses[[#This Row],[Total Annual Rental Expenses]]/12</f>
        <v>3947.7953377075205</v>
      </c>
      <c r="AC25" s="166"/>
      <c r="AD25" s="243">
        <v>8</v>
      </c>
      <c r="AE25" s="212">
        <f t="shared" si="2"/>
        <v>2029</v>
      </c>
      <c r="AF25" s="183">
        <f>IF(AnnualExpenses[[#This Row],[Total Annual Housing Expenses]]-AnnualExpenses[[#This Row],[Total Annual Rental Expenses]]&lt;0,AnnualExpenses[[#This Row],[Total Annual Rental Expenses]]-AnnualExpenses[[#This Row],[Total Annual Housing Expenses]],0)</f>
        <v>0</v>
      </c>
      <c r="AG25" s="183">
        <f>IF(AnnualExpenses[[#This Row],[Total Annual Housing Expenses]]-AnnualExpenses[[#This Row],[Total Annual Rental Expenses]]&gt;0,AnnualExpenses[[#This Row],[Total Annual Housing Expenses]]-AnnualExpenses[[#This Row],[Total Annual Rental Expenses]],0)</f>
        <v>20397.869260986183</v>
      </c>
    </row>
    <row r="26" spans="11:33" x14ac:dyDescent="0.25">
      <c r="K26" s="161">
        <v>9</v>
      </c>
      <c r="L26" s="161">
        <f t="shared" si="0"/>
        <v>2030</v>
      </c>
      <c r="M26" s="215">
        <f>IF(AnnualExpenses[[#This Row],[Calendar Year]]&gt;=$C$8,AnnualExpenses[[#This Row],[Calendar Year]],NA())</f>
        <v>2030</v>
      </c>
      <c r="N26" s="215">
        <f>IF((AnnualExpenses[[#This Row],[Calendar Year]]&gt;=$C$8)*(AnnualExpenses[[#This Row],[Calendar Year]]&lt;=$C$10),AnnualExpenses[[#This Row],[Calendar Year]],NA())</f>
        <v>2030</v>
      </c>
      <c r="O26" s="214">
        <f>IF((AnnualExpenses[[#This Row],[Year (Range)]]&gt;=$C$8)*(AnnualExpenses[[#This Row],[Year (Range)]]&lt;=$C$10),Table65[[#This Row],[Buy, Instead of Rent]],NA())</f>
        <v>0</v>
      </c>
      <c r="P26" s="214">
        <f>IF((AnnualExpenses[[#This Row],[Year (Range)]]&gt;=$C$8)*(AnnualExpenses[[#This Row],[Year (Range)]]&lt;=$C$10),Table65[[#This Row],[Rent, Instead of Buy]],NA())</f>
        <v>10060.060359924049</v>
      </c>
      <c r="Q26" s="214">
        <f>IF((AnnualExpenses[[#This Row],[Year (Range)]]&gt;=$C$8)*(AnnualExpenses[[#This Row],[Year (Range)]]&lt;=$C$10),AnnualExpenses[[#This Row],[Total Annual Direct Housing Expenses]],NA())</f>
        <v>37200.317945560892</v>
      </c>
      <c r="R26" s="214">
        <f>IF((AnnualExpenses[[#This Row],[Year (Range)]]&gt;=$C$8)*(AnnualExpenses[[#This Row],[Year (Range)]]&lt;=$C$10),AnnualExpenses[[#This Row],[Total Annual Indirect Housing Expenses]],NA())</f>
        <v>22128.228228953009</v>
      </c>
      <c r="S26" s="214">
        <f>IF((AnnualExpenses[[#This Row],[Year (Range)]]&gt;=$C$8)*(AnnualExpenses[[#This Row],[Year (Range)]]&lt;=$C$10),AnnualExpenses[[#This Row],[Total Annual Rental Expenses]],NA())</f>
        <v>49268.485814589854</v>
      </c>
      <c r="T26" s="214">
        <f>IF((AnnualExpenses[[#This Row],[Year (Range)]]&gt;=$C$8)*(AnnualExpenses[[#This Row],[Year (Range)]]&lt;=$C$10),AnnualExpenses[[#This Row],[Total Annual Housing Expenses]],NA())</f>
        <v>59328.546174513904</v>
      </c>
      <c r="U26" s="214">
        <f>IF((AnnualExpenses[[#This Row],[Year (Range)]]&gt;=$C$8)*(AnnualExpenses[[#This Row],[Year (Range)]]&lt;=$C$10),AnnualExpenses[[#This Row],[Buying Average Monthly Cost]],NA())</f>
        <v>4944.045514542825</v>
      </c>
      <c r="V26" s="214">
        <f>IF((AnnualExpenses[[#This Row],[Year (Range)]]&gt;=$C$8)*(AnnualExpenses[[#This Row],[Year (Range)]]&lt;=$C$10),AnnualExpenses[[#This Row],[Renting Average Monthly Cost]],NA())</f>
        <v>4105.7071512158209</v>
      </c>
      <c r="W26" s="4">
        <f>'Annual Amort. Sch.'!AL25</f>
        <v>37200.317945560892</v>
      </c>
      <c r="X26" s="4">
        <f>'Annual Amort. Sch.'!AM25</f>
        <v>22128.228228953009</v>
      </c>
      <c r="Y26" s="4">
        <f>(AnnualExpenses[[#This Row],[Total Annual Direct Housing Expenses]]+AnnualExpenses[[#This Row],[Total Annual Indirect Housing Expenses]])</f>
        <v>59328.546174513904</v>
      </c>
      <c r="Z26" s="4">
        <f>AnnualExpenses[[#This Row],[Total Annual Housing Expenses]]/12</f>
        <v>4944.045514542825</v>
      </c>
      <c r="AA26" s="164">
        <f t="shared" si="1"/>
        <v>49268.485814589854</v>
      </c>
      <c r="AB26" s="164">
        <f>AnnualExpenses[[#This Row],[Total Annual Rental Expenses]]/12</f>
        <v>4105.7071512158209</v>
      </c>
      <c r="AC26" s="166"/>
      <c r="AD26" s="243">
        <v>9</v>
      </c>
      <c r="AE26" s="212">
        <f t="shared" si="2"/>
        <v>2030</v>
      </c>
      <c r="AF26" s="183">
        <f>IF(AnnualExpenses[[#This Row],[Total Annual Housing Expenses]]-AnnualExpenses[[#This Row],[Total Annual Rental Expenses]]&lt;0,AnnualExpenses[[#This Row],[Total Annual Rental Expenses]]-AnnualExpenses[[#This Row],[Total Annual Housing Expenses]],0)</f>
        <v>0</v>
      </c>
      <c r="AG26" s="183">
        <f>IF(AnnualExpenses[[#This Row],[Total Annual Housing Expenses]]-AnnualExpenses[[#This Row],[Total Annual Rental Expenses]]&gt;0,AnnualExpenses[[#This Row],[Total Annual Housing Expenses]]-AnnualExpenses[[#This Row],[Total Annual Rental Expenses]],0)</f>
        <v>10060.060359924049</v>
      </c>
    </row>
    <row r="27" spans="11:33" x14ac:dyDescent="0.25">
      <c r="K27" s="161">
        <v>10</v>
      </c>
      <c r="L27" s="161">
        <f t="shared" si="0"/>
        <v>2031</v>
      </c>
      <c r="M27" s="215">
        <f>IF(AnnualExpenses[[#This Row],[Calendar Year]]&gt;=$C$8,AnnualExpenses[[#This Row],[Calendar Year]],NA())</f>
        <v>2031</v>
      </c>
      <c r="N27" s="215">
        <f>IF((AnnualExpenses[[#This Row],[Calendar Year]]&gt;=$C$8)*(AnnualExpenses[[#This Row],[Calendar Year]]&lt;=$C$10),AnnualExpenses[[#This Row],[Calendar Year]],NA())</f>
        <v>2031</v>
      </c>
      <c r="O27" s="214">
        <f>IF((AnnualExpenses[[#This Row],[Year (Range)]]&gt;=$C$8)*(AnnualExpenses[[#This Row],[Year (Range)]]&lt;=$C$10),Table65[[#This Row],[Buy, Instead of Rent]],NA())</f>
        <v>0</v>
      </c>
      <c r="P27" s="214">
        <f>IF((AnnualExpenses[[#This Row],[Year (Range)]]&gt;=$C$8)*(AnnualExpenses[[#This Row],[Year (Range)]]&lt;=$C$10),Table65[[#This Row],[Rent, Instead of Buy]],NA())</f>
        <v>35663.167774209054</v>
      </c>
      <c r="Q27" s="214">
        <f>IF((AnnualExpenses[[#This Row],[Year (Range)]]&gt;=$C$8)*(AnnualExpenses[[#This Row],[Year (Range)]]&lt;=$C$10),AnnualExpenses[[#This Row],[Total Annual Direct Housing Expenses]],NA())</f>
        <v>37200.317945560899</v>
      </c>
      <c r="R27" s="214">
        <f>IF((AnnualExpenses[[#This Row],[Year (Range)]]&gt;=$C$8)*(AnnualExpenses[[#This Row],[Year (Range)]]&lt;=$C$10),AnnualExpenses[[#This Row],[Total Annual Indirect Housing Expenses]],NA())</f>
        <v>49702.075075821602</v>
      </c>
      <c r="S27" s="214">
        <f>IF((AnnualExpenses[[#This Row],[Year (Range)]]&gt;=$C$8)*(AnnualExpenses[[#This Row],[Year (Range)]]&lt;=$C$10),AnnualExpenses[[#This Row],[Total Annual Rental Expenses]],NA())</f>
        <v>51239.225247173454</v>
      </c>
      <c r="T27" s="214">
        <f>IF((AnnualExpenses[[#This Row],[Year (Range)]]&gt;=$C$8)*(AnnualExpenses[[#This Row],[Year (Range)]]&lt;=$C$10),AnnualExpenses[[#This Row],[Total Annual Housing Expenses]],NA())</f>
        <v>86902.393021382508</v>
      </c>
      <c r="U27" s="214">
        <f>IF((AnnualExpenses[[#This Row],[Year (Range)]]&gt;=$C$8)*(AnnualExpenses[[#This Row],[Year (Range)]]&lt;=$C$10),AnnualExpenses[[#This Row],[Buying Average Monthly Cost]],NA())</f>
        <v>7241.866085115209</v>
      </c>
      <c r="V27" s="214">
        <f>IF((AnnualExpenses[[#This Row],[Year (Range)]]&gt;=$C$8)*(AnnualExpenses[[#This Row],[Year (Range)]]&lt;=$C$10),AnnualExpenses[[#This Row],[Renting Average Monthly Cost]],NA())</f>
        <v>4269.9354372644548</v>
      </c>
      <c r="W27" s="4">
        <f>'Annual Amort. Sch.'!AL26</f>
        <v>37200.317945560899</v>
      </c>
      <c r="X27" s="4">
        <f>'Annual Amort. Sch.'!AM26</f>
        <v>49702.075075821602</v>
      </c>
      <c r="Y27" s="4">
        <f>(AnnualExpenses[[#This Row],[Total Annual Direct Housing Expenses]]+AnnualExpenses[[#This Row],[Total Annual Indirect Housing Expenses]])</f>
        <v>86902.393021382508</v>
      </c>
      <c r="Z27" s="4">
        <f>AnnualExpenses[[#This Row],[Total Annual Housing Expenses]]/12</f>
        <v>7241.866085115209</v>
      </c>
      <c r="AA27" s="164">
        <f t="shared" si="1"/>
        <v>51239.225247173454</v>
      </c>
      <c r="AB27" s="164">
        <f>AnnualExpenses[[#This Row],[Total Annual Rental Expenses]]/12</f>
        <v>4269.9354372644548</v>
      </c>
      <c r="AC27" s="166"/>
      <c r="AD27" s="243">
        <v>10</v>
      </c>
      <c r="AE27" s="212">
        <f t="shared" si="2"/>
        <v>2031</v>
      </c>
      <c r="AF27" s="183">
        <f>IF(AnnualExpenses[[#This Row],[Total Annual Housing Expenses]]-AnnualExpenses[[#This Row],[Total Annual Rental Expenses]]&lt;0,AnnualExpenses[[#This Row],[Total Annual Rental Expenses]]-AnnualExpenses[[#This Row],[Total Annual Housing Expenses]],0)</f>
        <v>0</v>
      </c>
      <c r="AG27" s="183">
        <f>IF(AnnualExpenses[[#This Row],[Total Annual Housing Expenses]]-AnnualExpenses[[#This Row],[Total Annual Rental Expenses]]&gt;0,AnnualExpenses[[#This Row],[Total Annual Housing Expenses]]-AnnualExpenses[[#This Row],[Total Annual Rental Expenses]],0)</f>
        <v>35663.167774209054</v>
      </c>
    </row>
    <row r="28" spans="11:33" x14ac:dyDescent="0.25">
      <c r="K28" s="161">
        <v>11</v>
      </c>
      <c r="L28" s="161">
        <f t="shared" si="0"/>
        <v>2032</v>
      </c>
      <c r="M28" s="215">
        <f>IF(AnnualExpenses[[#This Row],[Calendar Year]]&gt;=$C$8,AnnualExpenses[[#This Row],[Calendar Year]],NA())</f>
        <v>2032</v>
      </c>
      <c r="N28" s="215">
        <f>IF((AnnualExpenses[[#This Row],[Calendar Year]]&gt;=$C$8)*(AnnualExpenses[[#This Row],[Calendar Year]]&lt;=$C$10),AnnualExpenses[[#This Row],[Calendar Year]],NA())</f>
        <v>2032</v>
      </c>
      <c r="O28" s="214">
        <f>IF((AnnualExpenses[[#This Row],[Year (Range)]]&gt;=$C$8)*(AnnualExpenses[[#This Row],[Year (Range)]]&lt;=$C$10),Table65[[#This Row],[Buy, Instead of Rent]],NA())</f>
        <v>0</v>
      </c>
      <c r="P28" s="214">
        <f>IF((AnnualExpenses[[#This Row],[Year (Range)]]&gt;=$C$8)*(AnnualExpenses[[#This Row],[Year (Range)]]&lt;=$C$10),Table65[[#This Row],[Rent, Instead of Buy]],NA())</f>
        <v>4204.6610165967431</v>
      </c>
      <c r="Q28" s="214">
        <f>IF((AnnualExpenses[[#This Row],[Year (Range)]]&gt;=$C$8)*(AnnualExpenses[[#This Row],[Year (Range)]]&lt;=$C$10),AnnualExpenses[[#This Row],[Total Annual Direct Housing Expenses]],NA())</f>
        <v>37200.317945560892</v>
      </c>
      <c r="R28" s="214">
        <f>IF((AnnualExpenses[[#This Row],[Year (Range)]]&gt;=$C$8)*(AnnualExpenses[[#This Row],[Year (Range)]]&lt;=$C$10),AnnualExpenses[[#This Row],[Total Annual Indirect Housing Expenses]],NA())</f>
        <v>20293.137328096243</v>
      </c>
      <c r="S28" s="214">
        <f>IF((AnnualExpenses[[#This Row],[Year (Range)]]&gt;=$C$8)*(AnnualExpenses[[#This Row],[Year (Range)]]&lt;=$C$10),AnnualExpenses[[#This Row],[Total Annual Rental Expenses]],NA())</f>
        <v>53288.794257060392</v>
      </c>
      <c r="T28" s="214">
        <f>IF((AnnualExpenses[[#This Row],[Year (Range)]]&gt;=$C$8)*(AnnualExpenses[[#This Row],[Year (Range)]]&lt;=$C$10),AnnualExpenses[[#This Row],[Total Annual Housing Expenses]],NA())</f>
        <v>57493.455273657135</v>
      </c>
      <c r="U28" s="214">
        <f>IF((AnnualExpenses[[#This Row],[Year (Range)]]&gt;=$C$8)*(AnnualExpenses[[#This Row],[Year (Range)]]&lt;=$C$10),AnnualExpenses[[#This Row],[Buying Average Monthly Cost]],NA())</f>
        <v>4791.1212728047612</v>
      </c>
      <c r="V28" s="214">
        <f>IF((AnnualExpenses[[#This Row],[Year (Range)]]&gt;=$C$8)*(AnnualExpenses[[#This Row],[Year (Range)]]&lt;=$C$10),AnnualExpenses[[#This Row],[Renting Average Monthly Cost]],NA())</f>
        <v>4440.7328547550323</v>
      </c>
      <c r="W28" s="4">
        <f>'Annual Amort. Sch.'!AL27</f>
        <v>37200.317945560892</v>
      </c>
      <c r="X28" s="4">
        <f>'Annual Amort. Sch.'!AM27</f>
        <v>20293.137328096243</v>
      </c>
      <c r="Y28" s="4">
        <f>(AnnualExpenses[[#This Row],[Total Annual Direct Housing Expenses]]+AnnualExpenses[[#This Row],[Total Annual Indirect Housing Expenses]])</f>
        <v>57493.455273657135</v>
      </c>
      <c r="Z28" s="4">
        <f>AnnualExpenses[[#This Row],[Total Annual Housing Expenses]]/12</f>
        <v>4791.1212728047612</v>
      </c>
      <c r="AA28" s="164">
        <f t="shared" si="1"/>
        <v>53288.794257060392</v>
      </c>
      <c r="AB28" s="164">
        <f>AnnualExpenses[[#This Row],[Total Annual Rental Expenses]]/12</f>
        <v>4440.7328547550323</v>
      </c>
      <c r="AC28" s="166"/>
      <c r="AD28" s="243">
        <v>11</v>
      </c>
      <c r="AE28" s="212">
        <f t="shared" si="2"/>
        <v>2032</v>
      </c>
      <c r="AF28" s="183">
        <f>IF(AnnualExpenses[[#This Row],[Total Annual Housing Expenses]]-AnnualExpenses[[#This Row],[Total Annual Rental Expenses]]&lt;0,AnnualExpenses[[#This Row],[Total Annual Rental Expenses]]-AnnualExpenses[[#This Row],[Total Annual Housing Expenses]],0)</f>
        <v>0</v>
      </c>
      <c r="AG28" s="183">
        <f>IF(AnnualExpenses[[#This Row],[Total Annual Housing Expenses]]-AnnualExpenses[[#This Row],[Total Annual Rental Expenses]]&gt;0,AnnualExpenses[[#This Row],[Total Annual Housing Expenses]]-AnnualExpenses[[#This Row],[Total Annual Rental Expenses]],0)</f>
        <v>4204.6610165967431</v>
      </c>
    </row>
    <row r="29" spans="11:33" x14ac:dyDescent="0.25">
      <c r="K29" s="161">
        <v>12</v>
      </c>
      <c r="L29" s="161">
        <f t="shared" si="0"/>
        <v>2033</v>
      </c>
      <c r="M29" s="215">
        <f>IF(AnnualExpenses[[#This Row],[Calendar Year]]&gt;=$C$8,AnnualExpenses[[#This Row],[Calendar Year]],NA())</f>
        <v>2033</v>
      </c>
      <c r="N29" s="215">
        <f>IF((AnnualExpenses[[#This Row],[Calendar Year]]&gt;=$C$8)*(AnnualExpenses[[#This Row],[Calendar Year]]&lt;=$C$10),AnnualExpenses[[#This Row],[Calendar Year]],NA())</f>
        <v>2033</v>
      </c>
      <c r="O29" s="214">
        <f>IF((AnnualExpenses[[#This Row],[Year (Range)]]&gt;=$C$8)*(AnnualExpenses[[#This Row],[Year (Range)]]&lt;=$C$10),Table65[[#This Row],[Buy, Instead of Rent]],NA())</f>
        <v>0</v>
      </c>
      <c r="P29" s="214">
        <f>IF((AnnualExpenses[[#This Row],[Year (Range)]]&gt;=$C$8)*(AnnualExpenses[[#This Row],[Year (Range)]]&lt;=$C$10),Table65[[#This Row],[Rent, Instead of Buy]],NA())</f>
        <v>2681.9033661572248</v>
      </c>
      <c r="Q29" s="214">
        <f>IF((AnnualExpenses[[#This Row],[Year (Range)]]&gt;=$C$8)*(AnnualExpenses[[#This Row],[Year (Range)]]&lt;=$C$10),AnnualExpenses[[#This Row],[Total Annual Direct Housing Expenses]],NA())</f>
        <v>37200.317945560899</v>
      </c>
      <c r="R29" s="214">
        <f>IF((AnnualExpenses[[#This Row],[Year (Range)]]&gt;=$C$8)*(AnnualExpenses[[#This Row],[Year (Range)]]&lt;=$C$10),AnnualExpenses[[#This Row],[Total Annual Indirect Housing Expenses]],NA())</f>
        <v>20901.931447939132</v>
      </c>
      <c r="S29" s="214">
        <f>IF((AnnualExpenses[[#This Row],[Year (Range)]]&gt;=$C$8)*(AnnualExpenses[[#This Row],[Year (Range)]]&lt;=$C$10),AnnualExpenses[[#This Row],[Total Annual Rental Expenses]],NA())</f>
        <v>55420.346027342806</v>
      </c>
      <c r="T29" s="214">
        <f>IF((AnnualExpenses[[#This Row],[Year (Range)]]&gt;=$C$8)*(AnnualExpenses[[#This Row],[Year (Range)]]&lt;=$C$10),AnnualExpenses[[#This Row],[Total Annual Housing Expenses]],NA())</f>
        <v>58102.249393500031</v>
      </c>
      <c r="U29" s="214">
        <f>IF((AnnualExpenses[[#This Row],[Year (Range)]]&gt;=$C$8)*(AnnualExpenses[[#This Row],[Year (Range)]]&lt;=$C$10),AnnualExpenses[[#This Row],[Buying Average Monthly Cost]],NA())</f>
        <v>4841.8541161250023</v>
      </c>
      <c r="V29" s="214">
        <f>IF((AnnualExpenses[[#This Row],[Year (Range)]]&gt;=$C$8)*(AnnualExpenses[[#This Row],[Year (Range)]]&lt;=$C$10),AnnualExpenses[[#This Row],[Renting Average Monthly Cost]],NA())</f>
        <v>4618.3621689452339</v>
      </c>
      <c r="W29" s="4">
        <f>'Annual Amort. Sch.'!AL28</f>
        <v>37200.317945560899</v>
      </c>
      <c r="X29" s="4">
        <f>'Annual Amort. Sch.'!AM28</f>
        <v>20901.931447939132</v>
      </c>
      <c r="Y29" s="4">
        <f>(AnnualExpenses[[#This Row],[Total Annual Direct Housing Expenses]]+AnnualExpenses[[#This Row],[Total Annual Indirect Housing Expenses]])</f>
        <v>58102.249393500031</v>
      </c>
      <c r="Z29" s="4">
        <f>AnnualExpenses[[#This Row],[Total Annual Housing Expenses]]/12</f>
        <v>4841.8541161250023</v>
      </c>
      <c r="AA29" s="164">
        <f t="shared" si="1"/>
        <v>55420.346027342806</v>
      </c>
      <c r="AB29" s="164">
        <f>AnnualExpenses[[#This Row],[Total Annual Rental Expenses]]/12</f>
        <v>4618.3621689452339</v>
      </c>
      <c r="AC29" s="166"/>
      <c r="AD29" s="243">
        <v>12</v>
      </c>
      <c r="AE29" s="212">
        <f t="shared" si="2"/>
        <v>2033</v>
      </c>
      <c r="AF29" s="183">
        <f>IF(AnnualExpenses[[#This Row],[Total Annual Housing Expenses]]-AnnualExpenses[[#This Row],[Total Annual Rental Expenses]]&lt;0,AnnualExpenses[[#This Row],[Total Annual Rental Expenses]]-AnnualExpenses[[#This Row],[Total Annual Housing Expenses]],0)</f>
        <v>0</v>
      </c>
      <c r="AG29" s="183">
        <f>IF(AnnualExpenses[[#This Row],[Total Annual Housing Expenses]]-AnnualExpenses[[#This Row],[Total Annual Rental Expenses]]&gt;0,AnnualExpenses[[#This Row],[Total Annual Housing Expenses]]-AnnualExpenses[[#This Row],[Total Annual Rental Expenses]],0)</f>
        <v>2681.9033661572248</v>
      </c>
    </row>
    <row r="30" spans="11:33" x14ac:dyDescent="0.25">
      <c r="K30" s="161">
        <v>13</v>
      </c>
      <c r="L30" s="161">
        <f t="shared" si="0"/>
        <v>2034</v>
      </c>
      <c r="M30" s="215">
        <f>IF(AnnualExpenses[[#This Row],[Calendar Year]]&gt;=$C$8,AnnualExpenses[[#This Row],[Calendar Year]],NA())</f>
        <v>2034</v>
      </c>
      <c r="N30" s="215">
        <f>IF((AnnualExpenses[[#This Row],[Calendar Year]]&gt;=$C$8)*(AnnualExpenses[[#This Row],[Calendar Year]]&lt;=$C$10),AnnualExpenses[[#This Row],[Calendar Year]],NA())</f>
        <v>2034</v>
      </c>
      <c r="O30" s="214">
        <f>IF((AnnualExpenses[[#This Row],[Year (Range)]]&gt;=$C$8)*(AnnualExpenses[[#This Row],[Year (Range)]]&lt;=$C$10),Table65[[#This Row],[Buy, Instead of Rent]],NA())</f>
        <v>0</v>
      </c>
      <c r="P30" s="214">
        <f>IF((AnnualExpenses[[#This Row],[Year (Range)]]&gt;=$C$8)*(AnnualExpenses[[#This Row],[Year (Range)]]&lt;=$C$10),Table65[[#This Row],[Rent, Instead of Buy]],NA())</f>
        <v>1092.1474685016801</v>
      </c>
      <c r="Q30" s="214">
        <f>IF((AnnualExpenses[[#This Row],[Year (Range)]]&gt;=$C$8)*(AnnualExpenses[[#This Row],[Year (Range)]]&lt;=$C$10),AnnualExpenses[[#This Row],[Total Annual Direct Housing Expenses]],NA())</f>
        <v>37200.317945560899</v>
      </c>
      <c r="R30" s="214">
        <f>IF((AnnualExpenses[[#This Row],[Year (Range)]]&gt;=$C$8)*(AnnualExpenses[[#This Row],[Year (Range)]]&lt;=$C$10),AnnualExpenses[[#This Row],[Total Annual Indirect Housing Expenses]],NA())</f>
        <v>21528.989391377305</v>
      </c>
      <c r="S30" s="214">
        <f>IF((AnnualExpenses[[#This Row],[Year (Range)]]&gt;=$C$8)*(AnnualExpenses[[#This Row],[Year (Range)]]&lt;=$C$10),AnnualExpenses[[#This Row],[Total Annual Rental Expenses]],NA())</f>
        <v>57637.159868436524</v>
      </c>
      <c r="T30" s="214">
        <f>IF((AnnualExpenses[[#This Row],[Year (Range)]]&gt;=$C$8)*(AnnualExpenses[[#This Row],[Year (Range)]]&lt;=$C$10),AnnualExpenses[[#This Row],[Total Annual Housing Expenses]],NA())</f>
        <v>58729.307336938204</v>
      </c>
      <c r="U30" s="214">
        <f>IF((AnnualExpenses[[#This Row],[Year (Range)]]&gt;=$C$8)*(AnnualExpenses[[#This Row],[Year (Range)]]&lt;=$C$10),AnnualExpenses[[#This Row],[Buying Average Monthly Cost]],NA())</f>
        <v>4894.1089447448503</v>
      </c>
      <c r="V30" s="214">
        <f>IF((AnnualExpenses[[#This Row],[Year (Range)]]&gt;=$C$8)*(AnnualExpenses[[#This Row],[Year (Range)]]&lt;=$C$10),AnnualExpenses[[#This Row],[Renting Average Monthly Cost]],NA())</f>
        <v>4803.0966557030433</v>
      </c>
      <c r="W30" s="4">
        <f>'Annual Amort. Sch.'!AL29</f>
        <v>37200.317945560899</v>
      </c>
      <c r="X30" s="4">
        <f>'Annual Amort. Sch.'!AM29</f>
        <v>21528.989391377305</v>
      </c>
      <c r="Y30" s="4">
        <f>(AnnualExpenses[[#This Row],[Total Annual Direct Housing Expenses]]+AnnualExpenses[[#This Row],[Total Annual Indirect Housing Expenses]])</f>
        <v>58729.307336938204</v>
      </c>
      <c r="Z30" s="4">
        <f>AnnualExpenses[[#This Row],[Total Annual Housing Expenses]]/12</f>
        <v>4894.1089447448503</v>
      </c>
      <c r="AA30" s="164">
        <f t="shared" si="1"/>
        <v>57637.159868436524</v>
      </c>
      <c r="AB30" s="164">
        <f>AnnualExpenses[[#This Row],[Total Annual Rental Expenses]]/12</f>
        <v>4803.0966557030433</v>
      </c>
      <c r="AC30" s="166"/>
      <c r="AD30" s="243">
        <v>13</v>
      </c>
      <c r="AE30" s="212">
        <f t="shared" si="2"/>
        <v>2034</v>
      </c>
      <c r="AF30" s="183">
        <f>IF(AnnualExpenses[[#This Row],[Total Annual Housing Expenses]]-AnnualExpenses[[#This Row],[Total Annual Rental Expenses]]&lt;0,AnnualExpenses[[#This Row],[Total Annual Rental Expenses]]-AnnualExpenses[[#This Row],[Total Annual Housing Expenses]],0)</f>
        <v>0</v>
      </c>
      <c r="AG30" s="183">
        <f>IF(AnnualExpenses[[#This Row],[Total Annual Housing Expenses]]-AnnualExpenses[[#This Row],[Total Annual Rental Expenses]]&gt;0,AnnualExpenses[[#This Row],[Total Annual Housing Expenses]]-AnnualExpenses[[#This Row],[Total Annual Rental Expenses]],0)</f>
        <v>1092.1474685016801</v>
      </c>
    </row>
    <row r="31" spans="11:33" x14ac:dyDescent="0.25">
      <c r="K31" s="161">
        <v>14</v>
      </c>
      <c r="L31" s="161">
        <f t="shared" si="0"/>
        <v>2035</v>
      </c>
      <c r="M31" s="215">
        <f>IF(AnnualExpenses[[#This Row],[Calendar Year]]&gt;=$C$8,AnnualExpenses[[#This Row],[Calendar Year]],NA())</f>
        <v>2035</v>
      </c>
      <c r="N31" s="215">
        <f>IF((AnnualExpenses[[#This Row],[Calendar Year]]&gt;=$C$8)*(AnnualExpenses[[#This Row],[Calendar Year]]&lt;=$C$10),AnnualExpenses[[#This Row],[Calendar Year]],NA())</f>
        <v>2035</v>
      </c>
      <c r="O31" s="214">
        <f>IF((AnnualExpenses[[#This Row],[Year (Range)]]&gt;=$C$8)*(AnnualExpenses[[#This Row],[Year (Range)]]&lt;=$C$10),Table65[[#This Row],[Buy, Instead of Rent]],NA())</f>
        <v>567.46924449446669</v>
      </c>
      <c r="P31" s="214">
        <f>IF((AnnualExpenses[[#This Row],[Year (Range)]]&gt;=$C$8)*(AnnualExpenses[[#This Row],[Year (Range)]]&lt;=$C$10),Table65[[#This Row],[Rent, Instead of Buy]],NA())</f>
        <v>0</v>
      </c>
      <c r="Q31" s="214">
        <f>IF((AnnualExpenses[[#This Row],[Year (Range)]]&gt;=$C$8)*(AnnualExpenses[[#This Row],[Year (Range)]]&lt;=$C$10),AnnualExpenses[[#This Row],[Total Annual Direct Housing Expenses]],NA())</f>
        <v>37200.317945560892</v>
      </c>
      <c r="R31" s="214">
        <f>IF((AnnualExpenses[[#This Row],[Year (Range)]]&gt;=$C$8)*(AnnualExpenses[[#This Row],[Year (Range)]]&lt;=$C$10),AnnualExpenses[[#This Row],[Total Annual Indirect Housing Expenses]],NA())</f>
        <v>22174.859073118627</v>
      </c>
      <c r="S31" s="214">
        <f>IF((AnnualExpenses[[#This Row],[Year (Range)]]&gt;=$C$8)*(AnnualExpenses[[#This Row],[Year (Range)]]&lt;=$C$10),AnnualExpenses[[#This Row],[Total Annual Rental Expenses]],NA())</f>
        <v>59942.646263173985</v>
      </c>
      <c r="T31" s="214">
        <f>IF((AnnualExpenses[[#This Row],[Year (Range)]]&gt;=$C$8)*(AnnualExpenses[[#This Row],[Year (Range)]]&lt;=$C$10),AnnualExpenses[[#This Row],[Total Annual Housing Expenses]],NA())</f>
        <v>59375.177018679518</v>
      </c>
      <c r="U31" s="214">
        <f>IF((AnnualExpenses[[#This Row],[Year (Range)]]&gt;=$C$8)*(AnnualExpenses[[#This Row],[Year (Range)]]&lt;=$C$10),AnnualExpenses[[#This Row],[Buying Average Monthly Cost]],NA())</f>
        <v>4947.9314182232929</v>
      </c>
      <c r="V31" s="214">
        <f>IF((AnnualExpenses[[#This Row],[Year (Range)]]&gt;=$C$8)*(AnnualExpenses[[#This Row],[Year (Range)]]&lt;=$C$10),AnnualExpenses[[#This Row],[Renting Average Monthly Cost]],NA())</f>
        <v>4995.2205219311654</v>
      </c>
      <c r="W31" s="4">
        <f>'Annual Amort. Sch.'!AL30</f>
        <v>37200.317945560892</v>
      </c>
      <c r="X31" s="4">
        <f>'Annual Amort. Sch.'!AM30</f>
        <v>22174.859073118627</v>
      </c>
      <c r="Y31" s="4">
        <f>(AnnualExpenses[[#This Row],[Total Annual Direct Housing Expenses]]+AnnualExpenses[[#This Row],[Total Annual Indirect Housing Expenses]])</f>
        <v>59375.177018679518</v>
      </c>
      <c r="Z31" s="4">
        <f>AnnualExpenses[[#This Row],[Total Annual Housing Expenses]]/12</f>
        <v>4947.9314182232929</v>
      </c>
      <c r="AA31" s="164">
        <f t="shared" si="1"/>
        <v>59942.646263173985</v>
      </c>
      <c r="AB31" s="164">
        <f>AnnualExpenses[[#This Row],[Total Annual Rental Expenses]]/12</f>
        <v>4995.2205219311654</v>
      </c>
      <c r="AC31" s="166"/>
      <c r="AD31" s="243">
        <v>14</v>
      </c>
      <c r="AE31" s="212">
        <f t="shared" si="2"/>
        <v>2035</v>
      </c>
      <c r="AF31" s="183">
        <f>IF(AnnualExpenses[[#This Row],[Total Annual Housing Expenses]]-AnnualExpenses[[#This Row],[Total Annual Rental Expenses]]&lt;0,AnnualExpenses[[#This Row],[Total Annual Rental Expenses]]-AnnualExpenses[[#This Row],[Total Annual Housing Expenses]],0)</f>
        <v>567.46924449446669</v>
      </c>
      <c r="AG31" s="183">
        <f>IF(AnnualExpenses[[#This Row],[Total Annual Housing Expenses]]-AnnualExpenses[[#This Row],[Total Annual Rental Expenses]]&gt;0,AnnualExpenses[[#This Row],[Total Annual Housing Expenses]]-AnnualExpenses[[#This Row],[Total Annual Rental Expenses]],0)</f>
        <v>0</v>
      </c>
    </row>
    <row r="32" spans="11:33" x14ac:dyDescent="0.25">
      <c r="K32" s="161">
        <v>15</v>
      </c>
      <c r="L32" s="161">
        <f t="shared" si="0"/>
        <v>2036</v>
      </c>
      <c r="M32" s="215">
        <f>IF(AnnualExpenses[[#This Row],[Calendar Year]]&gt;=$C$8,AnnualExpenses[[#This Row],[Calendar Year]],NA())</f>
        <v>2036</v>
      </c>
      <c r="N32" s="215">
        <f>IF((AnnualExpenses[[#This Row],[Calendar Year]]&gt;=$C$8)*(AnnualExpenses[[#This Row],[Calendar Year]]&lt;=$C$10),AnnualExpenses[[#This Row],[Calendar Year]],NA())</f>
        <v>2036</v>
      </c>
      <c r="O32" s="214">
        <f>IF((AnnualExpenses[[#This Row],[Year (Range)]]&gt;=$C$8)*(AnnualExpenses[[#This Row],[Year (Range)]]&lt;=$C$10),Table65[[#This Row],[Buy, Instead of Rent]],NA())</f>
        <v>2299.9293228278621</v>
      </c>
      <c r="P32" s="214">
        <f>IF((AnnualExpenses[[#This Row],[Year (Range)]]&gt;=$C$8)*(AnnualExpenses[[#This Row],[Year (Range)]]&lt;=$C$10),Table65[[#This Row],[Rent, Instead of Buy]],NA())</f>
        <v>0</v>
      </c>
      <c r="Q32" s="214">
        <f>IF((AnnualExpenses[[#This Row],[Year (Range)]]&gt;=$C$8)*(AnnualExpenses[[#This Row],[Year (Range)]]&lt;=$C$10),AnnualExpenses[[#This Row],[Total Annual Direct Housing Expenses]],NA())</f>
        <v>37200.317945560892</v>
      </c>
      <c r="R32" s="214">
        <f>IF((AnnualExpenses[[#This Row],[Year (Range)]]&gt;=$C$8)*(AnnualExpenses[[#This Row],[Year (Range)]]&lt;=$C$10),AnnualExpenses[[#This Row],[Total Annual Indirect Housing Expenses]],NA())</f>
        <v>22840.104845312188</v>
      </c>
      <c r="S32" s="214">
        <f>IF((AnnualExpenses[[#This Row],[Year (Range)]]&gt;=$C$8)*(AnnualExpenses[[#This Row],[Year (Range)]]&lt;=$C$10),AnnualExpenses[[#This Row],[Total Annual Rental Expenses]],NA())</f>
        <v>62340.352113700945</v>
      </c>
      <c r="T32" s="214">
        <f>IF((AnnualExpenses[[#This Row],[Year (Range)]]&gt;=$C$8)*(AnnualExpenses[[#This Row],[Year (Range)]]&lt;=$C$10),AnnualExpenses[[#This Row],[Total Annual Housing Expenses]],NA())</f>
        <v>60040.422790873083</v>
      </c>
      <c r="U32" s="214">
        <f>IF((AnnualExpenses[[#This Row],[Year (Range)]]&gt;=$C$8)*(AnnualExpenses[[#This Row],[Year (Range)]]&lt;=$C$10),AnnualExpenses[[#This Row],[Buying Average Monthly Cost]],NA())</f>
        <v>5003.3685659060902</v>
      </c>
      <c r="V32" s="214">
        <f>IF((AnnualExpenses[[#This Row],[Year (Range)]]&gt;=$C$8)*(AnnualExpenses[[#This Row],[Year (Range)]]&lt;=$C$10),AnnualExpenses[[#This Row],[Renting Average Monthly Cost]],NA())</f>
        <v>5195.0293428084124</v>
      </c>
      <c r="W32" s="4">
        <f>'Annual Amort. Sch.'!AL31</f>
        <v>37200.317945560892</v>
      </c>
      <c r="X32" s="4">
        <f>'Annual Amort. Sch.'!AM31</f>
        <v>22840.104845312188</v>
      </c>
      <c r="Y32" s="4">
        <f>(AnnualExpenses[[#This Row],[Total Annual Direct Housing Expenses]]+AnnualExpenses[[#This Row],[Total Annual Indirect Housing Expenses]])</f>
        <v>60040.422790873083</v>
      </c>
      <c r="Z32" s="4">
        <f>AnnualExpenses[[#This Row],[Total Annual Housing Expenses]]/12</f>
        <v>5003.3685659060902</v>
      </c>
      <c r="AA32" s="164">
        <f t="shared" si="1"/>
        <v>62340.352113700945</v>
      </c>
      <c r="AB32" s="164">
        <f>AnnualExpenses[[#This Row],[Total Annual Rental Expenses]]/12</f>
        <v>5195.0293428084124</v>
      </c>
      <c r="AC32" s="166"/>
      <c r="AD32" s="243">
        <v>15</v>
      </c>
      <c r="AE32" s="212">
        <f t="shared" si="2"/>
        <v>2036</v>
      </c>
      <c r="AF32" s="183">
        <f>IF(AnnualExpenses[[#This Row],[Total Annual Housing Expenses]]-AnnualExpenses[[#This Row],[Total Annual Rental Expenses]]&lt;0,AnnualExpenses[[#This Row],[Total Annual Rental Expenses]]-AnnualExpenses[[#This Row],[Total Annual Housing Expenses]],0)</f>
        <v>2299.9293228278621</v>
      </c>
      <c r="AG32" s="183">
        <f>IF(AnnualExpenses[[#This Row],[Total Annual Housing Expenses]]-AnnualExpenses[[#This Row],[Total Annual Rental Expenses]]&gt;0,AnnualExpenses[[#This Row],[Total Annual Housing Expenses]]-AnnualExpenses[[#This Row],[Total Annual Rental Expenses]],0)</f>
        <v>0</v>
      </c>
    </row>
    <row r="33" spans="11:33" x14ac:dyDescent="0.25">
      <c r="K33" s="161">
        <v>16</v>
      </c>
      <c r="L33" s="161">
        <f t="shared" si="0"/>
        <v>2037</v>
      </c>
      <c r="M33" s="215">
        <f>IF(AnnualExpenses[[#This Row],[Calendar Year]]&gt;=$C$8,AnnualExpenses[[#This Row],[Calendar Year]],NA())</f>
        <v>2037</v>
      </c>
      <c r="N33" s="215">
        <f>IF((AnnualExpenses[[#This Row],[Calendar Year]]&gt;=$C$8)*(AnnualExpenses[[#This Row],[Calendar Year]]&lt;=$C$10),AnnualExpenses[[#This Row],[Calendar Year]],NA())</f>
        <v>2037</v>
      </c>
      <c r="O33" s="214">
        <f>IF((AnnualExpenses[[#This Row],[Year (Range)]]&gt;=$C$8)*(AnnualExpenses[[#This Row],[Year (Range)]]&lt;=$C$10),Table65[[#This Row],[Buy, Instead of Rent]],NA())</f>
        <v>4108.3402620165361</v>
      </c>
      <c r="P33" s="214">
        <f>IF((AnnualExpenses[[#This Row],[Year (Range)]]&gt;=$C$8)*(AnnualExpenses[[#This Row],[Year (Range)]]&lt;=$C$10),Table65[[#This Row],[Rent, Instead of Buy]],NA())</f>
        <v>0</v>
      </c>
      <c r="Q33" s="214">
        <f>IF((AnnualExpenses[[#This Row],[Year (Range)]]&gt;=$C$8)*(AnnualExpenses[[#This Row],[Year (Range)]]&lt;=$C$10),AnnualExpenses[[#This Row],[Total Annual Direct Housing Expenses]],NA())</f>
        <v>37200.317945560899</v>
      </c>
      <c r="R33" s="214">
        <f>IF((AnnualExpenses[[#This Row],[Year (Range)]]&gt;=$C$8)*(AnnualExpenses[[#This Row],[Year (Range)]]&lt;=$C$10),AnnualExpenses[[#This Row],[Total Annual Indirect Housing Expenses]],NA())</f>
        <v>23525.307990671554</v>
      </c>
      <c r="S33" s="214">
        <f>IF((AnnualExpenses[[#This Row],[Year (Range)]]&gt;=$C$8)*(AnnualExpenses[[#This Row],[Year (Range)]]&lt;=$C$10),AnnualExpenses[[#This Row],[Total Annual Rental Expenses]],NA())</f>
        <v>64833.966198248985</v>
      </c>
      <c r="T33" s="214">
        <f>IF((AnnualExpenses[[#This Row],[Year (Range)]]&gt;=$C$8)*(AnnualExpenses[[#This Row],[Year (Range)]]&lt;=$C$10),AnnualExpenses[[#This Row],[Total Annual Housing Expenses]],NA())</f>
        <v>60725.625936232449</v>
      </c>
      <c r="U33" s="214">
        <f>IF((AnnualExpenses[[#This Row],[Year (Range)]]&gt;=$C$8)*(AnnualExpenses[[#This Row],[Year (Range)]]&lt;=$C$10),AnnualExpenses[[#This Row],[Buying Average Monthly Cost]],NA())</f>
        <v>5060.4688280193704</v>
      </c>
      <c r="V33" s="214">
        <f>IF((AnnualExpenses[[#This Row],[Year (Range)]]&gt;=$C$8)*(AnnualExpenses[[#This Row],[Year (Range)]]&lt;=$C$10),AnnualExpenses[[#This Row],[Renting Average Monthly Cost]],NA())</f>
        <v>5402.8305165207485</v>
      </c>
      <c r="W33" s="4">
        <f>'Annual Amort. Sch.'!AL32</f>
        <v>37200.317945560899</v>
      </c>
      <c r="X33" s="4">
        <f>'Annual Amort. Sch.'!AM32</f>
        <v>23525.307990671554</v>
      </c>
      <c r="Y33" s="4">
        <f>(AnnualExpenses[[#This Row],[Total Annual Direct Housing Expenses]]+AnnualExpenses[[#This Row],[Total Annual Indirect Housing Expenses]])</f>
        <v>60725.625936232449</v>
      </c>
      <c r="Z33" s="4">
        <f>AnnualExpenses[[#This Row],[Total Annual Housing Expenses]]/12</f>
        <v>5060.4688280193704</v>
      </c>
      <c r="AA33" s="164">
        <f t="shared" si="1"/>
        <v>64833.966198248985</v>
      </c>
      <c r="AB33" s="164">
        <f>AnnualExpenses[[#This Row],[Total Annual Rental Expenses]]/12</f>
        <v>5402.8305165207485</v>
      </c>
      <c r="AC33" s="166"/>
      <c r="AD33" s="243">
        <v>16</v>
      </c>
      <c r="AE33" s="212">
        <f t="shared" si="2"/>
        <v>2037</v>
      </c>
      <c r="AF33" s="183">
        <f>IF(AnnualExpenses[[#This Row],[Total Annual Housing Expenses]]-AnnualExpenses[[#This Row],[Total Annual Rental Expenses]]&lt;0,AnnualExpenses[[#This Row],[Total Annual Rental Expenses]]-AnnualExpenses[[#This Row],[Total Annual Housing Expenses]],0)</f>
        <v>4108.3402620165361</v>
      </c>
      <c r="AG33" s="183">
        <f>IF(AnnualExpenses[[#This Row],[Total Annual Housing Expenses]]-AnnualExpenses[[#This Row],[Total Annual Rental Expenses]]&gt;0,AnnualExpenses[[#This Row],[Total Annual Housing Expenses]]-AnnualExpenses[[#This Row],[Total Annual Rental Expenses]],0)</f>
        <v>0</v>
      </c>
    </row>
    <row r="34" spans="11:33" x14ac:dyDescent="0.25">
      <c r="K34" s="161">
        <v>17</v>
      </c>
      <c r="L34" s="161">
        <f t="shared" si="0"/>
        <v>2038</v>
      </c>
      <c r="M34" s="215">
        <f>IF(AnnualExpenses[[#This Row],[Calendar Year]]&gt;=$C$8,AnnualExpenses[[#This Row],[Calendar Year]],NA())</f>
        <v>2038</v>
      </c>
      <c r="N34" s="215">
        <f>IF((AnnualExpenses[[#This Row],[Calendar Year]]&gt;=$C$8)*(AnnualExpenses[[#This Row],[Calendar Year]]&lt;=$C$10),AnnualExpenses[[#This Row],[Calendar Year]],NA())</f>
        <v>2038</v>
      </c>
      <c r="O34" s="214">
        <f>IF((AnnualExpenses[[#This Row],[Year (Range)]]&gt;=$C$8)*(AnnualExpenses[[#This Row],[Year (Range)]]&lt;=$C$10),Table65[[#This Row],[Buy, Instead of Rent]],NA())</f>
        <v>5995.9396702263548</v>
      </c>
      <c r="P34" s="214">
        <f>IF((AnnualExpenses[[#This Row],[Year (Range)]]&gt;=$C$8)*(AnnualExpenses[[#This Row],[Year (Range)]]&lt;=$C$10),Table65[[#This Row],[Rent, Instead of Buy]],NA())</f>
        <v>0</v>
      </c>
      <c r="Q34" s="214">
        <f>IF((AnnualExpenses[[#This Row],[Year (Range)]]&gt;=$C$8)*(AnnualExpenses[[#This Row],[Year (Range)]]&lt;=$C$10),AnnualExpenses[[#This Row],[Total Annual Direct Housing Expenses]],NA())</f>
        <v>37200.317945560892</v>
      </c>
      <c r="R34" s="214">
        <f>IF((AnnualExpenses[[#This Row],[Year (Range)]]&gt;=$C$8)*(AnnualExpenses[[#This Row],[Year (Range)]]&lt;=$C$10),AnnualExpenses[[#This Row],[Total Annual Indirect Housing Expenses]],NA())</f>
        <v>24231.067230391702</v>
      </c>
      <c r="S34" s="214">
        <f>IF((AnnualExpenses[[#This Row],[Year (Range)]]&gt;=$C$8)*(AnnualExpenses[[#This Row],[Year (Range)]]&lt;=$C$10),AnnualExpenses[[#This Row],[Total Annual Rental Expenses]],NA())</f>
        <v>67427.324846178948</v>
      </c>
      <c r="T34" s="214">
        <f>IF((AnnualExpenses[[#This Row],[Year (Range)]]&gt;=$C$8)*(AnnualExpenses[[#This Row],[Year (Range)]]&lt;=$C$10),AnnualExpenses[[#This Row],[Total Annual Housing Expenses]],NA())</f>
        <v>61431.385175952593</v>
      </c>
      <c r="U34" s="214">
        <f>IF((AnnualExpenses[[#This Row],[Year (Range)]]&gt;=$C$8)*(AnnualExpenses[[#This Row],[Year (Range)]]&lt;=$C$10),AnnualExpenses[[#This Row],[Buying Average Monthly Cost]],NA())</f>
        <v>5119.2820979960497</v>
      </c>
      <c r="V34" s="214">
        <f>IF((AnnualExpenses[[#This Row],[Year (Range)]]&gt;=$C$8)*(AnnualExpenses[[#This Row],[Year (Range)]]&lt;=$C$10),AnnualExpenses[[#This Row],[Renting Average Monthly Cost]],NA())</f>
        <v>5618.9437371815793</v>
      </c>
      <c r="W34" s="4">
        <f>'Annual Amort. Sch.'!AL33</f>
        <v>37200.317945560892</v>
      </c>
      <c r="X34" s="4">
        <f>'Annual Amort. Sch.'!AM33</f>
        <v>24231.067230391702</v>
      </c>
      <c r="Y34" s="4">
        <f>(AnnualExpenses[[#This Row],[Total Annual Direct Housing Expenses]]+AnnualExpenses[[#This Row],[Total Annual Indirect Housing Expenses]])</f>
        <v>61431.385175952593</v>
      </c>
      <c r="Z34" s="4">
        <f>AnnualExpenses[[#This Row],[Total Annual Housing Expenses]]/12</f>
        <v>5119.2820979960497</v>
      </c>
      <c r="AA34" s="164">
        <f t="shared" si="1"/>
        <v>67427.324846178948</v>
      </c>
      <c r="AB34" s="164">
        <f>AnnualExpenses[[#This Row],[Total Annual Rental Expenses]]/12</f>
        <v>5618.9437371815793</v>
      </c>
      <c r="AC34" s="166"/>
      <c r="AD34" s="243">
        <v>17</v>
      </c>
      <c r="AE34" s="212">
        <f t="shared" si="2"/>
        <v>2038</v>
      </c>
      <c r="AF34" s="183">
        <f>IF(AnnualExpenses[[#This Row],[Total Annual Housing Expenses]]-AnnualExpenses[[#This Row],[Total Annual Rental Expenses]]&lt;0,AnnualExpenses[[#This Row],[Total Annual Rental Expenses]]-AnnualExpenses[[#This Row],[Total Annual Housing Expenses]],0)</f>
        <v>5995.9396702263548</v>
      </c>
      <c r="AG34" s="183">
        <f>IF(AnnualExpenses[[#This Row],[Total Annual Housing Expenses]]-AnnualExpenses[[#This Row],[Total Annual Rental Expenses]]&gt;0,AnnualExpenses[[#This Row],[Total Annual Housing Expenses]]-AnnualExpenses[[#This Row],[Total Annual Rental Expenses]],0)</f>
        <v>0</v>
      </c>
    </row>
    <row r="35" spans="11:33" x14ac:dyDescent="0.25">
      <c r="K35" s="161">
        <v>18</v>
      </c>
      <c r="L35" s="161">
        <f t="shared" si="0"/>
        <v>2039</v>
      </c>
      <c r="M35" s="215">
        <f>IF(AnnualExpenses[[#This Row],[Calendar Year]]&gt;=$C$8,AnnualExpenses[[#This Row],[Calendar Year]],NA())</f>
        <v>2039</v>
      </c>
      <c r="N35" s="215">
        <f>IF((AnnualExpenses[[#This Row],[Calendar Year]]&gt;=$C$8)*(AnnualExpenses[[#This Row],[Calendar Year]]&lt;=$C$10),AnnualExpenses[[#This Row],[Calendar Year]],NA())</f>
        <v>2039</v>
      </c>
      <c r="O35" s="214">
        <f>IF((AnnualExpenses[[#This Row],[Year (Range)]]&gt;=$C$8)*(AnnualExpenses[[#This Row],[Year (Range)]]&lt;=$C$10),Table65[[#This Row],[Buy, Instead of Rent]],NA())</f>
        <v>7966.1006471617729</v>
      </c>
      <c r="P35" s="214">
        <f>IF((AnnualExpenses[[#This Row],[Year (Range)]]&gt;=$C$8)*(AnnualExpenses[[#This Row],[Year (Range)]]&lt;=$C$10),Table65[[#This Row],[Rent, Instead of Buy]],NA())</f>
        <v>0</v>
      </c>
      <c r="Q35" s="214">
        <f>IF((AnnualExpenses[[#This Row],[Year (Range)]]&gt;=$C$8)*(AnnualExpenses[[#This Row],[Year (Range)]]&lt;=$C$10),AnnualExpenses[[#This Row],[Total Annual Direct Housing Expenses]],NA())</f>
        <v>37200.317945560892</v>
      </c>
      <c r="R35" s="214">
        <f>IF((AnnualExpenses[[#This Row],[Year (Range)]]&gt;=$C$8)*(AnnualExpenses[[#This Row],[Year (Range)]]&lt;=$C$10),AnnualExpenses[[#This Row],[Total Annual Indirect Housing Expenses]],NA())</f>
        <v>24957.999247303454</v>
      </c>
      <c r="S35" s="214">
        <f>IF((AnnualExpenses[[#This Row],[Year (Range)]]&gt;=$C$8)*(AnnualExpenses[[#This Row],[Year (Range)]]&lt;=$C$10),AnnualExpenses[[#This Row],[Total Annual Rental Expenses]],NA())</f>
        <v>70124.417840026115</v>
      </c>
      <c r="T35" s="214">
        <f>IF((AnnualExpenses[[#This Row],[Year (Range)]]&gt;=$C$8)*(AnnualExpenses[[#This Row],[Year (Range)]]&lt;=$C$10),AnnualExpenses[[#This Row],[Total Annual Housing Expenses]],NA())</f>
        <v>62158.317192864342</v>
      </c>
      <c r="U35" s="214">
        <f>IF((AnnualExpenses[[#This Row],[Year (Range)]]&gt;=$C$8)*(AnnualExpenses[[#This Row],[Year (Range)]]&lt;=$C$10),AnnualExpenses[[#This Row],[Buying Average Monthly Cost]],NA())</f>
        <v>5179.8597660720288</v>
      </c>
      <c r="V35" s="214">
        <f>IF((AnnualExpenses[[#This Row],[Year (Range)]]&gt;=$C$8)*(AnnualExpenses[[#This Row],[Year (Range)]]&lt;=$C$10),AnnualExpenses[[#This Row],[Renting Average Monthly Cost]],NA())</f>
        <v>5843.7014866688432</v>
      </c>
      <c r="W35" s="4">
        <f>'Annual Amort. Sch.'!AL34</f>
        <v>37200.317945560892</v>
      </c>
      <c r="X35" s="4">
        <f>'Annual Amort. Sch.'!AM34</f>
        <v>24957.999247303454</v>
      </c>
      <c r="Y35" s="4">
        <f>(AnnualExpenses[[#This Row],[Total Annual Direct Housing Expenses]]+AnnualExpenses[[#This Row],[Total Annual Indirect Housing Expenses]])</f>
        <v>62158.317192864342</v>
      </c>
      <c r="Z35" s="4">
        <f>AnnualExpenses[[#This Row],[Total Annual Housing Expenses]]/12</f>
        <v>5179.8597660720288</v>
      </c>
      <c r="AA35" s="164">
        <f t="shared" si="1"/>
        <v>70124.417840026115</v>
      </c>
      <c r="AB35" s="164">
        <f>AnnualExpenses[[#This Row],[Total Annual Rental Expenses]]/12</f>
        <v>5843.7014866688432</v>
      </c>
      <c r="AC35" s="166"/>
      <c r="AD35" s="243">
        <v>18</v>
      </c>
      <c r="AE35" s="212">
        <f t="shared" si="2"/>
        <v>2039</v>
      </c>
      <c r="AF35" s="183">
        <f>IF(AnnualExpenses[[#This Row],[Total Annual Housing Expenses]]-AnnualExpenses[[#This Row],[Total Annual Rental Expenses]]&lt;0,AnnualExpenses[[#This Row],[Total Annual Rental Expenses]]-AnnualExpenses[[#This Row],[Total Annual Housing Expenses]],0)</f>
        <v>7966.1006471617729</v>
      </c>
      <c r="AG35" s="183">
        <f>IF(AnnualExpenses[[#This Row],[Total Annual Housing Expenses]]-AnnualExpenses[[#This Row],[Total Annual Rental Expenses]]&gt;0,AnnualExpenses[[#This Row],[Total Annual Housing Expenses]]-AnnualExpenses[[#This Row],[Total Annual Rental Expenses]],0)</f>
        <v>0</v>
      </c>
    </row>
    <row r="36" spans="11:33" x14ac:dyDescent="0.25">
      <c r="K36" s="161">
        <v>19</v>
      </c>
      <c r="L36" s="161">
        <f t="shared" si="0"/>
        <v>2040</v>
      </c>
      <c r="M36" s="215">
        <f>IF(AnnualExpenses[[#This Row],[Calendar Year]]&gt;=$C$8,AnnualExpenses[[#This Row],[Calendar Year]],NA())</f>
        <v>2040</v>
      </c>
      <c r="N36" s="215">
        <f>IF((AnnualExpenses[[#This Row],[Calendar Year]]&gt;=$C$8)*(AnnualExpenses[[#This Row],[Calendar Year]]&lt;=$C$10),AnnualExpenses[[#This Row],[Calendar Year]],NA())</f>
        <v>2040</v>
      </c>
      <c r="O36" s="214">
        <f>IF((AnnualExpenses[[#This Row],[Year (Range)]]&gt;=$C$8)*(AnnualExpenses[[#This Row],[Year (Range)]]&lt;=$C$10),Table65[[#This Row],[Buy, Instead of Rent]],NA())</f>
        <v>10022.337383343707</v>
      </c>
      <c r="P36" s="214">
        <f>IF((AnnualExpenses[[#This Row],[Year (Range)]]&gt;=$C$8)*(AnnualExpenses[[#This Row],[Year (Range)]]&lt;=$C$10),Table65[[#This Row],[Rent, Instead of Buy]],NA())</f>
        <v>0</v>
      </c>
      <c r="Q36" s="214">
        <f>IF((AnnualExpenses[[#This Row],[Year (Range)]]&gt;=$C$8)*(AnnualExpenses[[#This Row],[Year (Range)]]&lt;=$C$10),AnnualExpenses[[#This Row],[Total Annual Direct Housing Expenses]],NA())</f>
        <v>37200.317945560899</v>
      </c>
      <c r="R36" s="214">
        <f>IF((AnnualExpenses[[#This Row],[Year (Range)]]&gt;=$C$8)*(AnnualExpenses[[#This Row],[Year (Range)]]&lt;=$C$10),AnnualExpenses[[#This Row],[Total Annual Indirect Housing Expenses]],NA())</f>
        <v>25706.739224722558</v>
      </c>
      <c r="S36" s="214">
        <f>IF((AnnualExpenses[[#This Row],[Year (Range)]]&gt;=$C$8)*(AnnualExpenses[[#This Row],[Year (Range)]]&lt;=$C$10),AnnualExpenses[[#This Row],[Total Annual Rental Expenses]],NA())</f>
        <v>72929.394553627164</v>
      </c>
      <c r="T36" s="214">
        <f>IF((AnnualExpenses[[#This Row],[Year (Range)]]&gt;=$C$8)*(AnnualExpenses[[#This Row],[Year (Range)]]&lt;=$C$10),AnnualExpenses[[#This Row],[Total Annual Housing Expenses]],NA())</f>
        <v>62907.057170283457</v>
      </c>
      <c r="U36" s="214">
        <f>IF((AnnualExpenses[[#This Row],[Year (Range)]]&gt;=$C$8)*(AnnualExpenses[[#This Row],[Year (Range)]]&lt;=$C$10),AnnualExpenses[[#This Row],[Buying Average Monthly Cost]],NA())</f>
        <v>5242.2547641902884</v>
      </c>
      <c r="V36" s="214">
        <f>IF((AnnualExpenses[[#This Row],[Year (Range)]]&gt;=$C$8)*(AnnualExpenses[[#This Row],[Year (Range)]]&lt;=$C$10),AnnualExpenses[[#This Row],[Renting Average Monthly Cost]],NA())</f>
        <v>6077.4495461355973</v>
      </c>
      <c r="W36" s="4">
        <f>'Annual Amort. Sch.'!AL35</f>
        <v>37200.317945560899</v>
      </c>
      <c r="X36" s="4">
        <f>'Annual Amort. Sch.'!AM35</f>
        <v>25706.739224722558</v>
      </c>
      <c r="Y36" s="4">
        <f>(AnnualExpenses[[#This Row],[Total Annual Direct Housing Expenses]]+AnnualExpenses[[#This Row],[Total Annual Indirect Housing Expenses]])</f>
        <v>62907.057170283457</v>
      </c>
      <c r="Z36" s="4">
        <f>AnnualExpenses[[#This Row],[Total Annual Housing Expenses]]/12</f>
        <v>5242.2547641902884</v>
      </c>
      <c r="AA36" s="164">
        <f t="shared" si="1"/>
        <v>72929.394553627164</v>
      </c>
      <c r="AB36" s="164">
        <f>AnnualExpenses[[#This Row],[Total Annual Rental Expenses]]/12</f>
        <v>6077.4495461355973</v>
      </c>
      <c r="AC36" s="166"/>
      <c r="AD36" s="243">
        <v>19</v>
      </c>
      <c r="AE36" s="212">
        <f t="shared" si="2"/>
        <v>2040</v>
      </c>
      <c r="AF36" s="183">
        <f>IF(AnnualExpenses[[#This Row],[Total Annual Housing Expenses]]-AnnualExpenses[[#This Row],[Total Annual Rental Expenses]]&lt;0,AnnualExpenses[[#This Row],[Total Annual Rental Expenses]]-AnnualExpenses[[#This Row],[Total Annual Housing Expenses]],0)</f>
        <v>10022.337383343707</v>
      </c>
      <c r="AG36" s="183">
        <f>IF(AnnualExpenses[[#This Row],[Total Annual Housing Expenses]]-AnnualExpenses[[#This Row],[Total Annual Rental Expenses]]&gt;0,AnnualExpenses[[#This Row],[Total Annual Housing Expenses]]-AnnualExpenses[[#This Row],[Total Annual Rental Expenses]],0)</f>
        <v>0</v>
      </c>
    </row>
    <row r="37" spans="11:33" x14ac:dyDescent="0.25">
      <c r="K37" s="161">
        <v>20</v>
      </c>
      <c r="L37" s="161">
        <f t="shared" si="0"/>
        <v>2041</v>
      </c>
      <c r="M37" s="215">
        <f>IF(AnnualExpenses[[#This Row],[Calendar Year]]&gt;=$C$8,AnnualExpenses[[#This Row],[Calendar Year]],NA())</f>
        <v>2041</v>
      </c>
      <c r="N37" s="215">
        <f>IF((AnnualExpenses[[#This Row],[Calendar Year]]&gt;=$C$8)*(AnnualExpenses[[#This Row],[Calendar Year]]&lt;=$C$10),AnnualExpenses[[#This Row],[Calendar Year]],NA())</f>
        <v>2041</v>
      </c>
      <c r="O37" s="214">
        <f>IF((AnnualExpenses[[#This Row],[Year (Range)]]&gt;=$C$8)*(AnnualExpenses[[#This Row],[Year (Range)]]&lt;=$C$10),Table65[[#This Row],[Buy, Instead of Rent]],NA())</f>
        <v>12168.310988747122</v>
      </c>
      <c r="P37" s="214">
        <f>IF((AnnualExpenses[[#This Row],[Year (Range)]]&gt;=$C$8)*(AnnualExpenses[[#This Row],[Year (Range)]]&lt;=$C$10),Table65[[#This Row],[Rent, Instead of Buy]],NA())</f>
        <v>0</v>
      </c>
      <c r="Q37" s="214">
        <f>IF((AnnualExpenses[[#This Row],[Year (Range)]]&gt;=$C$8)*(AnnualExpenses[[#This Row],[Year (Range)]]&lt;=$C$10),AnnualExpenses[[#This Row],[Total Annual Direct Housing Expenses]],NA())</f>
        <v>37200.317945560899</v>
      </c>
      <c r="R37" s="214">
        <f>IF((AnnualExpenses[[#This Row],[Year (Range)]]&gt;=$C$8)*(AnnualExpenses[[#This Row],[Year (Range)]]&lt;=$C$10),AnnualExpenses[[#This Row],[Total Annual Indirect Housing Expenses]],NA())</f>
        <v>26477.941401464235</v>
      </c>
      <c r="S37" s="214">
        <f>IF((AnnualExpenses[[#This Row],[Year (Range)]]&gt;=$C$8)*(AnnualExpenses[[#This Row],[Year (Range)]]&lt;=$C$10),AnnualExpenses[[#This Row],[Total Annual Rental Expenses]],NA())</f>
        <v>75846.570335772252</v>
      </c>
      <c r="T37" s="214">
        <f>IF((AnnualExpenses[[#This Row],[Year (Range)]]&gt;=$C$8)*(AnnualExpenses[[#This Row],[Year (Range)]]&lt;=$C$10),AnnualExpenses[[#This Row],[Total Annual Housing Expenses]],NA())</f>
        <v>63678.25934702513</v>
      </c>
      <c r="U37" s="214">
        <f>IF((AnnualExpenses[[#This Row],[Year (Range)]]&gt;=$C$8)*(AnnualExpenses[[#This Row],[Year (Range)]]&lt;=$C$10),AnnualExpenses[[#This Row],[Buying Average Monthly Cost]],NA())</f>
        <v>5306.5216122520942</v>
      </c>
      <c r="V37" s="214">
        <f>IF((AnnualExpenses[[#This Row],[Year (Range)]]&gt;=$C$8)*(AnnualExpenses[[#This Row],[Year (Range)]]&lt;=$C$10),AnnualExpenses[[#This Row],[Renting Average Monthly Cost]],NA())</f>
        <v>6320.5475279810207</v>
      </c>
      <c r="W37" s="4">
        <f>'Annual Amort. Sch.'!AL36</f>
        <v>37200.317945560899</v>
      </c>
      <c r="X37" s="4">
        <f>'Annual Amort. Sch.'!AM36</f>
        <v>26477.941401464235</v>
      </c>
      <c r="Y37" s="4">
        <f>(AnnualExpenses[[#This Row],[Total Annual Direct Housing Expenses]]+AnnualExpenses[[#This Row],[Total Annual Indirect Housing Expenses]])</f>
        <v>63678.25934702513</v>
      </c>
      <c r="Z37" s="4">
        <f>AnnualExpenses[[#This Row],[Total Annual Housing Expenses]]/12</f>
        <v>5306.5216122520942</v>
      </c>
      <c r="AA37" s="164">
        <f t="shared" si="1"/>
        <v>75846.570335772252</v>
      </c>
      <c r="AB37" s="164">
        <f>AnnualExpenses[[#This Row],[Total Annual Rental Expenses]]/12</f>
        <v>6320.5475279810207</v>
      </c>
      <c r="AC37" s="166"/>
      <c r="AD37" s="243">
        <v>20</v>
      </c>
      <c r="AE37" s="212">
        <f t="shared" si="2"/>
        <v>2041</v>
      </c>
      <c r="AF37" s="183">
        <f>IF(AnnualExpenses[[#This Row],[Total Annual Housing Expenses]]-AnnualExpenses[[#This Row],[Total Annual Rental Expenses]]&lt;0,AnnualExpenses[[#This Row],[Total Annual Rental Expenses]]-AnnualExpenses[[#This Row],[Total Annual Housing Expenses]],0)</f>
        <v>12168.310988747122</v>
      </c>
      <c r="AG37" s="183">
        <f>IF(AnnualExpenses[[#This Row],[Total Annual Housing Expenses]]-AnnualExpenses[[#This Row],[Total Annual Rental Expenses]]&gt;0,AnnualExpenses[[#This Row],[Total Annual Housing Expenses]]-AnnualExpenses[[#This Row],[Total Annual Rental Expenses]],0)</f>
        <v>0</v>
      </c>
    </row>
    <row r="38" spans="11:33" x14ac:dyDescent="0.25">
      <c r="K38" s="161">
        <v>21</v>
      </c>
      <c r="L38" s="161">
        <f t="shared" si="0"/>
        <v>2042</v>
      </c>
      <c r="M38" s="215">
        <f>IF(AnnualExpenses[[#This Row],[Calendar Year]]&gt;=$C$8,AnnualExpenses[[#This Row],[Calendar Year]],NA())</f>
        <v>2042</v>
      </c>
      <c r="N38" s="215">
        <f>IF((AnnualExpenses[[#This Row],[Calendar Year]]&gt;=$C$8)*(AnnualExpenses[[#This Row],[Calendar Year]]&lt;=$C$10),AnnualExpenses[[#This Row],[Calendar Year]],NA())</f>
        <v>2042</v>
      </c>
      <c r="O38" s="214">
        <f>IF((AnnualExpenses[[#This Row],[Year (Range)]]&gt;=$C$8)*(AnnualExpenses[[#This Row],[Year (Range)]]&lt;=$C$10),Table65[[#This Row],[Buy, Instead of Rent]],NA())</f>
        <v>14407.835560134095</v>
      </c>
      <c r="P38" s="214">
        <f>IF((AnnualExpenses[[#This Row],[Year (Range)]]&gt;=$C$8)*(AnnualExpenses[[#This Row],[Year (Range)]]&lt;=$C$10),Table65[[#This Row],[Rent, Instead of Buy]],NA())</f>
        <v>0</v>
      </c>
      <c r="Q38" s="214">
        <f>IF((AnnualExpenses[[#This Row],[Year (Range)]]&gt;=$C$8)*(AnnualExpenses[[#This Row],[Year (Range)]]&lt;=$C$10),AnnualExpenses[[#This Row],[Total Annual Direct Housing Expenses]],NA())</f>
        <v>37200.317945560892</v>
      </c>
      <c r="R38" s="214">
        <f>IF((AnnualExpenses[[#This Row],[Year (Range)]]&gt;=$C$8)*(AnnualExpenses[[#This Row],[Year (Range)]]&lt;=$C$10),AnnualExpenses[[#This Row],[Total Annual Indirect Housing Expenses]],NA())</f>
        <v>27272.279643508162</v>
      </c>
      <c r="S38" s="214">
        <f>IF((AnnualExpenses[[#This Row],[Year (Range)]]&gt;=$C$8)*(AnnualExpenses[[#This Row],[Year (Range)]]&lt;=$C$10),AnnualExpenses[[#This Row],[Total Annual Rental Expenses]],NA())</f>
        <v>78880.433149203149</v>
      </c>
      <c r="T38" s="214">
        <f>IF((AnnualExpenses[[#This Row],[Year (Range)]]&gt;=$C$8)*(AnnualExpenses[[#This Row],[Year (Range)]]&lt;=$C$10),AnnualExpenses[[#This Row],[Total Annual Housing Expenses]],NA())</f>
        <v>64472.597589069053</v>
      </c>
      <c r="U38" s="214">
        <f>IF((AnnualExpenses[[#This Row],[Year (Range)]]&gt;=$C$8)*(AnnualExpenses[[#This Row],[Year (Range)]]&lt;=$C$10),AnnualExpenses[[#This Row],[Buying Average Monthly Cost]],NA())</f>
        <v>5372.7164657557541</v>
      </c>
      <c r="V38" s="214">
        <f>IF((AnnualExpenses[[#This Row],[Year (Range)]]&gt;=$C$8)*(AnnualExpenses[[#This Row],[Year (Range)]]&lt;=$C$10),AnnualExpenses[[#This Row],[Renting Average Monthly Cost]],NA())</f>
        <v>6573.3694291002621</v>
      </c>
      <c r="W38" s="4">
        <f>'Annual Amort. Sch.'!AL37</f>
        <v>37200.317945560892</v>
      </c>
      <c r="X38" s="4">
        <f>'Annual Amort. Sch.'!AM37</f>
        <v>27272.279643508162</v>
      </c>
      <c r="Y38" s="4">
        <f>(AnnualExpenses[[#This Row],[Total Annual Direct Housing Expenses]]+AnnualExpenses[[#This Row],[Total Annual Indirect Housing Expenses]])</f>
        <v>64472.597589069053</v>
      </c>
      <c r="Z38" s="4">
        <f>AnnualExpenses[[#This Row],[Total Annual Housing Expenses]]/12</f>
        <v>5372.7164657557541</v>
      </c>
      <c r="AA38" s="164">
        <f t="shared" si="1"/>
        <v>78880.433149203149</v>
      </c>
      <c r="AB38" s="164">
        <f>AnnualExpenses[[#This Row],[Total Annual Rental Expenses]]/12</f>
        <v>6573.3694291002621</v>
      </c>
      <c r="AC38" s="166"/>
      <c r="AD38" s="243">
        <v>21</v>
      </c>
      <c r="AE38" s="212">
        <f t="shared" si="2"/>
        <v>2042</v>
      </c>
      <c r="AF38" s="183">
        <f>IF(AnnualExpenses[[#This Row],[Total Annual Housing Expenses]]-AnnualExpenses[[#This Row],[Total Annual Rental Expenses]]&lt;0,AnnualExpenses[[#This Row],[Total Annual Rental Expenses]]-AnnualExpenses[[#This Row],[Total Annual Housing Expenses]],0)</f>
        <v>14407.835560134095</v>
      </c>
      <c r="AG38" s="183">
        <f>IF(AnnualExpenses[[#This Row],[Total Annual Housing Expenses]]-AnnualExpenses[[#This Row],[Total Annual Rental Expenses]]&gt;0,AnnualExpenses[[#This Row],[Total Annual Housing Expenses]]-AnnualExpenses[[#This Row],[Total Annual Rental Expenses]],0)</f>
        <v>0</v>
      </c>
    </row>
    <row r="39" spans="11:33" x14ac:dyDescent="0.25">
      <c r="K39" s="161">
        <v>22</v>
      </c>
      <c r="L39" s="161">
        <f t="shared" si="0"/>
        <v>2043</v>
      </c>
      <c r="M39" s="215">
        <f>IF(AnnualExpenses[[#This Row],[Calendar Year]]&gt;=$C$8,AnnualExpenses[[#This Row],[Calendar Year]],NA())</f>
        <v>2043</v>
      </c>
      <c r="N39" s="215">
        <f>IF((AnnualExpenses[[#This Row],[Calendar Year]]&gt;=$C$8)*(AnnualExpenses[[#This Row],[Calendar Year]]&lt;=$C$10),AnnualExpenses[[#This Row],[Calendar Year]],NA())</f>
        <v>2043</v>
      </c>
      <c r="O39" s="214">
        <f>IF((AnnualExpenses[[#This Row],[Year (Range)]]&gt;=$C$8)*(AnnualExpenses[[#This Row],[Year (Range)]]&lt;=$C$10),Table65[[#This Row],[Buy, Instead of Rent]],NA())</f>
        <v>16744.884496796978</v>
      </c>
      <c r="P39" s="214">
        <f>IF((AnnualExpenses[[#This Row],[Year (Range)]]&gt;=$C$8)*(AnnualExpenses[[#This Row],[Year (Range)]]&lt;=$C$10),Table65[[#This Row],[Rent, Instead of Buy]],NA())</f>
        <v>0</v>
      </c>
      <c r="Q39" s="214">
        <f>IF((AnnualExpenses[[#This Row],[Year (Range)]]&gt;=$C$8)*(AnnualExpenses[[#This Row],[Year (Range)]]&lt;=$C$10),AnnualExpenses[[#This Row],[Total Annual Direct Housing Expenses]],NA())</f>
        <v>37200.317945560892</v>
      </c>
      <c r="R39" s="214">
        <f>IF((AnnualExpenses[[#This Row],[Year (Range)]]&gt;=$C$8)*(AnnualExpenses[[#This Row],[Year (Range)]]&lt;=$C$10),AnnualExpenses[[#This Row],[Total Annual Indirect Housing Expenses]],NA())</f>
        <v>28090.448032813409</v>
      </c>
      <c r="S39" s="214">
        <f>IF((AnnualExpenses[[#This Row],[Year (Range)]]&gt;=$C$8)*(AnnualExpenses[[#This Row],[Year (Range)]]&lt;=$C$10),AnnualExpenses[[#This Row],[Total Annual Rental Expenses]],NA())</f>
        <v>82035.650475171278</v>
      </c>
      <c r="T39" s="214">
        <f>IF((AnnualExpenses[[#This Row],[Year (Range)]]&gt;=$C$8)*(AnnualExpenses[[#This Row],[Year (Range)]]&lt;=$C$10),AnnualExpenses[[#This Row],[Total Annual Housing Expenses]],NA())</f>
        <v>65290.7659783743</v>
      </c>
      <c r="U39" s="214">
        <f>IF((AnnualExpenses[[#This Row],[Year (Range)]]&gt;=$C$8)*(AnnualExpenses[[#This Row],[Year (Range)]]&lt;=$C$10),AnnualExpenses[[#This Row],[Buying Average Monthly Cost]],NA())</f>
        <v>5440.8971648645247</v>
      </c>
      <c r="V39" s="214">
        <f>IF((AnnualExpenses[[#This Row],[Year (Range)]]&gt;=$C$8)*(AnnualExpenses[[#This Row],[Year (Range)]]&lt;=$C$10),AnnualExpenses[[#This Row],[Renting Average Monthly Cost]],NA())</f>
        <v>6836.3042062642735</v>
      </c>
      <c r="W39" s="4">
        <f>'Annual Amort. Sch.'!AL38</f>
        <v>37200.317945560892</v>
      </c>
      <c r="X39" s="4">
        <f>'Annual Amort. Sch.'!AM38</f>
        <v>28090.448032813409</v>
      </c>
      <c r="Y39" s="4">
        <f>(AnnualExpenses[[#This Row],[Total Annual Direct Housing Expenses]]+AnnualExpenses[[#This Row],[Total Annual Indirect Housing Expenses]])</f>
        <v>65290.7659783743</v>
      </c>
      <c r="Z39" s="4">
        <f>AnnualExpenses[[#This Row],[Total Annual Housing Expenses]]/12</f>
        <v>5440.8971648645247</v>
      </c>
      <c r="AA39" s="164">
        <f t="shared" si="1"/>
        <v>82035.650475171278</v>
      </c>
      <c r="AB39" s="164">
        <f>AnnualExpenses[[#This Row],[Total Annual Rental Expenses]]/12</f>
        <v>6836.3042062642735</v>
      </c>
      <c r="AC39" s="166"/>
      <c r="AD39" s="243">
        <v>22</v>
      </c>
      <c r="AE39" s="212">
        <f t="shared" si="2"/>
        <v>2043</v>
      </c>
      <c r="AF39" s="183">
        <f>IF(AnnualExpenses[[#This Row],[Total Annual Housing Expenses]]-AnnualExpenses[[#This Row],[Total Annual Rental Expenses]]&lt;0,AnnualExpenses[[#This Row],[Total Annual Rental Expenses]]-AnnualExpenses[[#This Row],[Total Annual Housing Expenses]],0)</f>
        <v>16744.884496796978</v>
      </c>
      <c r="AG39" s="183">
        <f>IF(AnnualExpenses[[#This Row],[Total Annual Housing Expenses]]-AnnualExpenses[[#This Row],[Total Annual Rental Expenses]]&gt;0,AnnualExpenses[[#This Row],[Total Annual Housing Expenses]]-AnnualExpenses[[#This Row],[Total Annual Rental Expenses]],0)</f>
        <v>0</v>
      </c>
    </row>
    <row r="40" spans="11:33" x14ac:dyDescent="0.25">
      <c r="K40" s="161">
        <v>23</v>
      </c>
      <c r="L40" s="161">
        <f t="shared" si="0"/>
        <v>2044</v>
      </c>
      <c r="M40" s="215">
        <f>IF(AnnualExpenses[[#This Row],[Calendar Year]]&gt;=$C$8,AnnualExpenses[[#This Row],[Calendar Year]],NA())</f>
        <v>2044</v>
      </c>
      <c r="N40" s="215">
        <f>IF((AnnualExpenses[[#This Row],[Calendar Year]]&gt;=$C$8)*(AnnualExpenses[[#This Row],[Calendar Year]]&lt;=$C$10),AnnualExpenses[[#This Row],[Calendar Year]],NA())</f>
        <v>2044</v>
      </c>
      <c r="O40" s="214">
        <f>IF((AnnualExpenses[[#This Row],[Year (Range)]]&gt;=$C$8)*(AnnualExpenses[[#This Row],[Year (Range)]]&lt;=$C$10),Table65[[#This Row],[Buy, Instead of Rent]],NA())</f>
        <v>19183.597074819423</v>
      </c>
      <c r="P40" s="214">
        <f>IF((AnnualExpenses[[#This Row],[Year (Range)]]&gt;=$C$8)*(AnnualExpenses[[#This Row],[Year (Range)]]&lt;=$C$10),Table65[[#This Row],[Rent, Instead of Buy]],NA())</f>
        <v>0</v>
      </c>
      <c r="Q40" s="214">
        <f>IF((AnnualExpenses[[#This Row],[Year (Range)]]&gt;=$C$8)*(AnnualExpenses[[#This Row],[Year (Range)]]&lt;=$C$10),AnnualExpenses[[#This Row],[Total Annual Direct Housing Expenses]],NA())</f>
        <v>37200.317945560906</v>
      </c>
      <c r="R40" s="214">
        <f>IF((AnnualExpenses[[#This Row],[Year (Range)]]&gt;=$C$8)*(AnnualExpenses[[#This Row],[Year (Range)]]&lt;=$C$10),AnnualExpenses[[#This Row],[Total Annual Indirect Housing Expenses]],NA())</f>
        <v>28933.161473797813</v>
      </c>
      <c r="S40" s="214">
        <f>IF((AnnualExpenses[[#This Row],[Year (Range)]]&gt;=$C$8)*(AnnualExpenses[[#This Row],[Year (Range)]]&lt;=$C$10),AnnualExpenses[[#This Row],[Total Annual Rental Expenses]],NA())</f>
        <v>85317.076494178138</v>
      </c>
      <c r="T40" s="214">
        <f>IF((AnnualExpenses[[#This Row],[Year (Range)]]&gt;=$C$8)*(AnnualExpenses[[#This Row],[Year (Range)]]&lt;=$C$10),AnnualExpenses[[#This Row],[Total Annual Housing Expenses]],NA())</f>
        <v>66133.479419358715</v>
      </c>
      <c r="U40" s="214">
        <f>IF((AnnualExpenses[[#This Row],[Year (Range)]]&gt;=$C$8)*(AnnualExpenses[[#This Row],[Year (Range)]]&lt;=$C$10),AnnualExpenses[[#This Row],[Buying Average Monthly Cost]],NA())</f>
        <v>5511.1232849465596</v>
      </c>
      <c r="V40" s="214">
        <f>IF((AnnualExpenses[[#This Row],[Year (Range)]]&gt;=$C$8)*(AnnualExpenses[[#This Row],[Year (Range)]]&lt;=$C$10),AnnualExpenses[[#This Row],[Renting Average Monthly Cost]],NA())</f>
        <v>7109.7563745148445</v>
      </c>
      <c r="W40" s="4">
        <f>'Annual Amort. Sch.'!AL39</f>
        <v>37200.317945560906</v>
      </c>
      <c r="X40" s="4">
        <f>'Annual Amort. Sch.'!AM39</f>
        <v>28933.161473797813</v>
      </c>
      <c r="Y40" s="4">
        <f>(AnnualExpenses[[#This Row],[Total Annual Direct Housing Expenses]]+AnnualExpenses[[#This Row],[Total Annual Indirect Housing Expenses]])</f>
        <v>66133.479419358715</v>
      </c>
      <c r="Z40" s="4">
        <f>AnnualExpenses[[#This Row],[Total Annual Housing Expenses]]/12</f>
        <v>5511.1232849465596</v>
      </c>
      <c r="AA40" s="164">
        <f t="shared" si="1"/>
        <v>85317.076494178138</v>
      </c>
      <c r="AB40" s="164">
        <f>AnnualExpenses[[#This Row],[Total Annual Rental Expenses]]/12</f>
        <v>7109.7563745148445</v>
      </c>
      <c r="AC40" s="166"/>
      <c r="AD40" s="243">
        <v>23</v>
      </c>
      <c r="AE40" s="212">
        <f t="shared" si="2"/>
        <v>2044</v>
      </c>
      <c r="AF40" s="183">
        <f>IF(AnnualExpenses[[#This Row],[Total Annual Housing Expenses]]-AnnualExpenses[[#This Row],[Total Annual Rental Expenses]]&lt;0,AnnualExpenses[[#This Row],[Total Annual Rental Expenses]]-AnnualExpenses[[#This Row],[Total Annual Housing Expenses]],0)</f>
        <v>19183.597074819423</v>
      </c>
      <c r="AG40" s="183">
        <f>IF(AnnualExpenses[[#This Row],[Total Annual Housing Expenses]]-AnnualExpenses[[#This Row],[Total Annual Rental Expenses]]&gt;0,AnnualExpenses[[#This Row],[Total Annual Housing Expenses]]-AnnualExpenses[[#This Row],[Total Annual Rental Expenses]],0)</f>
        <v>0</v>
      </c>
    </row>
    <row r="41" spans="11:33" x14ac:dyDescent="0.25">
      <c r="K41" s="161">
        <v>24</v>
      </c>
      <c r="L41" s="161">
        <f t="shared" si="0"/>
        <v>2045</v>
      </c>
      <c r="M41" s="215">
        <f>IF(AnnualExpenses[[#This Row],[Calendar Year]]&gt;=$C$8,AnnualExpenses[[#This Row],[Calendar Year]],NA())</f>
        <v>2045</v>
      </c>
      <c r="N41" s="215">
        <f>IF((AnnualExpenses[[#This Row],[Calendar Year]]&gt;=$C$8)*(AnnualExpenses[[#This Row],[Calendar Year]]&lt;=$C$10),AnnualExpenses[[#This Row],[Calendar Year]],NA())</f>
        <v>2045</v>
      </c>
      <c r="O41" s="214">
        <f>IF((AnnualExpenses[[#This Row],[Year (Range)]]&gt;=$C$8)*(AnnualExpenses[[#This Row],[Year (Range)]]&lt;=$C$10),Table65[[#This Row],[Buy, Instead of Rent]],NA())</f>
        <v>21728.285290372616</v>
      </c>
      <c r="P41" s="214">
        <f>IF((AnnualExpenses[[#This Row],[Year (Range)]]&gt;=$C$8)*(AnnualExpenses[[#This Row],[Year (Range)]]&lt;=$C$10),Table65[[#This Row],[Rent, Instead of Buy]],NA())</f>
        <v>0</v>
      </c>
      <c r="Q41" s="214">
        <f>IF((AnnualExpenses[[#This Row],[Year (Range)]]&gt;=$C$8)*(AnnualExpenses[[#This Row],[Year (Range)]]&lt;=$C$10),AnnualExpenses[[#This Row],[Total Annual Direct Housing Expenses]],NA())</f>
        <v>37200.317945560892</v>
      </c>
      <c r="R41" s="214">
        <f>IF((AnnualExpenses[[#This Row],[Year (Range)]]&gt;=$C$8)*(AnnualExpenses[[#This Row],[Year (Range)]]&lt;=$C$10),AnnualExpenses[[#This Row],[Total Annual Indirect Housing Expenses]],NA())</f>
        <v>29801.156318011748</v>
      </c>
      <c r="S41" s="214">
        <f>IF((AnnualExpenses[[#This Row],[Year (Range)]]&gt;=$C$8)*(AnnualExpenses[[#This Row],[Year (Range)]]&lt;=$C$10),AnnualExpenses[[#This Row],[Total Annual Rental Expenses]],NA())</f>
        <v>88729.75955394526</v>
      </c>
      <c r="T41" s="214">
        <f>IF((AnnualExpenses[[#This Row],[Year (Range)]]&gt;=$C$8)*(AnnualExpenses[[#This Row],[Year (Range)]]&lt;=$C$10),AnnualExpenses[[#This Row],[Total Annual Housing Expenses]],NA())</f>
        <v>67001.474263572643</v>
      </c>
      <c r="U41" s="214">
        <f>IF((AnnualExpenses[[#This Row],[Year (Range)]]&gt;=$C$8)*(AnnualExpenses[[#This Row],[Year (Range)]]&lt;=$C$10),AnnualExpenses[[#This Row],[Buying Average Monthly Cost]],NA())</f>
        <v>5583.4561886310539</v>
      </c>
      <c r="V41" s="214">
        <f>IF((AnnualExpenses[[#This Row],[Year (Range)]]&gt;=$C$8)*(AnnualExpenses[[#This Row],[Year (Range)]]&lt;=$C$10),AnnualExpenses[[#This Row],[Renting Average Monthly Cost]],NA())</f>
        <v>7394.146629495438</v>
      </c>
      <c r="W41" s="4">
        <f>'Annual Amort. Sch.'!AL40</f>
        <v>37200.317945560892</v>
      </c>
      <c r="X41" s="4">
        <f>'Annual Amort. Sch.'!AM40</f>
        <v>29801.156318011748</v>
      </c>
      <c r="Y41" s="4">
        <f>(AnnualExpenses[[#This Row],[Total Annual Direct Housing Expenses]]+AnnualExpenses[[#This Row],[Total Annual Indirect Housing Expenses]])</f>
        <v>67001.474263572643</v>
      </c>
      <c r="Z41" s="4">
        <f>AnnualExpenses[[#This Row],[Total Annual Housing Expenses]]/12</f>
        <v>5583.4561886310539</v>
      </c>
      <c r="AA41" s="164">
        <f t="shared" si="1"/>
        <v>88729.75955394526</v>
      </c>
      <c r="AB41" s="164">
        <f>AnnualExpenses[[#This Row],[Total Annual Rental Expenses]]/12</f>
        <v>7394.146629495438</v>
      </c>
      <c r="AC41" s="166"/>
      <c r="AD41" s="243">
        <v>24</v>
      </c>
      <c r="AE41" s="212">
        <f t="shared" si="2"/>
        <v>2045</v>
      </c>
      <c r="AF41" s="183">
        <f>IF(AnnualExpenses[[#This Row],[Total Annual Housing Expenses]]-AnnualExpenses[[#This Row],[Total Annual Rental Expenses]]&lt;0,AnnualExpenses[[#This Row],[Total Annual Rental Expenses]]-AnnualExpenses[[#This Row],[Total Annual Housing Expenses]],0)</f>
        <v>21728.285290372616</v>
      </c>
      <c r="AG41" s="183">
        <f>IF(AnnualExpenses[[#This Row],[Total Annual Housing Expenses]]-AnnualExpenses[[#This Row],[Total Annual Rental Expenses]]&gt;0,AnnualExpenses[[#This Row],[Total Annual Housing Expenses]]-AnnualExpenses[[#This Row],[Total Annual Rental Expenses]],0)</f>
        <v>0</v>
      </c>
    </row>
    <row r="42" spans="11:33" x14ac:dyDescent="0.25">
      <c r="K42" s="161">
        <v>25</v>
      </c>
      <c r="L42" s="161">
        <f t="shared" si="0"/>
        <v>2046</v>
      </c>
      <c r="M42" s="215">
        <f>IF(AnnualExpenses[[#This Row],[Calendar Year]]&gt;=$C$8,AnnualExpenses[[#This Row],[Calendar Year]],NA())</f>
        <v>2046</v>
      </c>
      <c r="N42" s="215">
        <f>IF((AnnualExpenses[[#This Row],[Calendar Year]]&gt;=$C$8)*(AnnualExpenses[[#This Row],[Calendar Year]]&lt;=$C$10),AnnualExpenses[[#This Row],[Calendar Year]],NA())</f>
        <v>2046</v>
      </c>
      <c r="O42" s="214">
        <f>IF((AnnualExpenses[[#This Row],[Year (Range)]]&gt;=$C$8)*(AnnualExpenses[[#This Row],[Year (Range)]]&lt;=$C$10),Table65[[#This Row],[Buy, Instead of Rent]],NA())</f>
        <v>24383.440982990083</v>
      </c>
      <c r="P42" s="214">
        <f>IF((AnnualExpenses[[#This Row],[Year (Range)]]&gt;=$C$8)*(AnnualExpenses[[#This Row],[Year (Range)]]&lt;=$C$10),Table65[[#This Row],[Rent, Instead of Buy]],NA())</f>
        <v>0</v>
      </c>
      <c r="Q42" s="214">
        <f>IF((AnnualExpenses[[#This Row],[Year (Range)]]&gt;=$C$8)*(AnnualExpenses[[#This Row],[Year (Range)]]&lt;=$C$10),AnnualExpenses[[#This Row],[Total Annual Direct Housing Expenses]],NA())</f>
        <v>37200.317945560892</v>
      </c>
      <c r="R42" s="214">
        <f>IF((AnnualExpenses[[#This Row],[Year (Range)]]&gt;=$C$8)*(AnnualExpenses[[#This Row],[Year (Range)]]&lt;=$C$10),AnnualExpenses[[#This Row],[Total Annual Indirect Housing Expenses]],NA())</f>
        <v>30695.191007552105</v>
      </c>
      <c r="S42" s="214">
        <f>IF((AnnualExpenses[[#This Row],[Year (Range)]]&gt;=$C$8)*(AnnualExpenses[[#This Row],[Year (Range)]]&lt;=$C$10),AnnualExpenses[[#This Row],[Total Annual Rental Expenses]],NA())</f>
        <v>92278.949936103076</v>
      </c>
      <c r="T42" s="214">
        <f>IF((AnnualExpenses[[#This Row],[Year (Range)]]&gt;=$C$8)*(AnnualExpenses[[#This Row],[Year (Range)]]&lt;=$C$10),AnnualExpenses[[#This Row],[Total Annual Housing Expenses]],NA())</f>
        <v>67895.508953112992</v>
      </c>
      <c r="U42" s="214">
        <f>IF((AnnualExpenses[[#This Row],[Year (Range)]]&gt;=$C$8)*(AnnualExpenses[[#This Row],[Year (Range)]]&lt;=$C$10),AnnualExpenses[[#This Row],[Buying Average Monthly Cost]],NA())</f>
        <v>5657.959079426083</v>
      </c>
      <c r="V42" s="214">
        <f>IF((AnnualExpenses[[#This Row],[Year (Range)]]&gt;=$C$8)*(AnnualExpenses[[#This Row],[Year (Range)]]&lt;=$C$10),AnnualExpenses[[#This Row],[Renting Average Monthly Cost]],NA())</f>
        <v>7689.9124946752563</v>
      </c>
      <c r="W42" s="4">
        <f>'Annual Amort. Sch.'!AL41</f>
        <v>37200.317945560892</v>
      </c>
      <c r="X42" s="4">
        <f>'Annual Amort. Sch.'!AM41</f>
        <v>30695.191007552105</v>
      </c>
      <c r="Y42" s="4">
        <f>(AnnualExpenses[[#This Row],[Total Annual Direct Housing Expenses]]+AnnualExpenses[[#This Row],[Total Annual Indirect Housing Expenses]])</f>
        <v>67895.508953112992</v>
      </c>
      <c r="Z42" s="4">
        <f>AnnualExpenses[[#This Row],[Total Annual Housing Expenses]]/12</f>
        <v>5657.959079426083</v>
      </c>
      <c r="AA42" s="164">
        <f t="shared" si="1"/>
        <v>92278.949936103076</v>
      </c>
      <c r="AB42" s="164">
        <f>AnnualExpenses[[#This Row],[Total Annual Rental Expenses]]/12</f>
        <v>7689.9124946752563</v>
      </c>
      <c r="AC42" s="166"/>
      <c r="AD42" s="243">
        <v>25</v>
      </c>
      <c r="AE42" s="212">
        <f t="shared" si="2"/>
        <v>2046</v>
      </c>
      <c r="AF42" s="183">
        <f>IF(AnnualExpenses[[#This Row],[Total Annual Housing Expenses]]-AnnualExpenses[[#This Row],[Total Annual Rental Expenses]]&lt;0,AnnualExpenses[[#This Row],[Total Annual Rental Expenses]]-AnnualExpenses[[#This Row],[Total Annual Housing Expenses]],0)</f>
        <v>24383.440982990083</v>
      </c>
      <c r="AG42" s="183">
        <f>IF(AnnualExpenses[[#This Row],[Total Annual Housing Expenses]]-AnnualExpenses[[#This Row],[Total Annual Rental Expenses]]&gt;0,AnnualExpenses[[#This Row],[Total Annual Housing Expenses]]-AnnualExpenses[[#This Row],[Total Annual Rental Expenses]],0)</f>
        <v>0</v>
      </c>
    </row>
    <row r="43" spans="11:33" x14ac:dyDescent="0.25">
      <c r="K43" s="161">
        <v>26</v>
      </c>
      <c r="L43" s="161">
        <f t="shared" si="0"/>
        <v>2047</v>
      </c>
      <c r="M43" s="215">
        <f>IF(AnnualExpenses[[#This Row],[Calendar Year]]&gt;=$C$8,AnnualExpenses[[#This Row],[Calendar Year]],NA())</f>
        <v>2047</v>
      </c>
      <c r="N43" s="215">
        <f>IF((AnnualExpenses[[#This Row],[Calendar Year]]&gt;=$C$8)*(AnnualExpenses[[#This Row],[Calendar Year]]&lt;=$C$10),AnnualExpenses[[#This Row],[Calendar Year]],NA())</f>
        <v>2047</v>
      </c>
      <c r="O43" s="214">
        <f>IF((AnnualExpenses[[#This Row],[Year (Range)]]&gt;=$C$8)*(AnnualExpenses[[#This Row],[Year (Range)]]&lt;=$C$10),Table65[[#This Row],[Buy, Instead of Rent]],NA())</f>
        <v>27153.743250207626</v>
      </c>
      <c r="P43" s="214">
        <f>IF((AnnualExpenses[[#This Row],[Year (Range)]]&gt;=$C$8)*(AnnualExpenses[[#This Row],[Year (Range)]]&lt;=$C$10),Table65[[#This Row],[Rent, Instead of Buy]],NA())</f>
        <v>0</v>
      </c>
      <c r="Q43" s="214">
        <f>IF((AnnualExpenses[[#This Row],[Year (Range)]]&gt;=$C$8)*(AnnualExpenses[[#This Row],[Year (Range)]]&lt;=$C$10),AnnualExpenses[[#This Row],[Total Annual Direct Housing Expenses]],NA())</f>
        <v>37200.317945560899</v>
      </c>
      <c r="R43" s="214">
        <f>IF((AnnualExpenses[[#This Row],[Year (Range)]]&gt;=$C$8)*(AnnualExpenses[[#This Row],[Year (Range)]]&lt;=$C$10),AnnualExpenses[[#This Row],[Total Annual Indirect Housing Expenses]],NA())</f>
        <v>31616.04673777867</v>
      </c>
      <c r="S43" s="214">
        <f>IF((AnnualExpenses[[#This Row],[Year (Range)]]&gt;=$C$8)*(AnnualExpenses[[#This Row],[Year (Range)]]&lt;=$C$10),AnnualExpenses[[#This Row],[Total Annual Rental Expenses]],NA())</f>
        <v>95970.107933547202</v>
      </c>
      <c r="T43" s="214">
        <f>IF((AnnualExpenses[[#This Row],[Year (Range)]]&gt;=$C$8)*(AnnualExpenses[[#This Row],[Year (Range)]]&lt;=$C$10),AnnualExpenses[[#This Row],[Total Annual Housing Expenses]],NA())</f>
        <v>68816.364683339576</v>
      </c>
      <c r="U43" s="214">
        <f>IF((AnnualExpenses[[#This Row],[Year (Range)]]&gt;=$C$8)*(AnnualExpenses[[#This Row],[Year (Range)]]&lt;=$C$10),AnnualExpenses[[#This Row],[Buying Average Monthly Cost]],NA())</f>
        <v>5734.697056944965</v>
      </c>
      <c r="V43" s="214">
        <f>IF((AnnualExpenses[[#This Row],[Year (Range)]]&gt;=$C$8)*(AnnualExpenses[[#This Row],[Year (Range)]]&lt;=$C$10),AnnualExpenses[[#This Row],[Renting Average Monthly Cost]],NA())</f>
        <v>7997.5089944622669</v>
      </c>
      <c r="W43" s="4">
        <f>'Annual Amort. Sch.'!AL42</f>
        <v>37200.317945560899</v>
      </c>
      <c r="X43" s="4">
        <f>'Annual Amort. Sch.'!AM42</f>
        <v>31616.04673777867</v>
      </c>
      <c r="Y43" s="4">
        <f>(AnnualExpenses[[#This Row],[Total Annual Direct Housing Expenses]]+AnnualExpenses[[#This Row],[Total Annual Indirect Housing Expenses]])</f>
        <v>68816.364683339576</v>
      </c>
      <c r="Z43" s="4">
        <f>AnnualExpenses[[#This Row],[Total Annual Housing Expenses]]/12</f>
        <v>5734.697056944965</v>
      </c>
      <c r="AA43" s="164">
        <f t="shared" si="1"/>
        <v>95970.107933547202</v>
      </c>
      <c r="AB43" s="164">
        <f>AnnualExpenses[[#This Row],[Total Annual Rental Expenses]]/12</f>
        <v>7997.5089944622669</v>
      </c>
      <c r="AC43" s="166"/>
      <c r="AD43" s="243">
        <v>26</v>
      </c>
      <c r="AE43" s="212">
        <f t="shared" si="2"/>
        <v>2047</v>
      </c>
      <c r="AF43" s="183">
        <f>IF(AnnualExpenses[[#This Row],[Total Annual Housing Expenses]]-AnnualExpenses[[#This Row],[Total Annual Rental Expenses]]&lt;0,AnnualExpenses[[#This Row],[Total Annual Rental Expenses]]-AnnualExpenses[[#This Row],[Total Annual Housing Expenses]],0)</f>
        <v>27153.743250207626</v>
      </c>
      <c r="AG43" s="183">
        <f>IF(AnnualExpenses[[#This Row],[Total Annual Housing Expenses]]-AnnualExpenses[[#This Row],[Total Annual Rental Expenses]]&gt;0,AnnualExpenses[[#This Row],[Total Annual Housing Expenses]]-AnnualExpenses[[#This Row],[Total Annual Rental Expenses]],0)</f>
        <v>0</v>
      </c>
    </row>
    <row r="44" spans="11:33" x14ac:dyDescent="0.25">
      <c r="K44" s="161">
        <v>27</v>
      </c>
      <c r="L44" s="161">
        <f t="shared" si="0"/>
        <v>2048</v>
      </c>
      <c r="M44" s="215">
        <f>IF(AnnualExpenses[[#This Row],[Calendar Year]]&gt;=$C$8,AnnualExpenses[[#This Row],[Calendar Year]],NA())</f>
        <v>2048</v>
      </c>
      <c r="N44" s="215">
        <f>IF((AnnualExpenses[[#This Row],[Calendar Year]]&gt;=$C$8)*(AnnualExpenses[[#This Row],[Calendar Year]]&lt;=$C$10),AnnualExpenses[[#This Row],[Calendar Year]],NA())</f>
        <v>2048</v>
      </c>
      <c r="O44" s="214">
        <f>IF((AnnualExpenses[[#This Row],[Year (Range)]]&gt;=$C$8)*(AnnualExpenses[[#This Row],[Year (Range)]]&lt;=$C$10),Table65[[#This Row],[Buy, Instead of Rent]],NA())</f>
        <v>30044.066165416167</v>
      </c>
      <c r="P44" s="214">
        <f>IF((AnnualExpenses[[#This Row],[Year (Range)]]&gt;=$C$8)*(AnnualExpenses[[#This Row],[Year (Range)]]&lt;=$C$10),Table65[[#This Row],[Rent, Instead of Buy]],NA())</f>
        <v>0</v>
      </c>
      <c r="Q44" s="214">
        <f>IF((AnnualExpenses[[#This Row],[Year (Range)]]&gt;=$C$8)*(AnnualExpenses[[#This Row],[Year (Range)]]&lt;=$C$10),AnnualExpenses[[#This Row],[Total Annual Direct Housing Expenses]],NA())</f>
        <v>37200.317945560892</v>
      </c>
      <c r="R44" s="214">
        <f>IF((AnnualExpenses[[#This Row],[Year (Range)]]&gt;=$C$8)*(AnnualExpenses[[#This Row],[Year (Range)]]&lt;=$C$10),AnnualExpenses[[#This Row],[Total Annual Indirect Housing Expenses]],NA())</f>
        <v>32564.528139912029</v>
      </c>
      <c r="S44" s="214">
        <f>IF((AnnualExpenses[[#This Row],[Year (Range)]]&gt;=$C$8)*(AnnualExpenses[[#This Row],[Year (Range)]]&lt;=$C$10),AnnualExpenses[[#This Row],[Total Annual Rental Expenses]],NA())</f>
        <v>99808.912250889087</v>
      </c>
      <c r="T44" s="214">
        <f>IF((AnnualExpenses[[#This Row],[Year (Range)]]&gt;=$C$8)*(AnnualExpenses[[#This Row],[Year (Range)]]&lt;=$C$10),AnnualExpenses[[#This Row],[Total Annual Housing Expenses]],NA())</f>
        <v>69764.84608547292</v>
      </c>
      <c r="U44" s="214">
        <f>IF((AnnualExpenses[[#This Row],[Year (Range)]]&gt;=$C$8)*(AnnualExpenses[[#This Row],[Year (Range)]]&lt;=$C$10),AnnualExpenses[[#This Row],[Buying Average Monthly Cost]],NA())</f>
        <v>5813.73717378941</v>
      </c>
      <c r="V44" s="214">
        <f>IF((AnnualExpenses[[#This Row],[Year (Range)]]&gt;=$C$8)*(AnnualExpenses[[#This Row],[Year (Range)]]&lt;=$C$10),AnnualExpenses[[#This Row],[Renting Average Monthly Cost]],NA())</f>
        <v>8317.4093542407572</v>
      </c>
      <c r="W44" s="4">
        <f>'Annual Amort. Sch.'!AL43</f>
        <v>37200.317945560892</v>
      </c>
      <c r="X44" s="4">
        <f>'Annual Amort. Sch.'!AM43</f>
        <v>32564.528139912029</v>
      </c>
      <c r="Y44" s="4">
        <f>(AnnualExpenses[[#This Row],[Total Annual Direct Housing Expenses]]+AnnualExpenses[[#This Row],[Total Annual Indirect Housing Expenses]])</f>
        <v>69764.84608547292</v>
      </c>
      <c r="Z44" s="4">
        <f>AnnualExpenses[[#This Row],[Total Annual Housing Expenses]]/12</f>
        <v>5813.73717378941</v>
      </c>
      <c r="AA44" s="164">
        <f t="shared" si="1"/>
        <v>99808.912250889087</v>
      </c>
      <c r="AB44" s="164">
        <f>AnnualExpenses[[#This Row],[Total Annual Rental Expenses]]/12</f>
        <v>8317.4093542407572</v>
      </c>
      <c r="AC44" s="166"/>
      <c r="AD44" s="243">
        <v>27</v>
      </c>
      <c r="AE44" s="212">
        <f t="shared" si="2"/>
        <v>2048</v>
      </c>
      <c r="AF44" s="183">
        <f>IF(AnnualExpenses[[#This Row],[Total Annual Housing Expenses]]-AnnualExpenses[[#This Row],[Total Annual Rental Expenses]]&lt;0,AnnualExpenses[[#This Row],[Total Annual Rental Expenses]]-AnnualExpenses[[#This Row],[Total Annual Housing Expenses]],0)</f>
        <v>30044.066165416167</v>
      </c>
      <c r="AG44" s="183">
        <f>IF(AnnualExpenses[[#This Row],[Total Annual Housing Expenses]]-AnnualExpenses[[#This Row],[Total Annual Rental Expenses]]&gt;0,AnnualExpenses[[#This Row],[Total Annual Housing Expenses]]-AnnualExpenses[[#This Row],[Total Annual Rental Expenses]],0)</f>
        <v>0</v>
      </c>
    </row>
    <row r="45" spans="11:33" x14ac:dyDescent="0.25">
      <c r="K45" s="161">
        <v>28</v>
      </c>
      <c r="L45" s="161">
        <f t="shared" si="0"/>
        <v>2049</v>
      </c>
      <c r="M45" s="215">
        <f>IF(AnnualExpenses[[#This Row],[Calendar Year]]&gt;=$C$8,AnnualExpenses[[#This Row],[Calendar Year]],NA())</f>
        <v>2049</v>
      </c>
      <c r="N45" s="215">
        <f>IF((AnnualExpenses[[#This Row],[Calendar Year]]&gt;=$C$8)*(AnnualExpenses[[#This Row],[Calendar Year]]&lt;=$C$10),AnnualExpenses[[#This Row],[Calendar Year]],NA())</f>
        <v>2049</v>
      </c>
      <c r="O45" s="214">
        <f>IF((AnnualExpenses[[#This Row],[Year (Range)]]&gt;=$C$8)*(AnnualExpenses[[#This Row],[Year (Range)]]&lt;=$C$10),Table65[[#This Row],[Buy, Instead of Rent]],NA())</f>
        <v>64059.751765888454</v>
      </c>
      <c r="P45" s="214">
        <f>IF((AnnualExpenses[[#This Row],[Year (Range)]]&gt;=$C$8)*(AnnualExpenses[[#This Row],[Year (Range)]]&lt;=$C$10),Table65[[#This Row],[Rent, Instead of Buy]],NA())</f>
        <v>0</v>
      </c>
      <c r="Q45" s="214">
        <f>IF((AnnualExpenses[[#This Row],[Year (Range)]]&gt;=$C$8)*(AnnualExpenses[[#This Row],[Year (Range)]]&lt;=$C$10),AnnualExpenses[[#This Row],[Total Annual Direct Housing Expenses]],NA())</f>
        <v>6200.0529909268162</v>
      </c>
      <c r="R45" s="214">
        <f>IF((AnnualExpenses[[#This Row],[Year (Range)]]&gt;=$C$8)*(AnnualExpenses[[#This Row],[Year (Range)]]&lt;=$C$10),AnnualExpenses[[#This Row],[Total Annual Indirect Housing Expenses]],NA())</f>
        <v>33541.463984109389</v>
      </c>
      <c r="S45" s="214">
        <f>IF((AnnualExpenses[[#This Row],[Year (Range)]]&gt;=$C$8)*(AnnualExpenses[[#This Row],[Year (Range)]]&lt;=$C$10),AnnualExpenses[[#This Row],[Total Annual Rental Expenses]],NA())</f>
        <v>103801.26874092466</v>
      </c>
      <c r="T45" s="214">
        <f>IF((AnnualExpenses[[#This Row],[Year (Range)]]&gt;=$C$8)*(AnnualExpenses[[#This Row],[Year (Range)]]&lt;=$C$10),AnnualExpenses[[#This Row],[Total Annual Housing Expenses]],NA())</f>
        <v>39741.516975036204</v>
      </c>
      <c r="U45" s="214">
        <f>IF((AnnualExpenses[[#This Row],[Year (Range)]]&gt;=$C$8)*(AnnualExpenses[[#This Row],[Year (Range)]]&lt;=$C$10),AnnualExpenses[[#This Row],[Buying Average Monthly Cost]],NA())</f>
        <v>3311.7930812530171</v>
      </c>
      <c r="V45" s="214">
        <f>IF((AnnualExpenses[[#This Row],[Year (Range)]]&gt;=$C$8)*(AnnualExpenses[[#This Row],[Year (Range)]]&lt;=$C$10),AnnualExpenses[[#This Row],[Renting Average Monthly Cost]],NA())</f>
        <v>8650.1057284103881</v>
      </c>
      <c r="W45" s="4">
        <f>'Annual Amort. Sch.'!AL44</f>
        <v>6200.0529909268162</v>
      </c>
      <c r="X45" s="4">
        <f>'Annual Amort. Sch.'!AM44</f>
        <v>33541.463984109389</v>
      </c>
      <c r="Y45" s="4">
        <f>(AnnualExpenses[[#This Row],[Total Annual Direct Housing Expenses]]+AnnualExpenses[[#This Row],[Total Annual Indirect Housing Expenses]])</f>
        <v>39741.516975036204</v>
      </c>
      <c r="Z45" s="4">
        <f>AnnualExpenses[[#This Row],[Total Annual Housing Expenses]]/12</f>
        <v>3311.7930812530171</v>
      </c>
      <c r="AA45" s="164">
        <f t="shared" si="1"/>
        <v>103801.26874092466</v>
      </c>
      <c r="AB45" s="164">
        <f>AnnualExpenses[[#This Row],[Total Annual Rental Expenses]]/12</f>
        <v>8650.1057284103881</v>
      </c>
      <c r="AC45" s="166"/>
      <c r="AD45" s="243">
        <v>28</v>
      </c>
      <c r="AE45" s="212">
        <f t="shared" si="2"/>
        <v>2049</v>
      </c>
      <c r="AF45" s="183">
        <f>IF(AnnualExpenses[[#This Row],[Total Annual Housing Expenses]]-AnnualExpenses[[#This Row],[Total Annual Rental Expenses]]&lt;0,AnnualExpenses[[#This Row],[Total Annual Rental Expenses]]-AnnualExpenses[[#This Row],[Total Annual Housing Expenses]],0)</f>
        <v>64059.751765888454</v>
      </c>
      <c r="AG45" s="183">
        <f>IF(AnnualExpenses[[#This Row],[Total Annual Housing Expenses]]-AnnualExpenses[[#This Row],[Total Annual Rental Expenses]]&gt;0,AnnualExpenses[[#This Row],[Total Annual Housing Expenses]]-AnnualExpenses[[#This Row],[Total Annual Rental Expenses]],0)</f>
        <v>0</v>
      </c>
    </row>
    <row r="46" spans="11:33" x14ac:dyDescent="0.25">
      <c r="K46" s="161">
        <v>29</v>
      </c>
      <c r="L46" s="161">
        <f t="shared" si="0"/>
        <v>2050</v>
      </c>
      <c r="M46" s="215">
        <f>IF(AnnualExpenses[[#This Row],[Calendar Year]]&gt;=$C$8,AnnualExpenses[[#This Row],[Calendar Year]],NA())</f>
        <v>2050</v>
      </c>
      <c r="N46" s="215">
        <f>IF((AnnualExpenses[[#This Row],[Calendar Year]]&gt;=$C$8)*(AnnualExpenses[[#This Row],[Calendar Year]]&lt;=$C$10),AnnualExpenses[[#This Row],[Calendar Year]],NA())</f>
        <v>2050</v>
      </c>
      <c r="O46" s="214">
        <f>IF((AnnualExpenses[[#This Row],[Year (Range)]]&gt;=$C$8)*(AnnualExpenses[[#This Row],[Year (Range)]]&lt;=$C$10),Table65[[#This Row],[Buy, Instead of Rent]],NA())</f>
        <v>73405.611586928964</v>
      </c>
      <c r="P46" s="214">
        <f>IF((AnnualExpenses[[#This Row],[Year (Range)]]&gt;=$C$8)*(AnnualExpenses[[#This Row],[Year (Range)]]&lt;=$C$10),Table65[[#This Row],[Rent, Instead of Buy]],NA())</f>
        <v>0</v>
      </c>
      <c r="Q46" s="214">
        <f>IF((AnnualExpenses[[#This Row],[Year (Range)]]&gt;=$C$8)*(AnnualExpenses[[#This Row],[Year (Range)]]&lt;=$C$10),AnnualExpenses[[#This Row],[Total Annual Direct Housing Expenses]],NA())</f>
        <v>0</v>
      </c>
      <c r="R46" s="214">
        <f>IF((AnnualExpenses[[#This Row],[Year (Range)]]&gt;=$C$8)*(AnnualExpenses[[#This Row],[Year (Range)]]&lt;=$C$10),AnnualExpenses[[#This Row],[Total Annual Indirect Housing Expenses]],NA())</f>
        <v>34547.707903632676</v>
      </c>
      <c r="S46" s="214">
        <f>IF((AnnualExpenses[[#This Row],[Year (Range)]]&gt;=$C$8)*(AnnualExpenses[[#This Row],[Year (Range)]]&lt;=$C$10),AnnualExpenses[[#This Row],[Total Annual Rental Expenses]],NA())</f>
        <v>107953.31949056164</v>
      </c>
      <c r="T46" s="214">
        <f>IF((AnnualExpenses[[#This Row],[Year (Range)]]&gt;=$C$8)*(AnnualExpenses[[#This Row],[Year (Range)]]&lt;=$C$10),AnnualExpenses[[#This Row],[Total Annual Housing Expenses]],NA())</f>
        <v>34547.707903632676</v>
      </c>
      <c r="U46" s="214">
        <f>IF((AnnualExpenses[[#This Row],[Year (Range)]]&gt;=$C$8)*(AnnualExpenses[[#This Row],[Year (Range)]]&lt;=$C$10),AnnualExpenses[[#This Row],[Buying Average Monthly Cost]],NA())</f>
        <v>2878.9756586360563</v>
      </c>
      <c r="V46" s="214">
        <f>IF((AnnualExpenses[[#This Row],[Year (Range)]]&gt;=$C$8)*(AnnualExpenses[[#This Row],[Year (Range)]]&lt;=$C$10),AnnualExpenses[[#This Row],[Renting Average Monthly Cost]],NA())</f>
        <v>8996.1099575468033</v>
      </c>
      <c r="W46" s="4">
        <f>'Annual Amort. Sch.'!AL45</f>
        <v>0</v>
      </c>
      <c r="X46" s="4">
        <f>'Annual Amort. Sch.'!AM45</f>
        <v>34547.707903632676</v>
      </c>
      <c r="Y46" s="4">
        <f>(AnnualExpenses[[#This Row],[Total Annual Direct Housing Expenses]]+AnnualExpenses[[#This Row],[Total Annual Indirect Housing Expenses]])</f>
        <v>34547.707903632676</v>
      </c>
      <c r="Z46" s="4">
        <f>AnnualExpenses[[#This Row],[Total Annual Housing Expenses]]/12</f>
        <v>2878.9756586360563</v>
      </c>
      <c r="AA46" s="164">
        <f t="shared" si="1"/>
        <v>107953.31949056164</v>
      </c>
      <c r="AB46" s="164">
        <f>AnnualExpenses[[#This Row],[Total Annual Rental Expenses]]/12</f>
        <v>8996.1099575468033</v>
      </c>
      <c r="AC46" s="166"/>
      <c r="AD46" s="243">
        <v>29</v>
      </c>
      <c r="AE46" s="212">
        <f t="shared" si="2"/>
        <v>2050</v>
      </c>
      <c r="AF46" s="183">
        <f>IF(AnnualExpenses[[#This Row],[Total Annual Housing Expenses]]-AnnualExpenses[[#This Row],[Total Annual Rental Expenses]]&lt;0,AnnualExpenses[[#This Row],[Total Annual Rental Expenses]]-AnnualExpenses[[#This Row],[Total Annual Housing Expenses]],0)</f>
        <v>73405.611586928964</v>
      </c>
      <c r="AG46" s="183">
        <f>IF(AnnualExpenses[[#This Row],[Total Annual Housing Expenses]]-AnnualExpenses[[#This Row],[Total Annual Rental Expenses]]&gt;0,AnnualExpenses[[#This Row],[Total Annual Housing Expenses]]-AnnualExpenses[[#This Row],[Total Annual Rental Expenses]],0)</f>
        <v>0</v>
      </c>
    </row>
    <row r="47" spans="11:33" x14ac:dyDescent="0.25">
      <c r="K47" s="161">
        <v>30</v>
      </c>
      <c r="L47" s="161">
        <f t="shared" si="0"/>
        <v>2051</v>
      </c>
      <c r="M47" s="215">
        <f>IF(AnnualExpenses[[#This Row],[Calendar Year]]&gt;=$C$8,AnnualExpenses[[#This Row],[Calendar Year]],NA())</f>
        <v>2051</v>
      </c>
      <c r="N47" s="215">
        <f>IF((AnnualExpenses[[#This Row],[Calendar Year]]&gt;=$C$8)*(AnnualExpenses[[#This Row],[Calendar Year]]&lt;=$C$10),AnnualExpenses[[#This Row],[Calendar Year]],NA())</f>
        <v>2051</v>
      </c>
      <c r="O47" s="214">
        <f>IF((AnnualExpenses[[#This Row],[Year (Range)]]&gt;=$C$8)*(AnnualExpenses[[#This Row],[Year (Range)]]&lt;=$C$10),Table65[[#This Row],[Buy, Instead of Rent]],NA())</f>
        <v>76687.313129442453</v>
      </c>
      <c r="P47" s="214">
        <f>IF((AnnualExpenses[[#This Row],[Year (Range)]]&gt;=$C$8)*(AnnualExpenses[[#This Row],[Year (Range)]]&lt;=$C$10),Table65[[#This Row],[Rent, Instead of Buy]],NA())</f>
        <v>0</v>
      </c>
      <c r="Q47" s="214">
        <f>IF((AnnualExpenses[[#This Row],[Year (Range)]]&gt;=$C$8)*(AnnualExpenses[[#This Row],[Year (Range)]]&lt;=$C$10),AnnualExpenses[[#This Row],[Total Annual Direct Housing Expenses]],NA())</f>
        <v>0</v>
      </c>
      <c r="R47" s="214">
        <f>IF((AnnualExpenses[[#This Row],[Year (Range)]]&gt;=$C$8)*(AnnualExpenses[[#This Row],[Year (Range)]]&lt;=$C$10),AnnualExpenses[[#This Row],[Total Annual Indirect Housing Expenses]],NA())</f>
        <v>35584.139140741652</v>
      </c>
      <c r="S47" s="214">
        <f>IF((AnnualExpenses[[#This Row],[Year (Range)]]&gt;=$C$8)*(AnnualExpenses[[#This Row],[Year (Range)]]&lt;=$C$10),AnnualExpenses[[#This Row],[Total Annual Rental Expenses]],NA())</f>
        <v>112271.45227018411</v>
      </c>
      <c r="T47" s="214">
        <f>IF((AnnualExpenses[[#This Row],[Year (Range)]]&gt;=$C$8)*(AnnualExpenses[[#This Row],[Year (Range)]]&lt;=$C$10),AnnualExpenses[[#This Row],[Total Annual Housing Expenses]],NA())</f>
        <v>35584.139140741652</v>
      </c>
      <c r="U47" s="214">
        <f>IF((AnnualExpenses[[#This Row],[Year (Range)]]&gt;=$C$8)*(AnnualExpenses[[#This Row],[Year (Range)]]&lt;=$C$10),AnnualExpenses[[#This Row],[Buying Average Monthly Cost]],NA())</f>
        <v>2965.3449283951377</v>
      </c>
      <c r="V47" s="214">
        <f>IF((AnnualExpenses[[#This Row],[Year (Range)]]&gt;=$C$8)*(AnnualExpenses[[#This Row],[Year (Range)]]&lt;=$C$10),AnnualExpenses[[#This Row],[Renting Average Monthly Cost]],NA())</f>
        <v>9355.9543558486748</v>
      </c>
      <c r="W47" s="4">
        <f>'Annual Amort. Sch.'!AL46</f>
        <v>0</v>
      </c>
      <c r="X47" s="4">
        <f>'Annual Amort. Sch.'!AM46</f>
        <v>35584.139140741652</v>
      </c>
      <c r="Y47" s="4">
        <f>(AnnualExpenses[[#This Row],[Total Annual Direct Housing Expenses]]+AnnualExpenses[[#This Row],[Total Annual Indirect Housing Expenses]])</f>
        <v>35584.139140741652</v>
      </c>
      <c r="Z47" s="4">
        <f>AnnualExpenses[[#This Row],[Total Annual Housing Expenses]]/12</f>
        <v>2965.3449283951377</v>
      </c>
      <c r="AA47" s="164">
        <f t="shared" si="1"/>
        <v>112271.45227018411</v>
      </c>
      <c r="AB47" s="164">
        <f>AnnualExpenses[[#This Row],[Total Annual Rental Expenses]]/12</f>
        <v>9355.9543558486748</v>
      </c>
      <c r="AC47" s="166"/>
      <c r="AD47" s="243">
        <v>30</v>
      </c>
      <c r="AE47" s="212">
        <f t="shared" si="2"/>
        <v>2051</v>
      </c>
      <c r="AF47" s="183">
        <f>IF(AnnualExpenses[[#This Row],[Total Annual Housing Expenses]]-AnnualExpenses[[#This Row],[Total Annual Rental Expenses]]&lt;0,AnnualExpenses[[#This Row],[Total Annual Rental Expenses]]-AnnualExpenses[[#This Row],[Total Annual Housing Expenses]],0)</f>
        <v>76687.313129442453</v>
      </c>
      <c r="AG47" s="183">
        <f>IF(AnnualExpenses[[#This Row],[Total Annual Housing Expenses]]-AnnualExpenses[[#This Row],[Total Annual Rental Expenses]]&gt;0,AnnualExpenses[[#This Row],[Total Annual Housing Expenses]]-AnnualExpenses[[#This Row],[Total Annual Rental Expenses]],0)</f>
        <v>0</v>
      </c>
    </row>
    <row r="48" spans="11:33" x14ac:dyDescent="0.25">
      <c r="K48" s="161">
        <v>31</v>
      </c>
      <c r="L48" s="161">
        <f t="shared" si="0"/>
        <v>2052</v>
      </c>
      <c r="M48" s="215">
        <f>IF(AnnualExpenses[[#This Row],[Calendar Year]]&gt;=$C$8,AnnualExpenses[[#This Row],[Calendar Year]],NA())</f>
        <v>2052</v>
      </c>
      <c r="N48" s="215">
        <f>IF((AnnualExpenses[[#This Row],[Calendar Year]]&gt;=$C$8)*(AnnualExpenses[[#This Row],[Calendar Year]]&lt;=$C$10),AnnualExpenses[[#This Row],[Calendar Year]],NA())</f>
        <v>2052</v>
      </c>
      <c r="O48" s="214">
        <f>IF((AnnualExpenses[[#This Row],[Year (Range)]]&gt;=$C$8)*(AnnualExpenses[[#This Row],[Year (Range)]]&lt;=$C$10),Table65[[#This Row],[Buy, Instead of Rent]],NA())</f>
        <v>80110.64704602756</v>
      </c>
      <c r="P48" s="214">
        <f>IF((AnnualExpenses[[#This Row],[Year (Range)]]&gt;=$C$8)*(AnnualExpenses[[#This Row],[Year (Range)]]&lt;=$C$10),Table65[[#This Row],[Rent, Instead of Buy]],NA())</f>
        <v>0</v>
      </c>
      <c r="Q48" s="214">
        <f>IF((AnnualExpenses[[#This Row],[Year (Range)]]&gt;=$C$8)*(AnnualExpenses[[#This Row],[Year (Range)]]&lt;=$C$10),AnnualExpenses[[#This Row],[Total Annual Direct Housing Expenses]],NA())</f>
        <v>0</v>
      </c>
      <c r="R48" s="214">
        <f>IF((AnnualExpenses[[#This Row],[Year (Range)]]&gt;=$C$8)*(AnnualExpenses[[#This Row],[Year (Range)]]&lt;=$C$10),AnnualExpenses[[#This Row],[Total Annual Indirect Housing Expenses]],NA())</f>
        <v>36651.663314963902</v>
      </c>
      <c r="S48" s="214">
        <f>IF((AnnualExpenses[[#This Row],[Year (Range)]]&gt;=$C$8)*(AnnualExpenses[[#This Row],[Year (Range)]]&lt;=$C$10),AnnualExpenses[[#This Row],[Total Annual Rental Expenses]],NA())</f>
        <v>116762.31036099147</v>
      </c>
      <c r="T48" s="214">
        <f>IF((AnnualExpenses[[#This Row],[Year (Range)]]&gt;=$C$8)*(AnnualExpenses[[#This Row],[Year (Range)]]&lt;=$C$10),AnnualExpenses[[#This Row],[Total Annual Housing Expenses]],NA())</f>
        <v>36651.663314963902</v>
      </c>
      <c r="U48" s="214">
        <f>IF((AnnualExpenses[[#This Row],[Year (Range)]]&gt;=$C$8)*(AnnualExpenses[[#This Row],[Year (Range)]]&lt;=$C$10),AnnualExpenses[[#This Row],[Buying Average Monthly Cost]],NA())</f>
        <v>3054.305276246992</v>
      </c>
      <c r="V48" s="214">
        <f>IF((AnnualExpenses[[#This Row],[Year (Range)]]&gt;=$C$8)*(AnnualExpenses[[#This Row],[Year (Range)]]&lt;=$C$10),AnnualExpenses[[#This Row],[Renting Average Monthly Cost]],NA())</f>
        <v>9730.1925300826224</v>
      </c>
      <c r="W48" s="4">
        <f>'Annual Amort. Sch.'!AL47</f>
        <v>0</v>
      </c>
      <c r="X48" s="4">
        <f>'Annual Amort. Sch.'!AM47</f>
        <v>36651.663314963902</v>
      </c>
      <c r="Y48" s="4">
        <f>(AnnualExpenses[[#This Row],[Total Annual Direct Housing Expenses]]+AnnualExpenses[[#This Row],[Total Annual Indirect Housing Expenses]])</f>
        <v>36651.663314963902</v>
      </c>
      <c r="Z48" s="4">
        <f>AnnualExpenses[[#This Row],[Total Annual Housing Expenses]]/12</f>
        <v>3054.305276246992</v>
      </c>
      <c r="AA48" s="164">
        <f t="shared" si="1"/>
        <v>116762.31036099147</v>
      </c>
      <c r="AB48" s="164">
        <f>AnnualExpenses[[#This Row],[Total Annual Rental Expenses]]/12</f>
        <v>9730.1925300826224</v>
      </c>
      <c r="AC48" s="166"/>
      <c r="AD48" s="243">
        <v>31</v>
      </c>
      <c r="AE48" s="212">
        <f t="shared" si="2"/>
        <v>2052</v>
      </c>
      <c r="AF48" s="183">
        <f>IF(AnnualExpenses[[#This Row],[Total Annual Housing Expenses]]-AnnualExpenses[[#This Row],[Total Annual Rental Expenses]]&lt;0,AnnualExpenses[[#This Row],[Total Annual Rental Expenses]]-AnnualExpenses[[#This Row],[Total Annual Housing Expenses]],0)</f>
        <v>80110.64704602756</v>
      </c>
      <c r="AG48" s="183">
        <f>IF(AnnualExpenses[[#This Row],[Total Annual Housing Expenses]]-AnnualExpenses[[#This Row],[Total Annual Rental Expenses]]&gt;0,AnnualExpenses[[#This Row],[Total Annual Housing Expenses]]-AnnualExpenses[[#This Row],[Total Annual Rental Expenses]],0)</f>
        <v>0</v>
      </c>
    </row>
    <row r="49" spans="11:33" x14ac:dyDescent="0.25">
      <c r="K49" s="161">
        <v>32</v>
      </c>
      <c r="L49" s="161">
        <f t="shared" si="0"/>
        <v>2053</v>
      </c>
      <c r="M49" s="215">
        <f>IF(AnnualExpenses[[#This Row],[Calendar Year]]&gt;=$C$8,AnnualExpenses[[#This Row],[Calendar Year]],NA())</f>
        <v>2053</v>
      </c>
      <c r="N49" s="215">
        <f>IF((AnnualExpenses[[#This Row],[Calendar Year]]&gt;=$C$8)*(AnnualExpenses[[#This Row],[Calendar Year]]&lt;=$C$10),AnnualExpenses[[#This Row],[Calendar Year]],NA())</f>
        <v>2053</v>
      </c>
      <c r="O49" s="214">
        <f>IF((AnnualExpenses[[#This Row],[Year (Range)]]&gt;=$C$8)*(AnnualExpenses[[#This Row],[Year (Range)]]&lt;=$C$10),Table65[[#This Row],[Buy, Instead of Rent]],NA())</f>
        <v>83681.589561018307</v>
      </c>
      <c r="P49" s="214">
        <f>IF((AnnualExpenses[[#This Row],[Year (Range)]]&gt;=$C$8)*(AnnualExpenses[[#This Row],[Year (Range)]]&lt;=$C$10),Table65[[#This Row],[Rent, Instead of Buy]],NA())</f>
        <v>0</v>
      </c>
      <c r="Q49" s="214">
        <f>IF((AnnualExpenses[[#This Row],[Year (Range)]]&gt;=$C$8)*(AnnualExpenses[[#This Row],[Year (Range)]]&lt;=$C$10),AnnualExpenses[[#This Row],[Total Annual Direct Housing Expenses]],NA())</f>
        <v>0</v>
      </c>
      <c r="R49" s="214">
        <f>IF((AnnualExpenses[[#This Row],[Year (Range)]]&gt;=$C$8)*(AnnualExpenses[[#This Row],[Year (Range)]]&lt;=$C$10),AnnualExpenses[[#This Row],[Total Annual Indirect Housing Expenses]],NA())</f>
        <v>37751.213214412826</v>
      </c>
      <c r="S49" s="214">
        <f>IF((AnnualExpenses[[#This Row],[Year (Range)]]&gt;=$C$8)*(AnnualExpenses[[#This Row],[Year (Range)]]&lt;=$C$10),AnnualExpenses[[#This Row],[Total Annual Rental Expenses]],NA())</f>
        <v>121432.80277543113</v>
      </c>
      <c r="T49" s="214">
        <f>IF((AnnualExpenses[[#This Row],[Year (Range)]]&gt;=$C$8)*(AnnualExpenses[[#This Row],[Year (Range)]]&lt;=$C$10),AnnualExpenses[[#This Row],[Total Annual Housing Expenses]],NA())</f>
        <v>37751.213214412826</v>
      </c>
      <c r="U49" s="214">
        <f>IF((AnnualExpenses[[#This Row],[Year (Range)]]&gt;=$C$8)*(AnnualExpenses[[#This Row],[Year (Range)]]&lt;=$C$10),AnnualExpenses[[#This Row],[Buying Average Monthly Cost]],NA())</f>
        <v>3145.934434534402</v>
      </c>
      <c r="V49" s="214">
        <f>IF((AnnualExpenses[[#This Row],[Year (Range)]]&gt;=$C$8)*(AnnualExpenses[[#This Row],[Year (Range)]]&lt;=$C$10),AnnualExpenses[[#This Row],[Renting Average Monthly Cost]],NA())</f>
        <v>10119.400231285928</v>
      </c>
      <c r="W49" s="4">
        <f>'Annual Amort. Sch.'!AL48</f>
        <v>0</v>
      </c>
      <c r="X49" s="4">
        <f>'Annual Amort. Sch.'!AM48</f>
        <v>37751.213214412826</v>
      </c>
      <c r="Y49" s="4">
        <f>(AnnualExpenses[[#This Row],[Total Annual Direct Housing Expenses]]+AnnualExpenses[[#This Row],[Total Annual Indirect Housing Expenses]])</f>
        <v>37751.213214412826</v>
      </c>
      <c r="Z49" s="4">
        <f>AnnualExpenses[[#This Row],[Total Annual Housing Expenses]]/12</f>
        <v>3145.934434534402</v>
      </c>
      <c r="AA49" s="164">
        <f t="shared" si="1"/>
        <v>121432.80277543113</v>
      </c>
      <c r="AB49" s="164">
        <f>AnnualExpenses[[#This Row],[Total Annual Rental Expenses]]/12</f>
        <v>10119.400231285928</v>
      </c>
      <c r="AC49" s="166"/>
      <c r="AD49" s="243">
        <v>32</v>
      </c>
      <c r="AE49" s="212">
        <f t="shared" si="2"/>
        <v>2053</v>
      </c>
      <c r="AF49" s="183">
        <f>IF(AnnualExpenses[[#This Row],[Total Annual Housing Expenses]]-AnnualExpenses[[#This Row],[Total Annual Rental Expenses]]&lt;0,AnnualExpenses[[#This Row],[Total Annual Rental Expenses]]-AnnualExpenses[[#This Row],[Total Annual Housing Expenses]],0)</f>
        <v>83681.589561018307</v>
      </c>
      <c r="AG49" s="183">
        <f>IF(AnnualExpenses[[#This Row],[Total Annual Housing Expenses]]-AnnualExpenses[[#This Row],[Total Annual Rental Expenses]]&gt;0,AnnualExpenses[[#This Row],[Total Annual Housing Expenses]]-AnnualExpenses[[#This Row],[Total Annual Rental Expenses]],0)</f>
        <v>0</v>
      </c>
    </row>
    <row r="50" spans="11:33" x14ac:dyDescent="0.25">
      <c r="K50" s="161">
        <v>33</v>
      </c>
      <c r="L50" s="161">
        <f t="shared" si="0"/>
        <v>2054</v>
      </c>
      <c r="M50" s="215">
        <f>IF(AnnualExpenses[[#This Row],[Calendar Year]]&gt;=$C$8,AnnualExpenses[[#This Row],[Calendar Year]],NA())</f>
        <v>2054</v>
      </c>
      <c r="N50" s="215">
        <f>IF((AnnualExpenses[[#This Row],[Calendar Year]]&gt;=$C$8)*(AnnualExpenses[[#This Row],[Calendar Year]]&lt;=$C$10),AnnualExpenses[[#This Row],[Calendar Year]],NA())</f>
        <v>2054</v>
      </c>
      <c r="O50" s="214">
        <f>IF((AnnualExpenses[[#This Row],[Year (Range)]]&gt;=$C$8)*(AnnualExpenses[[#This Row],[Year (Range)]]&lt;=$C$10),Table65[[#This Row],[Buy, Instead of Rent]],NA())</f>
        <v>87406.365275603166</v>
      </c>
      <c r="P50" s="214">
        <f>IF((AnnualExpenses[[#This Row],[Year (Range)]]&gt;=$C$8)*(AnnualExpenses[[#This Row],[Year (Range)]]&lt;=$C$10),Table65[[#This Row],[Rent, Instead of Buy]],NA())</f>
        <v>0</v>
      </c>
      <c r="Q50" s="214">
        <f>IF((AnnualExpenses[[#This Row],[Year (Range)]]&gt;=$C$8)*(AnnualExpenses[[#This Row],[Year (Range)]]&lt;=$C$10),AnnualExpenses[[#This Row],[Total Annual Direct Housing Expenses]],NA())</f>
        <v>0</v>
      </c>
      <c r="R50" s="214">
        <f>IF((AnnualExpenses[[#This Row],[Year (Range)]]&gt;=$C$8)*(AnnualExpenses[[#This Row],[Year (Range)]]&lt;=$C$10),AnnualExpenses[[#This Row],[Total Annual Indirect Housing Expenses]],NA())</f>
        <v>38883.749610845211</v>
      </c>
      <c r="S50" s="214">
        <f>IF((AnnualExpenses[[#This Row],[Year (Range)]]&gt;=$C$8)*(AnnualExpenses[[#This Row],[Year (Range)]]&lt;=$C$10),AnnualExpenses[[#This Row],[Total Annual Rental Expenses]],NA())</f>
        <v>126290.11488644838</v>
      </c>
      <c r="T50" s="214">
        <f>IF((AnnualExpenses[[#This Row],[Year (Range)]]&gt;=$C$8)*(AnnualExpenses[[#This Row],[Year (Range)]]&lt;=$C$10),AnnualExpenses[[#This Row],[Total Annual Housing Expenses]],NA())</f>
        <v>38883.749610845211</v>
      </c>
      <c r="U50" s="214">
        <f>IF((AnnualExpenses[[#This Row],[Year (Range)]]&gt;=$C$8)*(AnnualExpenses[[#This Row],[Year (Range)]]&lt;=$C$10),AnnualExpenses[[#This Row],[Buying Average Monthly Cost]],NA())</f>
        <v>3240.3124675704344</v>
      </c>
      <c r="V50" s="214">
        <f>IF((AnnualExpenses[[#This Row],[Year (Range)]]&gt;=$C$8)*(AnnualExpenses[[#This Row],[Year (Range)]]&lt;=$C$10),AnnualExpenses[[#This Row],[Renting Average Monthly Cost]],NA())</f>
        <v>10524.176240537365</v>
      </c>
      <c r="W50" s="4">
        <f>'Annual Amort. Sch.'!AL49</f>
        <v>0</v>
      </c>
      <c r="X50" s="4">
        <f>'Annual Amort. Sch.'!AM49</f>
        <v>38883.749610845211</v>
      </c>
      <c r="Y50" s="4">
        <f>(AnnualExpenses[[#This Row],[Total Annual Direct Housing Expenses]]+AnnualExpenses[[#This Row],[Total Annual Indirect Housing Expenses]])</f>
        <v>38883.749610845211</v>
      </c>
      <c r="Z50" s="4">
        <f>AnnualExpenses[[#This Row],[Total Annual Housing Expenses]]/12</f>
        <v>3240.3124675704344</v>
      </c>
      <c r="AA50" s="164">
        <f t="shared" si="1"/>
        <v>126290.11488644838</v>
      </c>
      <c r="AB50" s="164">
        <f>AnnualExpenses[[#This Row],[Total Annual Rental Expenses]]/12</f>
        <v>10524.176240537365</v>
      </c>
      <c r="AC50" s="166"/>
      <c r="AD50" s="243">
        <v>33</v>
      </c>
      <c r="AE50" s="212">
        <f t="shared" si="2"/>
        <v>2054</v>
      </c>
      <c r="AF50" s="183">
        <f>IF(AnnualExpenses[[#This Row],[Total Annual Housing Expenses]]-AnnualExpenses[[#This Row],[Total Annual Rental Expenses]]&lt;0,AnnualExpenses[[#This Row],[Total Annual Rental Expenses]]-AnnualExpenses[[#This Row],[Total Annual Housing Expenses]],0)</f>
        <v>87406.365275603166</v>
      </c>
      <c r="AG50" s="183">
        <f>IF(AnnualExpenses[[#This Row],[Total Annual Housing Expenses]]-AnnualExpenses[[#This Row],[Total Annual Rental Expenses]]&gt;0,AnnualExpenses[[#This Row],[Total Annual Housing Expenses]]-AnnualExpenses[[#This Row],[Total Annual Rental Expenses]],0)</f>
        <v>0</v>
      </c>
    </row>
    <row r="51" spans="11:33" x14ac:dyDescent="0.25">
      <c r="K51" s="161">
        <v>34</v>
      </c>
      <c r="L51" s="161">
        <f t="shared" ref="L51:L82" si="3">purchase_year+K50</f>
        <v>2055</v>
      </c>
      <c r="M51" s="215">
        <f>IF(AnnualExpenses[[#This Row],[Calendar Year]]&gt;=$C$8,AnnualExpenses[[#This Row],[Calendar Year]],NA())</f>
        <v>2055</v>
      </c>
      <c r="N51" s="215">
        <f>IF((AnnualExpenses[[#This Row],[Calendar Year]]&gt;=$C$8)*(AnnualExpenses[[#This Row],[Calendar Year]]&lt;=$C$10),AnnualExpenses[[#This Row],[Calendar Year]],NA())</f>
        <v>2055</v>
      </c>
      <c r="O51" s="214">
        <f>IF((AnnualExpenses[[#This Row],[Year (Range)]]&gt;=$C$8)*(AnnualExpenses[[#This Row],[Year (Range)]]&lt;=$C$10),Table65[[#This Row],[Buy, Instead of Rent]],NA())</f>
        <v>91291.457382735767</v>
      </c>
      <c r="P51" s="214">
        <f>IF((AnnualExpenses[[#This Row],[Year (Range)]]&gt;=$C$8)*(AnnualExpenses[[#This Row],[Year (Range)]]&lt;=$C$10),Table65[[#This Row],[Rent, Instead of Buy]],NA())</f>
        <v>0</v>
      </c>
      <c r="Q51" s="214">
        <f>IF((AnnualExpenses[[#This Row],[Year (Range)]]&gt;=$C$8)*(AnnualExpenses[[#This Row],[Year (Range)]]&lt;=$C$10),AnnualExpenses[[#This Row],[Total Annual Direct Housing Expenses]],NA())</f>
        <v>0</v>
      </c>
      <c r="R51" s="214">
        <f>IF((AnnualExpenses[[#This Row],[Year (Range)]]&gt;=$C$8)*(AnnualExpenses[[#This Row],[Year (Range)]]&lt;=$C$10),AnnualExpenses[[#This Row],[Total Annual Indirect Housing Expenses]],NA())</f>
        <v>40050.262099170563</v>
      </c>
      <c r="S51" s="214">
        <f>IF((AnnualExpenses[[#This Row],[Year (Range)]]&gt;=$C$8)*(AnnualExpenses[[#This Row],[Year (Range)]]&lt;=$C$10),AnnualExpenses[[#This Row],[Total Annual Rental Expenses]],NA())</f>
        <v>131341.71948190633</v>
      </c>
      <c r="T51" s="214">
        <f>IF((AnnualExpenses[[#This Row],[Year (Range)]]&gt;=$C$8)*(AnnualExpenses[[#This Row],[Year (Range)]]&lt;=$C$10),AnnualExpenses[[#This Row],[Total Annual Housing Expenses]],NA())</f>
        <v>40050.262099170563</v>
      </c>
      <c r="U51" s="214">
        <f>IF((AnnualExpenses[[#This Row],[Year (Range)]]&gt;=$C$8)*(AnnualExpenses[[#This Row],[Year (Range)]]&lt;=$C$10),AnnualExpenses[[#This Row],[Buying Average Monthly Cost]],NA())</f>
        <v>3337.5218415975469</v>
      </c>
      <c r="V51" s="214">
        <f>IF((AnnualExpenses[[#This Row],[Year (Range)]]&gt;=$C$8)*(AnnualExpenses[[#This Row],[Year (Range)]]&lt;=$C$10),AnnualExpenses[[#This Row],[Renting Average Monthly Cost]],NA())</f>
        <v>10945.143290158861</v>
      </c>
      <c r="W51" s="4">
        <f>'Annual Amort. Sch.'!AL50</f>
        <v>0</v>
      </c>
      <c r="X51" s="4">
        <f>'Annual Amort. Sch.'!AM50</f>
        <v>40050.262099170563</v>
      </c>
      <c r="Y51" s="4">
        <f>(AnnualExpenses[[#This Row],[Total Annual Direct Housing Expenses]]+AnnualExpenses[[#This Row],[Total Annual Indirect Housing Expenses]])</f>
        <v>40050.262099170563</v>
      </c>
      <c r="Z51" s="4">
        <f>AnnualExpenses[[#This Row],[Total Annual Housing Expenses]]/12</f>
        <v>3337.5218415975469</v>
      </c>
      <c r="AA51" s="164">
        <f t="shared" ref="AA51:AA82" si="4">AA50*(1+annual_rent_increase)</f>
        <v>131341.71948190633</v>
      </c>
      <c r="AB51" s="164">
        <f>AnnualExpenses[[#This Row],[Total Annual Rental Expenses]]/12</f>
        <v>10945.143290158861</v>
      </c>
      <c r="AC51" s="166"/>
      <c r="AD51" s="243">
        <v>34</v>
      </c>
      <c r="AE51" s="212">
        <f t="shared" si="2"/>
        <v>2055</v>
      </c>
      <c r="AF51" s="183">
        <f>IF(AnnualExpenses[[#This Row],[Total Annual Housing Expenses]]-AnnualExpenses[[#This Row],[Total Annual Rental Expenses]]&lt;0,AnnualExpenses[[#This Row],[Total Annual Rental Expenses]]-AnnualExpenses[[#This Row],[Total Annual Housing Expenses]],0)</f>
        <v>91291.457382735767</v>
      </c>
      <c r="AG51" s="183">
        <f>IF(AnnualExpenses[[#This Row],[Total Annual Housing Expenses]]-AnnualExpenses[[#This Row],[Total Annual Rental Expenses]]&gt;0,AnnualExpenses[[#This Row],[Total Annual Housing Expenses]]-AnnualExpenses[[#This Row],[Total Annual Rental Expenses]],0)</f>
        <v>0</v>
      </c>
    </row>
    <row r="52" spans="11:33" x14ac:dyDescent="0.25">
      <c r="K52" s="161">
        <v>35</v>
      </c>
      <c r="L52" s="161">
        <f t="shared" si="3"/>
        <v>2056</v>
      </c>
      <c r="M52" s="215">
        <f>IF(AnnualExpenses[[#This Row],[Calendar Year]]&gt;=$C$8,AnnualExpenses[[#This Row],[Calendar Year]],NA())</f>
        <v>2056</v>
      </c>
      <c r="N52" s="215">
        <f>IF((AnnualExpenses[[#This Row],[Calendar Year]]&gt;=$C$8)*(AnnualExpenses[[#This Row],[Calendar Year]]&lt;=$C$10),AnnualExpenses[[#This Row],[Calendar Year]],NA())</f>
        <v>2056</v>
      </c>
      <c r="O52" s="214">
        <f>IF((AnnualExpenses[[#This Row],[Year (Range)]]&gt;=$C$8)*(AnnualExpenses[[#This Row],[Year (Range)]]&lt;=$C$10),Table65[[#This Row],[Buy, Instead of Rent]],NA())</f>
        <v>95343.618299036898</v>
      </c>
      <c r="P52" s="214">
        <f>IF((AnnualExpenses[[#This Row],[Year (Range)]]&gt;=$C$8)*(AnnualExpenses[[#This Row],[Year (Range)]]&lt;=$C$10),Table65[[#This Row],[Rent, Instead of Buy]],NA())</f>
        <v>0</v>
      </c>
      <c r="Q52" s="214">
        <f>IF((AnnualExpenses[[#This Row],[Year (Range)]]&gt;=$C$8)*(AnnualExpenses[[#This Row],[Year (Range)]]&lt;=$C$10),AnnualExpenses[[#This Row],[Total Annual Direct Housing Expenses]],NA())</f>
        <v>0</v>
      </c>
      <c r="R52" s="214">
        <f>IF((AnnualExpenses[[#This Row],[Year (Range)]]&gt;=$C$8)*(AnnualExpenses[[#This Row],[Year (Range)]]&lt;=$C$10),AnnualExpenses[[#This Row],[Total Annual Indirect Housing Expenses]],NA())</f>
        <v>41251.769962145685</v>
      </c>
      <c r="S52" s="214">
        <f>IF((AnnualExpenses[[#This Row],[Year (Range)]]&gt;=$C$8)*(AnnualExpenses[[#This Row],[Year (Range)]]&lt;=$C$10),AnnualExpenses[[#This Row],[Total Annual Rental Expenses]],NA())</f>
        <v>136595.38826118258</v>
      </c>
      <c r="T52" s="214">
        <f>IF((AnnualExpenses[[#This Row],[Year (Range)]]&gt;=$C$8)*(AnnualExpenses[[#This Row],[Year (Range)]]&lt;=$C$10),AnnualExpenses[[#This Row],[Total Annual Housing Expenses]],NA())</f>
        <v>41251.769962145685</v>
      </c>
      <c r="U52" s="214">
        <f>IF((AnnualExpenses[[#This Row],[Year (Range)]]&gt;=$C$8)*(AnnualExpenses[[#This Row],[Year (Range)]]&lt;=$C$10),AnnualExpenses[[#This Row],[Buying Average Monthly Cost]],NA())</f>
        <v>3437.6474968454736</v>
      </c>
      <c r="V52" s="214">
        <f>IF((AnnualExpenses[[#This Row],[Year (Range)]]&gt;=$C$8)*(AnnualExpenses[[#This Row],[Year (Range)]]&lt;=$C$10),AnnualExpenses[[#This Row],[Renting Average Monthly Cost]],NA())</f>
        <v>11382.949021765215</v>
      </c>
      <c r="W52" s="4">
        <f>'Annual Amort. Sch.'!AL51</f>
        <v>0</v>
      </c>
      <c r="X52" s="4">
        <f>'Annual Amort. Sch.'!AM51</f>
        <v>41251.769962145685</v>
      </c>
      <c r="Y52" s="4">
        <f>(AnnualExpenses[[#This Row],[Total Annual Direct Housing Expenses]]+AnnualExpenses[[#This Row],[Total Annual Indirect Housing Expenses]])</f>
        <v>41251.769962145685</v>
      </c>
      <c r="Z52" s="4">
        <f>AnnualExpenses[[#This Row],[Total Annual Housing Expenses]]/12</f>
        <v>3437.6474968454736</v>
      </c>
      <c r="AA52" s="164">
        <f t="shared" si="4"/>
        <v>136595.38826118258</v>
      </c>
      <c r="AB52" s="164">
        <f>AnnualExpenses[[#This Row],[Total Annual Rental Expenses]]/12</f>
        <v>11382.949021765215</v>
      </c>
      <c r="AC52" s="166"/>
      <c r="AD52" s="243">
        <v>35</v>
      </c>
      <c r="AE52" s="212">
        <f t="shared" si="2"/>
        <v>2056</v>
      </c>
      <c r="AF52" s="183">
        <f>IF(AnnualExpenses[[#This Row],[Total Annual Housing Expenses]]-AnnualExpenses[[#This Row],[Total Annual Rental Expenses]]&lt;0,AnnualExpenses[[#This Row],[Total Annual Rental Expenses]]-AnnualExpenses[[#This Row],[Total Annual Housing Expenses]],0)</f>
        <v>95343.618299036898</v>
      </c>
      <c r="AG52" s="183">
        <f>IF(AnnualExpenses[[#This Row],[Total Annual Housing Expenses]]-AnnualExpenses[[#This Row],[Total Annual Rental Expenses]]&gt;0,AnnualExpenses[[#This Row],[Total Annual Housing Expenses]]-AnnualExpenses[[#This Row],[Total Annual Rental Expenses]],0)</f>
        <v>0</v>
      </c>
    </row>
    <row r="53" spans="11:33" x14ac:dyDescent="0.25">
      <c r="K53" s="161">
        <v>36</v>
      </c>
      <c r="L53" s="161">
        <f t="shared" si="3"/>
        <v>2057</v>
      </c>
      <c r="M53" s="215">
        <f>IF(AnnualExpenses[[#This Row],[Calendar Year]]&gt;=$C$8,AnnualExpenses[[#This Row],[Calendar Year]],NA())</f>
        <v>2057</v>
      </c>
      <c r="N53" s="215">
        <f>IF((AnnualExpenses[[#This Row],[Calendar Year]]&gt;=$C$8)*(AnnualExpenses[[#This Row],[Calendar Year]]&lt;=$C$10),AnnualExpenses[[#This Row],[Calendar Year]],NA())</f>
        <v>2057</v>
      </c>
      <c r="O53" s="214">
        <f>IF((AnnualExpenses[[#This Row],[Year (Range)]]&gt;=$C$8)*(AnnualExpenses[[#This Row],[Year (Range)]]&lt;=$C$10),Table65[[#This Row],[Buy, Instead of Rent]],NA())</f>
        <v>99569.880730619843</v>
      </c>
      <c r="P53" s="214">
        <f>IF((AnnualExpenses[[#This Row],[Year (Range)]]&gt;=$C$8)*(AnnualExpenses[[#This Row],[Year (Range)]]&lt;=$C$10),Table65[[#This Row],[Rent, Instead of Buy]],NA())</f>
        <v>0</v>
      </c>
      <c r="Q53" s="214">
        <f>IF((AnnualExpenses[[#This Row],[Year (Range)]]&gt;=$C$8)*(AnnualExpenses[[#This Row],[Year (Range)]]&lt;=$C$10),AnnualExpenses[[#This Row],[Total Annual Direct Housing Expenses]],NA())</f>
        <v>0</v>
      </c>
      <c r="R53" s="214">
        <f>IF((AnnualExpenses[[#This Row],[Year (Range)]]&gt;=$C$8)*(AnnualExpenses[[#This Row],[Year (Range)]]&lt;=$C$10),AnnualExpenses[[#This Row],[Total Annual Indirect Housing Expenses]],NA())</f>
        <v>42489.323061010058</v>
      </c>
      <c r="S53" s="214">
        <f>IF((AnnualExpenses[[#This Row],[Year (Range)]]&gt;=$C$8)*(AnnualExpenses[[#This Row],[Year (Range)]]&lt;=$C$10),AnnualExpenses[[#This Row],[Total Annual Rental Expenses]],NA())</f>
        <v>142059.2037916299</v>
      </c>
      <c r="T53" s="214">
        <f>IF((AnnualExpenses[[#This Row],[Year (Range)]]&gt;=$C$8)*(AnnualExpenses[[#This Row],[Year (Range)]]&lt;=$C$10),AnnualExpenses[[#This Row],[Total Annual Housing Expenses]],NA())</f>
        <v>42489.323061010058</v>
      </c>
      <c r="U53" s="214">
        <f>IF((AnnualExpenses[[#This Row],[Year (Range)]]&gt;=$C$8)*(AnnualExpenses[[#This Row],[Year (Range)]]&lt;=$C$10),AnnualExpenses[[#This Row],[Buying Average Monthly Cost]],NA())</f>
        <v>3540.776921750838</v>
      </c>
      <c r="V53" s="214">
        <f>IF((AnnualExpenses[[#This Row],[Year (Range)]]&gt;=$C$8)*(AnnualExpenses[[#This Row],[Year (Range)]]&lt;=$C$10),AnnualExpenses[[#This Row],[Renting Average Monthly Cost]],NA())</f>
        <v>11838.266982635825</v>
      </c>
      <c r="W53" s="4">
        <f>'Annual Amort. Sch.'!AL52</f>
        <v>0</v>
      </c>
      <c r="X53" s="4">
        <f>'Annual Amort. Sch.'!AM52</f>
        <v>42489.323061010058</v>
      </c>
      <c r="Y53" s="4">
        <f>(AnnualExpenses[[#This Row],[Total Annual Direct Housing Expenses]]+AnnualExpenses[[#This Row],[Total Annual Indirect Housing Expenses]])</f>
        <v>42489.323061010058</v>
      </c>
      <c r="Z53" s="4">
        <f>AnnualExpenses[[#This Row],[Total Annual Housing Expenses]]/12</f>
        <v>3540.776921750838</v>
      </c>
      <c r="AA53" s="164">
        <f t="shared" si="4"/>
        <v>142059.2037916299</v>
      </c>
      <c r="AB53" s="164">
        <f>AnnualExpenses[[#This Row],[Total Annual Rental Expenses]]/12</f>
        <v>11838.266982635825</v>
      </c>
      <c r="AC53" s="166"/>
      <c r="AD53" s="243">
        <v>36</v>
      </c>
      <c r="AE53" s="212">
        <f t="shared" si="2"/>
        <v>2057</v>
      </c>
      <c r="AF53" s="183">
        <f>IF(AnnualExpenses[[#This Row],[Total Annual Housing Expenses]]-AnnualExpenses[[#This Row],[Total Annual Rental Expenses]]&lt;0,AnnualExpenses[[#This Row],[Total Annual Rental Expenses]]-AnnualExpenses[[#This Row],[Total Annual Housing Expenses]],0)</f>
        <v>99569.880730619843</v>
      </c>
      <c r="AG53" s="183">
        <f>IF(AnnualExpenses[[#This Row],[Total Annual Housing Expenses]]-AnnualExpenses[[#This Row],[Total Annual Rental Expenses]]&gt;0,AnnualExpenses[[#This Row],[Total Annual Housing Expenses]]-AnnualExpenses[[#This Row],[Total Annual Rental Expenses]],0)</f>
        <v>0</v>
      </c>
    </row>
    <row r="54" spans="11:33" x14ac:dyDescent="0.25">
      <c r="K54" s="161">
        <v>37</v>
      </c>
      <c r="L54" s="161">
        <f t="shared" si="3"/>
        <v>2058</v>
      </c>
      <c r="M54" s="215">
        <f>IF(AnnualExpenses[[#This Row],[Calendar Year]]&gt;=$C$8,AnnualExpenses[[#This Row],[Calendar Year]],NA())</f>
        <v>2058</v>
      </c>
      <c r="N54" s="215">
        <f>IF((AnnualExpenses[[#This Row],[Calendar Year]]&gt;=$C$8)*(AnnualExpenses[[#This Row],[Calendar Year]]&lt;=$C$10),AnnualExpenses[[#This Row],[Calendar Year]],NA())</f>
        <v>2058</v>
      </c>
      <c r="O54" s="214">
        <f>IF((AnnualExpenses[[#This Row],[Year (Range)]]&gt;=$C$8)*(AnnualExpenses[[#This Row],[Year (Range)]]&lt;=$C$10),Table65[[#This Row],[Buy, Instead of Rent]],NA())</f>
        <v>103977.56919045474</v>
      </c>
      <c r="P54" s="214">
        <f>IF((AnnualExpenses[[#This Row],[Year (Range)]]&gt;=$C$8)*(AnnualExpenses[[#This Row],[Year (Range)]]&lt;=$C$10),Table65[[#This Row],[Rent, Instead of Buy]],NA())</f>
        <v>0</v>
      </c>
      <c r="Q54" s="214">
        <f>IF((AnnualExpenses[[#This Row],[Year (Range)]]&gt;=$C$8)*(AnnualExpenses[[#This Row],[Year (Range)]]&lt;=$C$10),AnnualExpenses[[#This Row],[Total Annual Direct Housing Expenses]],NA())</f>
        <v>0</v>
      </c>
      <c r="R54" s="214">
        <f>IF((AnnualExpenses[[#This Row],[Year (Range)]]&gt;=$C$8)*(AnnualExpenses[[#This Row],[Year (Range)]]&lt;=$C$10),AnnualExpenses[[#This Row],[Total Annual Indirect Housing Expenses]],NA())</f>
        <v>43764.002752840359</v>
      </c>
      <c r="S54" s="214">
        <f>IF((AnnualExpenses[[#This Row],[Year (Range)]]&gt;=$C$8)*(AnnualExpenses[[#This Row],[Year (Range)]]&lt;=$C$10),AnnualExpenses[[#This Row],[Total Annual Rental Expenses]],NA())</f>
        <v>147741.5719432951</v>
      </c>
      <c r="T54" s="214">
        <f>IF((AnnualExpenses[[#This Row],[Year (Range)]]&gt;=$C$8)*(AnnualExpenses[[#This Row],[Year (Range)]]&lt;=$C$10),AnnualExpenses[[#This Row],[Total Annual Housing Expenses]],NA())</f>
        <v>43764.002752840359</v>
      </c>
      <c r="U54" s="214">
        <f>IF((AnnualExpenses[[#This Row],[Year (Range)]]&gt;=$C$8)*(AnnualExpenses[[#This Row],[Year (Range)]]&lt;=$C$10),AnnualExpenses[[#This Row],[Buying Average Monthly Cost]],NA())</f>
        <v>3647.0002294033634</v>
      </c>
      <c r="V54" s="214">
        <f>IF((AnnualExpenses[[#This Row],[Year (Range)]]&gt;=$C$8)*(AnnualExpenses[[#This Row],[Year (Range)]]&lt;=$C$10),AnnualExpenses[[#This Row],[Renting Average Monthly Cost]],NA())</f>
        <v>12311.797661941258</v>
      </c>
      <c r="W54" s="4">
        <f>'Annual Amort. Sch.'!AL53</f>
        <v>0</v>
      </c>
      <c r="X54" s="4">
        <f>'Annual Amort. Sch.'!AM53</f>
        <v>43764.002752840359</v>
      </c>
      <c r="Y54" s="4">
        <f>(AnnualExpenses[[#This Row],[Total Annual Direct Housing Expenses]]+AnnualExpenses[[#This Row],[Total Annual Indirect Housing Expenses]])</f>
        <v>43764.002752840359</v>
      </c>
      <c r="Z54" s="4">
        <f>AnnualExpenses[[#This Row],[Total Annual Housing Expenses]]/12</f>
        <v>3647.0002294033634</v>
      </c>
      <c r="AA54" s="164">
        <f t="shared" si="4"/>
        <v>147741.5719432951</v>
      </c>
      <c r="AB54" s="164">
        <f>AnnualExpenses[[#This Row],[Total Annual Rental Expenses]]/12</f>
        <v>12311.797661941258</v>
      </c>
      <c r="AC54" s="166"/>
      <c r="AD54" s="243">
        <v>37</v>
      </c>
      <c r="AE54" s="212">
        <f t="shared" si="2"/>
        <v>2058</v>
      </c>
      <c r="AF54" s="183">
        <f>IF(AnnualExpenses[[#This Row],[Total Annual Housing Expenses]]-AnnualExpenses[[#This Row],[Total Annual Rental Expenses]]&lt;0,AnnualExpenses[[#This Row],[Total Annual Rental Expenses]]-AnnualExpenses[[#This Row],[Total Annual Housing Expenses]],0)</f>
        <v>103977.56919045474</v>
      </c>
      <c r="AG54" s="183">
        <f>IF(AnnualExpenses[[#This Row],[Total Annual Housing Expenses]]-AnnualExpenses[[#This Row],[Total Annual Rental Expenses]]&gt;0,AnnualExpenses[[#This Row],[Total Annual Housing Expenses]]-AnnualExpenses[[#This Row],[Total Annual Rental Expenses]],0)</f>
        <v>0</v>
      </c>
    </row>
    <row r="55" spans="11:33" x14ac:dyDescent="0.25">
      <c r="K55" s="161">
        <v>38</v>
      </c>
      <c r="L55" s="161">
        <f t="shared" si="3"/>
        <v>2059</v>
      </c>
      <c r="M55" s="215">
        <f>IF(AnnualExpenses[[#This Row],[Calendar Year]]&gt;=$C$8,AnnualExpenses[[#This Row],[Calendar Year]],NA())</f>
        <v>2059</v>
      </c>
      <c r="N55" s="215">
        <f>IF((AnnualExpenses[[#This Row],[Calendar Year]]&gt;=$C$8)*(AnnualExpenses[[#This Row],[Calendar Year]]&lt;=$C$10),AnnualExpenses[[#This Row],[Calendar Year]],NA())</f>
        <v>2059</v>
      </c>
      <c r="O55" s="214">
        <f>IF((AnnualExpenses[[#This Row],[Year (Range)]]&gt;=$C$8)*(AnnualExpenses[[#This Row],[Year (Range)]]&lt;=$C$10),Table65[[#This Row],[Buy, Instead of Rent]],NA())</f>
        <v>108574.31198560134</v>
      </c>
      <c r="P55" s="214">
        <f>IF((AnnualExpenses[[#This Row],[Year (Range)]]&gt;=$C$8)*(AnnualExpenses[[#This Row],[Year (Range)]]&lt;=$C$10),Table65[[#This Row],[Rent, Instead of Buy]],NA())</f>
        <v>0</v>
      </c>
      <c r="Q55" s="214">
        <f>IF((AnnualExpenses[[#This Row],[Year (Range)]]&gt;=$C$8)*(AnnualExpenses[[#This Row],[Year (Range)]]&lt;=$C$10),AnnualExpenses[[#This Row],[Total Annual Direct Housing Expenses]],NA())</f>
        <v>0</v>
      </c>
      <c r="R55" s="214">
        <f>IF((AnnualExpenses[[#This Row],[Year (Range)]]&gt;=$C$8)*(AnnualExpenses[[#This Row],[Year (Range)]]&lt;=$C$10),AnnualExpenses[[#This Row],[Total Annual Indirect Housing Expenses]],NA())</f>
        <v>45076.922835425576</v>
      </c>
      <c r="S55" s="214">
        <f>IF((AnnualExpenses[[#This Row],[Year (Range)]]&gt;=$C$8)*(AnnualExpenses[[#This Row],[Year (Range)]]&lt;=$C$10),AnnualExpenses[[#This Row],[Total Annual Rental Expenses]],NA())</f>
        <v>153651.23482102691</v>
      </c>
      <c r="T55" s="214">
        <f>IF((AnnualExpenses[[#This Row],[Year (Range)]]&gt;=$C$8)*(AnnualExpenses[[#This Row],[Year (Range)]]&lt;=$C$10),AnnualExpenses[[#This Row],[Total Annual Housing Expenses]],NA())</f>
        <v>45076.922835425576</v>
      </c>
      <c r="U55" s="214">
        <f>IF((AnnualExpenses[[#This Row],[Year (Range)]]&gt;=$C$8)*(AnnualExpenses[[#This Row],[Year (Range)]]&lt;=$C$10),AnnualExpenses[[#This Row],[Buying Average Monthly Cost]],NA())</f>
        <v>3756.4102362854646</v>
      </c>
      <c r="V55" s="214">
        <f>IF((AnnualExpenses[[#This Row],[Year (Range)]]&gt;=$C$8)*(AnnualExpenses[[#This Row],[Year (Range)]]&lt;=$C$10),AnnualExpenses[[#This Row],[Renting Average Monthly Cost]],NA())</f>
        <v>12804.269568418909</v>
      </c>
      <c r="W55" s="4">
        <f>'Annual Amort. Sch.'!AL54</f>
        <v>0</v>
      </c>
      <c r="X55" s="4">
        <f>'Annual Amort. Sch.'!AM54</f>
        <v>45076.922835425576</v>
      </c>
      <c r="Y55" s="4">
        <f>(AnnualExpenses[[#This Row],[Total Annual Direct Housing Expenses]]+AnnualExpenses[[#This Row],[Total Annual Indirect Housing Expenses]])</f>
        <v>45076.922835425576</v>
      </c>
      <c r="Z55" s="4">
        <f>AnnualExpenses[[#This Row],[Total Annual Housing Expenses]]/12</f>
        <v>3756.4102362854646</v>
      </c>
      <c r="AA55" s="164">
        <f t="shared" si="4"/>
        <v>153651.23482102691</v>
      </c>
      <c r="AB55" s="164">
        <f>AnnualExpenses[[#This Row],[Total Annual Rental Expenses]]/12</f>
        <v>12804.269568418909</v>
      </c>
      <c r="AC55" s="166"/>
      <c r="AD55" s="243">
        <v>38</v>
      </c>
      <c r="AE55" s="212">
        <f t="shared" si="2"/>
        <v>2059</v>
      </c>
      <c r="AF55" s="183">
        <f>IF(AnnualExpenses[[#This Row],[Total Annual Housing Expenses]]-AnnualExpenses[[#This Row],[Total Annual Rental Expenses]]&lt;0,AnnualExpenses[[#This Row],[Total Annual Rental Expenses]]-AnnualExpenses[[#This Row],[Total Annual Housing Expenses]],0)</f>
        <v>108574.31198560134</v>
      </c>
      <c r="AG55" s="183">
        <f>IF(AnnualExpenses[[#This Row],[Total Annual Housing Expenses]]-AnnualExpenses[[#This Row],[Total Annual Rental Expenses]]&gt;0,AnnualExpenses[[#This Row],[Total Annual Housing Expenses]]-AnnualExpenses[[#This Row],[Total Annual Rental Expenses]],0)</f>
        <v>0</v>
      </c>
    </row>
    <row r="56" spans="11:33" x14ac:dyDescent="0.25">
      <c r="K56" s="161">
        <v>39</v>
      </c>
      <c r="L56" s="161">
        <f t="shared" si="3"/>
        <v>2060</v>
      </c>
      <c r="M56" s="215">
        <f>IF(AnnualExpenses[[#This Row],[Calendar Year]]&gt;=$C$8,AnnualExpenses[[#This Row],[Calendar Year]],NA())</f>
        <v>2060</v>
      </c>
      <c r="N56" s="215">
        <f>IF((AnnualExpenses[[#This Row],[Calendar Year]]&gt;=$C$8)*(AnnualExpenses[[#This Row],[Calendar Year]]&lt;=$C$10),AnnualExpenses[[#This Row],[Calendar Year]],NA())</f>
        <v>2060</v>
      </c>
      <c r="O56" s="214">
        <f>IF((AnnualExpenses[[#This Row],[Year (Range)]]&gt;=$C$8)*(AnnualExpenses[[#This Row],[Year (Range)]]&lt;=$C$10),Table65[[#This Row],[Buy, Instead of Rent]],NA())</f>
        <v>113368.05369337965</v>
      </c>
      <c r="P56" s="214">
        <f>IF((AnnualExpenses[[#This Row],[Year (Range)]]&gt;=$C$8)*(AnnualExpenses[[#This Row],[Year (Range)]]&lt;=$C$10),Table65[[#This Row],[Rent, Instead of Buy]],NA())</f>
        <v>0</v>
      </c>
      <c r="Q56" s="214">
        <f>IF((AnnualExpenses[[#This Row],[Year (Range)]]&gt;=$C$8)*(AnnualExpenses[[#This Row],[Year (Range)]]&lt;=$C$10),AnnualExpenses[[#This Row],[Total Annual Direct Housing Expenses]],NA())</f>
        <v>0</v>
      </c>
      <c r="R56" s="214">
        <f>IF((AnnualExpenses[[#This Row],[Year (Range)]]&gt;=$C$8)*(AnnualExpenses[[#This Row],[Year (Range)]]&lt;=$C$10),AnnualExpenses[[#This Row],[Total Annual Indirect Housing Expenses]],NA())</f>
        <v>46429.230520488345</v>
      </c>
      <c r="S56" s="214">
        <f>IF((AnnualExpenses[[#This Row],[Year (Range)]]&gt;=$C$8)*(AnnualExpenses[[#This Row],[Year (Range)]]&lt;=$C$10),AnnualExpenses[[#This Row],[Total Annual Rental Expenses]],NA())</f>
        <v>159797.284213868</v>
      </c>
      <c r="T56" s="214">
        <f>IF((AnnualExpenses[[#This Row],[Year (Range)]]&gt;=$C$8)*(AnnualExpenses[[#This Row],[Year (Range)]]&lt;=$C$10),AnnualExpenses[[#This Row],[Total Annual Housing Expenses]],NA())</f>
        <v>46429.230520488345</v>
      </c>
      <c r="U56" s="214">
        <f>IF((AnnualExpenses[[#This Row],[Year (Range)]]&gt;=$C$8)*(AnnualExpenses[[#This Row],[Year (Range)]]&lt;=$C$10),AnnualExpenses[[#This Row],[Buying Average Monthly Cost]],NA())</f>
        <v>3869.1025433740288</v>
      </c>
      <c r="V56" s="214">
        <f>IF((AnnualExpenses[[#This Row],[Year (Range)]]&gt;=$C$8)*(AnnualExpenses[[#This Row],[Year (Range)]]&lt;=$C$10),AnnualExpenses[[#This Row],[Renting Average Monthly Cost]],NA())</f>
        <v>13316.440351155667</v>
      </c>
      <c r="W56" s="4">
        <f>'Annual Amort. Sch.'!AL55</f>
        <v>0</v>
      </c>
      <c r="X56" s="4">
        <f>'Annual Amort. Sch.'!AM55</f>
        <v>46429.230520488345</v>
      </c>
      <c r="Y56" s="4">
        <f>(AnnualExpenses[[#This Row],[Total Annual Direct Housing Expenses]]+AnnualExpenses[[#This Row],[Total Annual Indirect Housing Expenses]])</f>
        <v>46429.230520488345</v>
      </c>
      <c r="Z56" s="4">
        <f>AnnualExpenses[[#This Row],[Total Annual Housing Expenses]]/12</f>
        <v>3869.1025433740288</v>
      </c>
      <c r="AA56" s="164">
        <f t="shared" si="4"/>
        <v>159797.284213868</v>
      </c>
      <c r="AB56" s="164">
        <f>AnnualExpenses[[#This Row],[Total Annual Rental Expenses]]/12</f>
        <v>13316.440351155667</v>
      </c>
      <c r="AC56" s="166"/>
      <c r="AD56" s="243">
        <v>39</v>
      </c>
      <c r="AE56" s="212">
        <f t="shared" si="2"/>
        <v>2060</v>
      </c>
      <c r="AF56" s="183">
        <f>IF(AnnualExpenses[[#This Row],[Total Annual Housing Expenses]]-AnnualExpenses[[#This Row],[Total Annual Rental Expenses]]&lt;0,AnnualExpenses[[#This Row],[Total Annual Rental Expenses]]-AnnualExpenses[[#This Row],[Total Annual Housing Expenses]],0)</f>
        <v>113368.05369337965</v>
      </c>
      <c r="AG56" s="183">
        <f>IF(AnnualExpenses[[#This Row],[Total Annual Housing Expenses]]-AnnualExpenses[[#This Row],[Total Annual Rental Expenses]]&gt;0,AnnualExpenses[[#This Row],[Total Annual Housing Expenses]]-AnnualExpenses[[#This Row],[Total Annual Rental Expenses]],0)</f>
        <v>0</v>
      </c>
    </row>
    <row r="57" spans="11:33" x14ac:dyDescent="0.25">
      <c r="K57" s="161">
        <v>40</v>
      </c>
      <c r="L57" s="161">
        <f t="shared" si="3"/>
        <v>2061</v>
      </c>
      <c r="M57" s="215">
        <f>IF(AnnualExpenses[[#This Row],[Calendar Year]]&gt;=$C$8,AnnualExpenses[[#This Row],[Calendar Year]],NA())</f>
        <v>2061</v>
      </c>
      <c r="N57" s="215" t="e">
        <f>IF((AnnualExpenses[[#This Row],[Calendar Year]]&gt;=$C$8)*(AnnualExpenses[[#This Row],[Calendar Year]]&lt;=$C$10),AnnualExpenses[[#This Row],[Calendar Year]],NA())</f>
        <v>#N/A</v>
      </c>
      <c r="O57" s="214" t="e">
        <f>IF((AnnualExpenses[[#This Row],[Year (Range)]]&gt;=$C$8)*(AnnualExpenses[[#This Row],[Year (Range)]]&lt;=$C$10),Table65[[#This Row],[Buy, Instead of Rent]],NA())</f>
        <v>#N/A</v>
      </c>
      <c r="P57" s="214" t="e">
        <f>IF((AnnualExpenses[[#This Row],[Year (Range)]]&gt;=$C$8)*(AnnualExpenses[[#This Row],[Year (Range)]]&lt;=$C$10),Table65[[#This Row],[Rent, Instead of Buy]],NA())</f>
        <v>#N/A</v>
      </c>
      <c r="Q57" s="214" t="e">
        <f>IF((AnnualExpenses[[#This Row],[Year (Range)]]&gt;=$C$8)*(AnnualExpenses[[#This Row],[Year (Range)]]&lt;=$C$10),AnnualExpenses[[#This Row],[Total Annual Direct Housing Expenses]],NA())</f>
        <v>#N/A</v>
      </c>
      <c r="R57" s="214" t="e">
        <f>IF((AnnualExpenses[[#This Row],[Year (Range)]]&gt;=$C$8)*(AnnualExpenses[[#This Row],[Year (Range)]]&lt;=$C$10),AnnualExpenses[[#This Row],[Total Annual Indirect Housing Expenses]],NA())</f>
        <v>#N/A</v>
      </c>
      <c r="S57" s="214" t="e">
        <f>IF((AnnualExpenses[[#This Row],[Year (Range)]]&gt;=$C$8)*(AnnualExpenses[[#This Row],[Year (Range)]]&lt;=$C$10),AnnualExpenses[[#This Row],[Total Annual Rental Expenses]],NA())</f>
        <v>#N/A</v>
      </c>
      <c r="T57" s="214" t="e">
        <f>IF((AnnualExpenses[[#This Row],[Year (Range)]]&gt;=$C$8)*(AnnualExpenses[[#This Row],[Year (Range)]]&lt;=$C$10),AnnualExpenses[[#This Row],[Total Annual Housing Expenses]],NA())</f>
        <v>#N/A</v>
      </c>
      <c r="U57" s="214" t="e">
        <f>IF((AnnualExpenses[[#This Row],[Year (Range)]]&gt;=$C$8)*(AnnualExpenses[[#This Row],[Year (Range)]]&lt;=$C$10),AnnualExpenses[[#This Row],[Buying Average Monthly Cost]],NA())</f>
        <v>#N/A</v>
      </c>
      <c r="V57" s="214" t="e">
        <f>IF((AnnualExpenses[[#This Row],[Year (Range)]]&gt;=$C$8)*(AnnualExpenses[[#This Row],[Year (Range)]]&lt;=$C$10),AnnualExpenses[[#This Row],[Renting Average Monthly Cost]],NA())</f>
        <v>#N/A</v>
      </c>
      <c r="W57" s="4">
        <f>'Annual Amort. Sch.'!AL56</f>
        <v>0</v>
      </c>
      <c r="X57" s="4">
        <f>'Annual Amort. Sch.'!AM56</f>
        <v>47822.10743610299</v>
      </c>
      <c r="Y57" s="4">
        <f>(AnnualExpenses[[#This Row],[Total Annual Direct Housing Expenses]]+AnnualExpenses[[#This Row],[Total Annual Indirect Housing Expenses]])</f>
        <v>47822.10743610299</v>
      </c>
      <c r="Z57" s="4">
        <f>AnnualExpenses[[#This Row],[Total Annual Housing Expenses]]/12</f>
        <v>3985.175619675249</v>
      </c>
      <c r="AA57" s="164">
        <f t="shared" si="4"/>
        <v>166189.17558242273</v>
      </c>
      <c r="AB57" s="164">
        <f>AnnualExpenses[[#This Row],[Total Annual Rental Expenses]]/12</f>
        <v>13849.097965201894</v>
      </c>
      <c r="AC57" s="166"/>
      <c r="AD57" s="243">
        <v>40</v>
      </c>
      <c r="AE57" s="212">
        <f t="shared" si="2"/>
        <v>2061</v>
      </c>
      <c r="AF57" s="183">
        <f>IF(AnnualExpenses[[#This Row],[Total Annual Housing Expenses]]-AnnualExpenses[[#This Row],[Total Annual Rental Expenses]]&lt;0,AnnualExpenses[[#This Row],[Total Annual Rental Expenses]]-AnnualExpenses[[#This Row],[Total Annual Housing Expenses]],0)</f>
        <v>118367.06814631974</v>
      </c>
      <c r="AG57" s="183">
        <f>IF(AnnualExpenses[[#This Row],[Total Annual Housing Expenses]]-AnnualExpenses[[#This Row],[Total Annual Rental Expenses]]&gt;0,AnnualExpenses[[#This Row],[Total Annual Housing Expenses]]-AnnualExpenses[[#This Row],[Total Annual Rental Expenses]],0)</f>
        <v>0</v>
      </c>
    </row>
    <row r="58" spans="11:33" x14ac:dyDescent="0.25">
      <c r="K58" s="161">
        <v>41</v>
      </c>
      <c r="L58" s="161">
        <f t="shared" si="3"/>
        <v>2062</v>
      </c>
      <c r="M58" s="215">
        <f>IF(AnnualExpenses[[#This Row],[Calendar Year]]&gt;=$C$8,AnnualExpenses[[#This Row],[Calendar Year]],NA())</f>
        <v>2062</v>
      </c>
      <c r="N58" s="215" t="e">
        <f>IF((AnnualExpenses[[#This Row],[Calendar Year]]&gt;=$C$8)*(AnnualExpenses[[#This Row],[Calendar Year]]&lt;=$C$10),AnnualExpenses[[#This Row],[Calendar Year]],NA())</f>
        <v>#N/A</v>
      </c>
      <c r="O58" s="214" t="e">
        <f>IF((AnnualExpenses[[#This Row],[Year (Range)]]&gt;=$C$8)*(AnnualExpenses[[#This Row],[Year (Range)]]&lt;=$C$10),Table65[[#This Row],[Buy, Instead of Rent]],NA())</f>
        <v>#N/A</v>
      </c>
      <c r="P58" s="214" t="e">
        <f>IF((AnnualExpenses[[#This Row],[Year (Range)]]&gt;=$C$8)*(AnnualExpenses[[#This Row],[Year (Range)]]&lt;=$C$10),Table65[[#This Row],[Rent, Instead of Buy]],NA())</f>
        <v>#N/A</v>
      </c>
      <c r="Q58" s="214" t="e">
        <f>IF((AnnualExpenses[[#This Row],[Year (Range)]]&gt;=$C$8)*(AnnualExpenses[[#This Row],[Year (Range)]]&lt;=$C$10),AnnualExpenses[[#This Row],[Total Annual Direct Housing Expenses]],NA())</f>
        <v>#N/A</v>
      </c>
      <c r="R58" s="214" t="e">
        <f>IF((AnnualExpenses[[#This Row],[Year (Range)]]&gt;=$C$8)*(AnnualExpenses[[#This Row],[Year (Range)]]&lt;=$C$10),AnnualExpenses[[#This Row],[Total Annual Indirect Housing Expenses]],NA())</f>
        <v>#N/A</v>
      </c>
      <c r="S58" s="214" t="e">
        <f>IF((AnnualExpenses[[#This Row],[Year (Range)]]&gt;=$C$8)*(AnnualExpenses[[#This Row],[Year (Range)]]&lt;=$C$10),AnnualExpenses[[#This Row],[Total Annual Rental Expenses]],NA())</f>
        <v>#N/A</v>
      </c>
      <c r="T58" s="214" t="e">
        <f>IF((AnnualExpenses[[#This Row],[Year (Range)]]&gt;=$C$8)*(AnnualExpenses[[#This Row],[Year (Range)]]&lt;=$C$10),AnnualExpenses[[#This Row],[Total Annual Housing Expenses]],NA())</f>
        <v>#N/A</v>
      </c>
      <c r="U58" s="214" t="e">
        <f>IF((AnnualExpenses[[#This Row],[Year (Range)]]&gt;=$C$8)*(AnnualExpenses[[#This Row],[Year (Range)]]&lt;=$C$10),AnnualExpenses[[#This Row],[Buying Average Monthly Cost]],NA())</f>
        <v>#N/A</v>
      </c>
      <c r="V58" s="214" t="e">
        <f>IF((AnnualExpenses[[#This Row],[Year (Range)]]&gt;=$C$8)*(AnnualExpenses[[#This Row],[Year (Range)]]&lt;=$C$10),AnnualExpenses[[#This Row],[Renting Average Monthly Cost]],NA())</f>
        <v>#N/A</v>
      </c>
      <c r="W58" s="4">
        <f>'Annual Amort. Sch.'!AL57</f>
        <v>0</v>
      </c>
      <c r="X58" s="4">
        <f>'Annual Amort. Sch.'!AM57</f>
        <v>49256.770659186084</v>
      </c>
      <c r="Y58" s="4">
        <f>(AnnualExpenses[[#This Row],[Total Annual Direct Housing Expenses]]+AnnualExpenses[[#This Row],[Total Annual Indirect Housing Expenses]])</f>
        <v>49256.770659186084</v>
      </c>
      <c r="Z58" s="4">
        <f>AnnualExpenses[[#This Row],[Total Annual Housing Expenses]]/12</f>
        <v>4104.730888265507</v>
      </c>
      <c r="AA58" s="164">
        <f t="shared" si="4"/>
        <v>172836.74260571966</v>
      </c>
      <c r="AB58" s="164">
        <f>AnnualExpenses[[#This Row],[Total Annual Rental Expenses]]/12</f>
        <v>14403.061883809971</v>
      </c>
      <c r="AC58" s="166"/>
      <c r="AD58" s="243">
        <v>41</v>
      </c>
      <c r="AE58" s="212">
        <f t="shared" si="2"/>
        <v>2062</v>
      </c>
      <c r="AF58" s="183">
        <f>IF(AnnualExpenses[[#This Row],[Total Annual Housing Expenses]]-AnnualExpenses[[#This Row],[Total Annual Rental Expenses]]&lt;0,AnnualExpenses[[#This Row],[Total Annual Rental Expenses]]-AnnualExpenses[[#This Row],[Total Annual Housing Expenses]],0)</f>
        <v>123579.97194653357</v>
      </c>
      <c r="AG58" s="183">
        <f>IF(AnnualExpenses[[#This Row],[Total Annual Housing Expenses]]-AnnualExpenses[[#This Row],[Total Annual Rental Expenses]]&gt;0,AnnualExpenses[[#This Row],[Total Annual Housing Expenses]]-AnnualExpenses[[#This Row],[Total Annual Rental Expenses]],0)</f>
        <v>0</v>
      </c>
    </row>
    <row r="59" spans="11:33" x14ac:dyDescent="0.25">
      <c r="K59" s="161">
        <v>42</v>
      </c>
      <c r="L59" s="161">
        <f t="shared" si="3"/>
        <v>2063</v>
      </c>
      <c r="M59" s="215">
        <f>IF(AnnualExpenses[[#This Row],[Calendar Year]]&gt;=$C$8,AnnualExpenses[[#This Row],[Calendar Year]],NA())</f>
        <v>2063</v>
      </c>
      <c r="N59" s="215" t="e">
        <f>IF((AnnualExpenses[[#This Row],[Calendar Year]]&gt;=$C$8)*(AnnualExpenses[[#This Row],[Calendar Year]]&lt;=$C$10),AnnualExpenses[[#This Row],[Calendar Year]],NA())</f>
        <v>#N/A</v>
      </c>
      <c r="O59" s="214" t="e">
        <f>IF((AnnualExpenses[[#This Row],[Year (Range)]]&gt;=$C$8)*(AnnualExpenses[[#This Row],[Year (Range)]]&lt;=$C$10),Table65[[#This Row],[Buy, Instead of Rent]],NA())</f>
        <v>#N/A</v>
      </c>
      <c r="P59" s="214" t="e">
        <f>IF((AnnualExpenses[[#This Row],[Year (Range)]]&gt;=$C$8)*(AnnualExpenses[[#This Row],[Year (Range)]]&lt;=$C$10),Table65[[#This Row],[Rent, Instead of Buy]],NA())</f>
        <v>#N/A</v>
      </c>
      <c r="Q59" s="214" t="e">
        <f>IF((AnnualExpenses[[#This Row],[Year (Range)]]&gt;=$C$8)*(AnnualExpenses[[#This Row],[Year (Range)]]&lt;=$C$10),AnnualExpenses[[#This Row],[Total Annual Direct Housing Expenses]],NA())</f>
        <v>#N/A</v>
      </c>
      <c r="R59" s="214" t="e">
        <f>IF((AnnualExpenses[[#This Row],[Year (Range)]]&gt;=$C$8)*(AnnualExpenses[[#This Row],[Year (Range)]]&lt;=$C$10),AnnualExpenses[[#This Row],[Total Annual Indirect Housing Expenses]],NA())</f>
        <v>#N/A</v>
      </c>
      <c r="S59" s="214" t="e">
        <f>IF((AnnualExpenses[[#This Row],[Year (Range)]]&gt;=$C$8)*(AnnualExpenses[[#This Row],[Year (Range)]]&lt;=$C$10),AnnualExpenses[[#This Row],[Total Annual Rental Expenses]],NA())</f>
        <v>#N/A</v>
      </c>
      <c r="T59" s="214" t="e">
        <f>IF((AnnualExpenses[[#This Row],[Year (Range)]]&gt;=$C$8)*(AnnualExpenses[[#This Row],[Year (Range)]]&lt;=$C$10),AnnualExpenses[[#This Row],[Total Annual Housing Expenses]],NA())</f>
        <v>#N/A</v>
      </c>
      <c r="U59" s="214" t="e">
        <f>IF((AnnualExpenses[[#This Row],[Year (Range)]]&gt;=$C$8)*(AnnualExpenses[[#This Row],[Year (Range)]]&lt;=$C$10),AnnualExpenses[[#This Row],[Buying Average Monthly Cost]],NA())</f>
        <v>#N/A</v>
      </c>
      <c r="V59" s="214" t="e">
        <f>IF((AnnualExpenses[[#This Row],[Year (Range)]]&gt;=$C$8)*(AnnualExpenses[[#This Row],[Year (Range)]]&lt;=$C$10),AnnualExpenses[[#This Row],[Renting Average Monthly Cost]],NA())</f>
        <v>#N/A</v>
      </c>
      <c r="W59" s="4">
        <f>'Annual Amort. Sch.'!AL58</f>
        <v>0</v>
      </c>
      <c r="X59" s="4">
        <f>'Annual Amort. Sch.'!AM58</f>
        <v>50734.473778961663</v>
      </c>
      <c r="Y59" s="4">
        <f>(AnnualExpenses[[#This Row],[Total Annual Direct Housing Expenses]]+AnnualExpenses[[#This Row],[Total Annual Indirect Housing Expenses]])</f>
        <v>50734.473778961663</v>
      </c>
      <c r="Z59" s="4">
        <f>AnnualExpenses[[#This Row],[Total Annual Housing Expenses]]/12</f>
        <v>4227.8728149134722</v>
      </c>
      <c r="AA59" s="164">
        <f t="shared" si="4"/>
        <v>179750.21230994846</v>
      </c>
      <c r="AB59" s="164">
        <f>AnnualExpenses[[#This Row],[Total Annual Rental Expenses]]/12</f>
        <v>14979.184359162371</v>
      </c>
      <c r="AC59" s="166"/>
      <c r="AD59" s="243">
        <v>42</v>
      </c>
      <c r="AE59" s="212">
        <f t="shared" si="2"/>
        <v>2063</v>
      </c>
      <c r="AF59" s="183">
        <f>IF(AnnualExpenses[[#This Row],[Total Annual Housing Expenses]]-AnnualExpenses[[#This Row],[Total Annual Rental Expenses]]&lt;0,AnnualExpenses[[#This Row],[Total Annual Rental Expenses]]-AnnualExpenses[[#This Row],[Total Annual Housing Expenses]],0)</f>
        <v>129015.7385309868</v>
      </c>
      <c r="AG59" s="183">
        <f>IF(AnnualExpenses[[#This Row],[Total Annual Housing Expenses]]-AnnualExpenses[[#This Row],[Total Annual Rental Expenses]]&gt;0,AnnualExpenses[[#This Row],[Total Annual Housing Expenses]]-AnnualExpenses[[#This Row],[Total Annual Rental Expenses]],0)</f>
        <v>0</v>
      </c>
    </row>
    <row r="60" spans="11:33" x14ac:dyDescent="0.25">
      <c r="K60" s="161">
        <v>43</v>
      </c>
      <c r="L60" s="161">
        <f t="shared" si="3"/>
        <v>2064</v>
      </c>
      <c r="M60" s="215">
        <f>IF(AnnualExpenses[[#This Row],[Calendar Year]]&gt;=$C$8,AnnualExpenses[[#This Row],[Calendar Year]],NA())</f>
        <v>2064</v>
      </c>
      <c r="N60" s="215" t="e">
        <f>IF((AnnualExpenses[[#This Row],[Calendar Year]]&gt;=$C$8)*(AnnualExpenses[[#This Row],[Calendar Year]]&lt;=$C$10),AnnualExpenses[[#This Row],[Calendar Year]],NA())</f>
        <v>#N/A</v>
      </c>
      <c r="O60" s="214" t="e">
        <f>IF((AnnualExpenses[[#This Row],[Year (Range)]]&gt;=$C$8)*(AnnualExpenses[[#This Row],[Year (Range)]]&lt;=$C$10),Table65[[#This Row],[Buy, Instead of Rent]],NA())</f>
        <v>#N/A</v>
      </c>
      <c r="P60" s="214" t="e">
        <f>IF((AnnualExpenses[[#This Row],[Year (Range)]]&gt;=$C$8)*(AnnualExpenses[[#This Row],[Year (Range)]]&lt;=$C$10),Table65[[#This Row],[Rent, Instead of Buy]],NA())</f>
        <v>#N/A</v>
      </c>
      <c r="Q60" s="214" t="e">
        <f>IF((AnnualExpenses[[#This Row],[Year (Range)]]&gt;=$C$8)*(AnnualExpenses[[#This Row],[Year (Range)]]&lt;=$C$10),AnnualExpenses[[#This Row],[Total Annual Direct Housing Expenses]],NA())</f>
        <v>#N/A</v>
      </c>
      <c r="R60" s="214" t="e">
        <f>IF((AnnualExpenses[[#This Row],[Year (Range)]]&gt;=$C$8)*(AnnualExpenses[[#This Row],[Year (Range)]]&lt;=$C$10),AnnualExpenses[[#This Row],[Total Annual Indirect Housing Expenses]],NA())</f>
        <v>#N/A</v>
      </c>
      <c r="S60" s="214" t="e">
        <f>IF((AnnualExpenses[[#This Row],[Year (Range)]]&gt;=$C$8)*(AnnualExpenses[[#This Row],[Year (Range)]]&lt;=$C$10),AnnualExpenses[[#This Row],[Total Annual Rental Expenses]],NA())</f>
        <v>#N/A</v>
      </c>
      <c r="T60" s="214" t="e">
        <f>IF((AnnualExpenses[[#This Row],[Year (Range)]]&gt;=$C$8)*(AnnualExpenses[[#This Row],[Year (Range)]]&lt;=$C$10),AnnualExpenses[[#This Row],[Total Annual Housing Expenses]],NA())</f>
        <v>#N/A</v>
      </c>
      <c r="U60" s="214" t="e">
        <f>IF((AnnualExpenses[[#This Row],[Year (Range)]]&gt;=$C$8)*(AnnualExpenses[[#This Row],[Year (Range)]]&lt;=$C$10),AnnualExpenses[[#This Row],[Buying Average Monthly Cost]],NA())</f>
        <v>#N/A</v>
      </c>
      <c r="V60" s="214" t="e">
        <f>IF((AnnualExpenses[[#This Row],[Year (Range)]]&gt;=$C$8)*(AnnualExpenses[[#This Row],[Year (Range)]]&lt;=$C$10),AnnualExpenses[[#This Row],[Renting Average Monthly Cost]],NA())</f>
        <v>#N/A</v>
      </c>
      <c r="W60" s="4">
        <f>'Annual Amort. Sch.'!AL59</f>
        <v>0</v>
      </c>
      <c r="X60" s="4">
        <f>'Annual Amort. Sch.'!AM59</f>
        <v>52256.507992330517</v>
      </c>
      <c r="Y60" s="4">
        <f>(AnnualExpenses[[#This Row],[Total Annual Direct Housing Expenses]]+AnnualExpenses[[#This Row],[Total Annual Indirect Housing Expenses]])</f>
        <v>52256.507992330517</v>
      </c>
      <c r="Z60" s="4">
        <f>AnnualExpenses[[#This Row],[Total Annual Housing Expenses]]/12</f>
        <v>4354.7089993608761</v>
      </c>
      <c r="AA60" s="164">
        <f t="shared" si="4"/>
        <v>186940.22080234639</v>
      </c>
      <c r="AB60" s="164">
        <f>AnnualExpenses[[#This Row],[Total Annual Rental Expenses]]/12</f>
        <v>15578.351733528865</v>
      </c>
      <c r="AC60" s="166"/>
      <c r="AD60" s="243">
        <v>43</v>
      </c>
      <c r="AE60" s="212">
        <f t="shared" si="2"/>
        <v>2064</v>
      </c>
      <c r="AF60" s="183">
        <f>IF(AnnualExpenses[[#This Row],[Total Annual Housing Expenses]]-AnnualExpenses[[#This Row],[Total Annual Rental Expenses]]&lt;0,AnnualExpenses[[#This Row],[Total Annual Rental Expenses]]-AnnualExpenses[[#This Row],[Total Annual Housing Expenses]],0)</f>
        <v>134683.71281001589</v>
      </c>
      <c r="AG60" s="183">
        <f>IF(AnnualExpenses[[#This Row],[Total Annual Housing Expenses]]-AnnualExpenses[[#This Row],[Total Annual Rental Expenses]]&gt;0,AnnualExpenses[[#This Row],[Total Annual Housing Expenses]]-AnnualExpenses[[#This Row],[Total Annual Rental Expenses]],0)</f>
        <v>0</v>
      </c>
    </row>
    <row r="61" spans="11:33" x14ac:dyDescent="0.25">
      <c r="K61" s="161">
        <v>44</v>
      </c>
      <c r="L61" s="161">
        <f t="shared" si="3"/>
        <v>2065</v>
      </c>
      <c r="M61" s="215">
        <f>IF(AnnualExpenses[[#This Row],[Calendar Year]]&gt;=$C$8,AnnualExpenses[[#This Row],[Calendar Year]],NA())</f>
        <v>2065</v>
      </c>
      <c r="N61" s="215" t="e">
        <f>IF((AnnualExpenses[[#This Row],[Calendar Year]]&gt;=$C$8)*(AnnualExpenses[[#This Row],[Calendar Year]]&lt;=$C$10),AnnualExpenses[[#This Row],[Calendar Year]],NA())</f>
        <v>#N/A</v>
      </c>
      <c r="O61" s="214" t="e">
        <f>IF((AnnualExpenses[[#This Row],[Year (Range)]]&gt;=$C$8)*(AnnualExpenses[[#This Row],[Year (Range)]]&lt;=$C$10),Table65[[#This Row],[Buy, Instead of Rent]],NA())</f>
        <v>#N/A</v>
      </c>
      <c r="P61" s="214" t="e">
        <f>IF((AnnualExpenses[[#This Row],[Year (Range)]]&gt;=$C$8)*(AnnualExpenses[[#This Row],[Year (Range)]]&lt;=$C$10),Table65[[#This Row],[Rent, Instead of Buy]],NA())</f>
        <v>#N/A</v>
      </c>
      <c r="Q61" s="214" t="e">
        <f>IF((AnnualExpenses[[#This Row],[Year (Range)]]&gt;=$C$8)*(AnnualExpenses[[#This Row],[Year (Range)]]&lt;=$C$10),AnnualExpenses[[#This Row],[Total Annual Direct Housing Expenses]],NA())</f>
        <v>#N/A</v>
      </c>
      <c r="R61" s="214" t="e">
        <f>IF((AnnualExpenses[[#This Row],[Year (Range)]]&gt;=$C$8)*(AnnualExpenses[[#This Row],[Year (Range)]]&lt;=$C$10),AnnualExpenses[[#This Row],[Total Annual Indirect Housing Expenses]],NA())</f>
        <v>#N/A</v>
      </c>
      <c r="S61" s="214" t="e">
        <f>IF((AnnualExpenses[[#This Row],[Year (Range)]]&gt;=$C$8)*(AnnualExpenses[[#This Row],[Year (Range)]]&lt;=$C$10),AnnualExpenses[[#This Row],[Total Annual Rental Expenses]],NA())</f>
        <v>#N/A</v>
      </c>
      <c r="T61" s="214" t="e">
        <f>IF((AnnualExpenses[[#This Row],[Year (Range)]]&gt;=$C$8)*(AnnualExpenses[[#This Row],[Year (Range)]]&lt;=$C$10),AnnualExpenses[[#This Row],[Total Annual Housing Expenses]],NA())</f>
        <v>#N/A</v>
      </c>
      <c r="U61" s="214" t="e">
        <f>IF((AnnualExpenses[[#This Row],[Year (Range)]]&gt;=$C$8)*(AnnualExpenses[[#This Row],[Year (Range)]]&lt;=$C$10),AnnualExpenses[[#This Row],[Buying Average Monthly Cost]],NA())</f>
        <v>#N/A</v>
      </c>
      <c r="V61" s="214" t="e">
        <f>IF((AnnualExpenses[[#This Row],[Year (Range)]]&gt;=$C$8)*(AnnualExpenses[[#This Row],[Year (Range)]]&lt;=$C$10),AnnualExpenses[[#This Row],[Renting Average Monthly Cost]],NA())</f>
        <v>#N/A</v>
      </c>
      <c r="W61" s="4">
        <f>'Annual Amort. Sch.'!AL60</f>
        <v>0</v>
      </c>
      <c r="X61" s="4">
        <f>'Annual Amort. Sch.'!AM60</f>
        <v>53824.203232100437</v>
      </c>
      <c r="Y61" s="4">
        <f>(AnnualExpenses[[#This Row],[Total Annual Direct Housing Expenses]]+AnnualExpenses[[#This Row],[Total Annual Indirect Housing Expenses]])</f>
        <v>53824.203232100437</v>
      </c>
      <c r="Z61" s="4">
        <f>AnnualExpenses[[#This Row],[Total Annual Housing Expenses]]/12</f>
        <v>4485.3502693417031</v>
      </c>
      <c r="AA61" s="164">
        <f t="shared" si="4"/>
        <v>194417.82963444025</v>
      </c>
      <c r="AB61" s="164">
        <f>AnnualExpenses[[#This Row],[Total Annual Rental Expenses]]/12</f>
        <v>16201.48580287002</v>
      </c>
      <c r="AC61" s="166"/>
      <c r="AD61" s="243">
        <v>44</v>
      </c>
      <c r="AE61" s="212">
        <f t="shared" si="2"/>
        <v>2065</v>
      </c>
      <c r="AF61" s="183">
        <f>IF(AnnualExpenses[[#This Row],[Total Annual Housing Expenses]]-AnnualExpenses[[#This Row],[Total Annual Rental Expenses]]&lt;0,AnnualExpenses[[#This Row],[Total Annual Rental Expenses]]-AnnualExpenses[[#This Row],[Total Annual Housing Expenses]],0)</f>
        <v>140593.62640233981</v>
      </c>
      <c r="AG61" s="183">
        <f>IF(AnnualExpenses[[#This Row],[Total Annual Housing Expenses]]-AnnualExpenses[[#This Row],[Total Annual Rental Expenses]]&gt;0,AnnualExpenses[[#This Row],[Total Annual Housing Expenses]]-AnnualExpenses[[#This Row],[Total Annual Rental Expenses]],0)</f>
        <v>0</v>
      </c>
    </row>
    <row r="62" spans="11:33" x14ac:dyDescent="0.25">
      <c r="K62" s="161">
        <v>45</v>
      </c>
      <c r="L62" s="161">
        <f t="shared" si="3"/>
        <v>2066</v>
      </c>
      <c r="M62" s="215">
        <f>IF(AnnualExpenses[[#This Row],[Calendar Year]]&gt;=$C$8,AnnualExpenses[[#This Row],[Calendar Year]],NA())</f>
        <v>2066</v>
      </c>
      <c r="N62" s="215" t="e">
        <f>IF((AnnualExpenses[[#This Row],[Calendar Year]]&gt;=$C$8)*(AnnualExpenses[[#This Row],[Calendar Year]]&lt;=$C$10),AnnualExpenses[[#This Row],[Calendar Year]],NA())</f>
        <v>#N/A</v>
      </c>
      <c r="O62" s="214" t="e">
        <f>IF((AnnualExpenses[[#This Row],[Year (Range)]]&gt;=$C$8)*(AnnualExpenses[[#This Row],[Year (Range)]]&lt;=$C$10),Table65[[#This Row],[Buy, Instead of Rent]],NA())</f>
        <v>#N/A</v>
      </c>
      <c r="P62" s="214" t="e">
        <f>IF((AnnualExpenses[[#This Row],[Year (Range)]]&gt;=$C$8)*(AnnualExpenses[[#This Row],[Year (Range)]]&lt;=$C$10),Table65[[#This Row],[Rent, Instead of Buy]],NA())</f>
        <v>#N/A</v>
      </c>
      <c r="Q62" s="214" t="e">
        <f>IF((AnnualExpenses[[#This Row],[Year (Range)]]&gt;=$C$8)*(AnnualExpenses[[#This Row],[Year (Range)]]&lt;=$C$10),AnnualExpenses[[#This Row],[Total Annual Direct Housing Expenses]],NA())</f>
        <v>#N/A</v>
      </c>
      <c r="R62" s="214" t="e">
        <f>IF((AnnualExpenses[[#This Row],[Year (Range)]]&gt;=$C$8)*(AnnualExpenses[[#This Row],[Year (Range)]]&lt;=$C$10),AnnualExpenses[[#This Row],[Total Annual Indirect Housing Expenses]],NA())</f>
        <v>#N/A</v>
      </c>
      <c r="S62" s="214" t="e">
        <f>IF((AnnualExpenses[[#This Row],[Year (Range)]]&gt;=$C$8)*(AnnualExpenses[[#This Row],[Year (Range)]]&lt;=$C$10),AnnualExpenses[[#This Row],[Total Annual Rental Expenses]],NA())</f>
        <v>#N/A</v>
      </c>
      <c r="T62" s="214" t="e">
        <f>IF((AnnualExpenses[[#This Row],[Year (Range)]]&gt;=$C$8)*(AnnualExpenses[[#This Row],[Year (Range)]]&lt;=$C$10),AnnualExpenses[[#This Row],[Total Annual Housing Expenses]],NA())</f>
        <v>#N/A</v>
      </c>
      <c r="U62" s="214" t="e">
        <f>IF((AnnualExpenses[[#This Row],[Year (Range)]]&gt;=$C$8)*(AnnualExpenses[[#This Row],[Year (Range)]]&lt;=$C$10),AnnualExpenses[[#This Row],[Buying Average Monthly Cost]],NA())</f>
        <v>#N/A</v>
      </c>
      <c r="V62" s="214" t="e">
        <f>IF((AnnualExpenses[[#This Row],[Year (Range)]]&gt;=$C$8)*(AnnualExpenses[[#This Row],[Year (Range)]]&lt;=$C$10),AnnualExpenses[[#This Row],[Renting Average Monthly Cost]],NA())</f>
        <v>#N/A</v>
      </c>
      <c r="W62" s="4">
        <f>'Annual Amort. Sch.'!AL61</f>
        <v>0</v>
      </c>
      <c r="X62" s="4">
        <f>'Annual Amort. Sch.'!AM61</f>
        <v>55438.929329063452</v>
      </c>
      <c r="Y62" s="4">
        <f>(AnnualExpenses[[#This Row],[Total Annual Direct Housing Expenses]]+AnnualExpenses[[#This Row],[Total Annual Indirect Housing Expenses]])</f>
        <v>55438.929329063452</v>
      </c>
      <c r="Z62" s="4">
        <f>AnnualExpenses[[#This Row],[Total Annual Housing Expenses]]/12</f>
        <v>4619.9107774219547</v>
      </c>
      <c r="AA62" s="164">
        <f t="shared" si="4"/>
        <v>202194.54281981787</v>
      </c>
      <c r="AB62" s="164">
        <f>AnnualExpenses[[#This Row],[Total Annual Rental Expenses]]/12</f>
        <v>16849.545234984824</v>
      </c>
      <c r="AC62" s="166"/>
      <c r="AD62" s="243">
        <v>45</v>
      </c>
      <c r="AE62" s="212">
        <f t="shared" si="2"/>
        <v>2066</v>
      </c>
      <c r="AF62" s="183">
        <f>IF(AnnualExpenses[[#This Row],[Total Annual Housing Expenses]]-AnnualExpenses[[#This Row],[Total Annual Rental Expenses]]&lt;0,AnnualExpenses[[#This Row],[Total Annual Rental Expenses]]-AnnualExpenses[[#This Row],[Total Annual Housing Expenses]],0)</f>
        <v>146755.61349075442</v>
      </c>
      <c r="AG62" s="183">
        <f>IF(AnnualExpenses[[#This Row],[Total Annual Housing Expenses]]-AnnualExpenses[[#This Row],[Total Annual Rental Expenses]]&gt;0,AnnualExpenses[[#This Row],[Total Annual Housing Expenses]]-AnnualExpenses[[#This Row],[Total Annual Rental Expenses]],0)</f>
        <v>0</v>
      </c>
    </row>
    <row r="63" spans="11:33" x14ac:dyDescent="0.25">
      <c r="K63" s="161">
        <v>46</v>
      </c>
      <c r="L63" s="161">
        <f t="shared" si="3"/>
        <v>2067</v>
      </c>
      <c r="M63" s="215">
        <f>IF(AnnualExpenses[[#This Row],[Calendar Year]]&gt;=$C$8,AnnualExpenses[[#This Row],[Calendar Year]],NA())</f>
        <v>2067</v>
      </c>
      <c r="N63" s="215" t="e">
        <f>IF((AnnualExpenses[[#This Row],[Calendar Year]]&gt;=$C$8)*(AnnualExpenses[[#This Row],[Calendar Year]]&lt;=$C$10),AnnualExpenses[[#This Row],[Calendar Year]],NA())</f>
        <v>#N/A</v>
      </c>
      <c r="O63" s="214" t="e">
        <f>IF((AnnualExpenses[[#This Row],[Year (Range)]]&gt;=$C$8)*(AnnualExpenses[[#This Row],[Year (Range)]]&lt;=$C$10),Table65[[#This Row],[Buy, Instead of Rent]],NA())</f>
        <v>#N/A</v>
      </c>
      <c r="P63" s="214" t="e">
        <f>IF((AnnualExpenses[[#This Row],[Year (Range)]]&gt;=$C$8)*(AnnualExpenses[[#This Row],[Year (Range)]]&lt;=$C$10),Table65[[#This Row],[Rent, Instead of Buy]],NA())</f>
        <v>#N/A</v>
      </c>
      <c r="Q63" s="214" t="e">
        <f>IF((AnnualExpenses[[#This Row],[Year (Range)]]&gt;=$C$8)*(AnnualExpenses[[#This Row],[Year (Range)]]&lt;=$C$10),AnnualExpenses[[#This Row],[Total Annual Direct Housing Expenses]],NA())</f>
        <v>#N/A</v>
      </c>
      <c r="R63" s="214" t="e">
        <f>IF((AnnualExpenses[[#This Row],[Year (Range)]]&gt;=$C$8)*(AnnualExpenses[[#This Row],[Year (Range)]]&lt;=$C$10),AnnualExpenses[[#This Row],[Total Annual Indirect Housing Expenses]],NA())</f>
        <v>#N/A</v>
      </c>
      <c r="S63" s="214" t="e">
        <f>IF((AnnualExpenses[[#This Row],[Year (Range)]]&gt;=$C$8)*(AnnualExpenses[[#This Row],[Year (Range)]]&lt;=$C$10),AnnualExpenses[[#This Row],[Total Annual Rental Expenses]],NA())</f>
        <v>#N/A</v>
      </c>
      <c r="T63" s="214" t="e">
        <f>IF((AnnualExpenses[[#This Row],[Year (Range)]]&gt;=$C$8)*(AnnualExpenses[[#This Row],[Year (Range)]]&lt;=$C$10),AnnualExpenses[[#This Row],[Total Annual Housing Expenses]],NA())</f>
        <v>#N/A</v>
      </c>
      <c r="U63" s="214" t="e">
        <f>IF((AnnualExpenses[[#This Row],[Year (Range)]]&gt;=$C$8)*(AnnualExpenses[[#This Row],[Year (Range)]]&lt;=$C$10),AnnualExpenses[[#This Row],[Buying Average Monthly Cost]],NA())</f>
        <v>#N/A</v>
      </c>
      <c r="V63" s="214" t="e">
        <f>IF((AnnualExpenses[[#This Row],[Year (Range)]]&gt;=$C$8)*(AnnualExpenses[[#This Row],[Year (Range)]]&lt;=$C$10),AnnualExpenses[[#This Row],[Renting Average Monthly Cost]],NA())</f>
        <v>#N/A</v>
      </c>
      <c r="W63" s="4">
        <f>'Annual Amort. Sch.'!AL62</f>
        <v>0</v>
      </c>
      <c r="X63" s="4">
        <f>'Annual Amort. Sch.'!AM62</f>
        <v>57102.09720893536</v>
      </c>
      <c r="Y63" s="4">
        <f>(AnnualExpenses[[#This Row],[Total Annual Direct Housing Expenses]]+AnnualExpenses[[#This Row],[Total Annual Indirect Housing Expenses]])</f>
        <v>57102.09720893536</v>
      </c>
      <c r="Z63" s="4">
        <f>AnnualExpenses[[#This Row],[Total Annual Housing Expenses]]/12</f>
        <v>4758.5081007446133</v>
      </c>
      <c r="AA63" s="164">
        <f t="shared" si="4"/>
        <v>210282.3245326106</v>
      </c>
      <c r="AB63" s="164">
        <f>AnnualExpenses[[#This Row],[Total Annual Rental Expenses]]/12</f>
        <v>17523.527044384216</v>
      </c>
      <c r="AC63" s="166"/>
      <c r="AD63" s="243">
        <v>46</v>
      </c>
      <c r="AE63" s="212">
        <f t="shared" si="2"/>
        <v>2067</v>
      </c>
      <c r="AF63" s="183">
        <f>IF(AnnualExpenses[[#This Row],[Total Annual Housing Expenses]]-AnnualExpenses[[#This Row],[Total Annual Rental Expenses]]&lt;0,AnnualExpenses[[#This Row],[Total Annual Rental Expenses]]-AnnualExpenses[[#This Row],[Total Annual Housing Expenses]],0)</f>
        <v>153180.22732367524</v>
      </c>
      <c r="AG63" s="183">
        <f>IF(AnnualExpenses[[#This Row],[Total Annual Housing Expenses]]-AnnualExpenses[[#This Row],[Total Annual Rental Expenses]]&gt;0,AnnualExpenses[[#This Row],[Total Annual Housing Expenses]]-AnnualExpenses[[#This Row],[Total Annual Rental Expenses]],0)</f>
        <v>0</v>
      </c>
    </row>
    <row r="64" spans="11:33" x14ac:dyDescent="0.25">
      <c r="K64" s="161">
        <v>47</v>
      </c>
      <c r="L64" s="161">
        <f t="shared" si="3"/>
        <v>2068</v>
      </c>
      <c r="M64" s="215">
        <f>IF(AnnualExpenses[[#This Row],[Calendar Year]]&gt;=$C$8,AnnualExpenses[[#This Row],[Calendar Year]],NA())</f>
        <v>2068</v>
      </c>
      <c r="N64" s="215" t="e">
        <f>IF((AnnualExpenses[[#This Row],[Calendar Year]]&gt;=$C$8)*(AnnualExpenses[[#This Row],[Calendar Year]]&lt;=$C$10),AnnualExpenses[[#This Row],[Calendar Year]],NA())</f>
        <v>#N/A</v>
      </c>
      <c r="O64" s="214" t="e">
        <f>IF((AnnualExpenses[[#This Row],[Year (Range)]]&gt;=$C$8)*(AnnualExpenses[[#This Row],[Year (Range)]]&lt;=$C$10),Table65[[#This Row],[Buy, Instead of Rent]],NA())</f>
        <v>#N/A</v>
      </c>
      <c r="P64" s="214" t="e">
        <f>IF((AnnualExpenses[[#This Row],[Year (Range)]]&gt;=$C$8)*(AnnualExpenses[[#This Row],[Year (Range)]]&lt;=$C$10),Table65[[#This Row],[Rent, Instead of Buy]],NA())</f>
        <v>#N/A</v>
      </c>
      <c r="Q64" s="214" t="e">
        <f>IF((AnnualExpenses[[#This Row],[Year (Range)]]&gt;=$C$8)*(AnnualExpenses[[#This Row],[Year (Range)]]&lt;=$C$10),AnnualExpenses[[#This Row],[Total Annual Direct Housing Expenses]],NA())</f>
        <v>#N/A</v>
      </c>
      <c r="R64" s="214" t="e">
        <f>IF((AnnualExpenses[[#This Row],[Year (Range)]]&gt;=$C$8)*(AnnualExpenses[[#This Row],[Year (Range)]]&lt;=$C$10),AnnualExpenses[[#This Row],[Total Annual Indirect Housing Expenses]],NA())</f>
        <v>#N/A</v>
      </c>
      <c r="S64" s="214" t="e">
        <f>IF((AnnualExpenses[[#This Row],[Year (Range)]]&gt;=$C$8)*(AnnualExpenses[[#This Row],[Year (Range)]]&lt;=$C$10),AnnualExpenses[[#This Row],[Total Annual Rental Expenses]],NA())</f>
        <v>#N/A</v>
      </c>
      <c r="T64" s="214" t="e">
        <f>IF((AnnualExpenses[[#This Row],[Year (Range)]]&gt;=$C$8)*(AnnualExpenses[[#This Row],[Year (Range)]]&lt;=$C$10),AnnualExpenses[[#This Row],[Total Annual Housing Expenses]],NA())</f>
        <v>#N/A</v>
      </c>
      <c r="U64" s="214" t="e">
        <f>IF((AnnualExpenses[[#This Row],[Year (Range)]]&gt;=$C$8)*(AnnualExpenses[[#This Row],[Year (Range)]]&lt;=$C$10),AnnualExpenses[[#This Row],[Buying Average Monthly Cost]],NA())</f>
        <v>#N/A</v>
      </c>
      <c r="V64" s="214" t="e">
        <f>IF((AnnualExpenses[[#This Row],[Year (Range)]]&gt;=$C$8)*(AnnualExpenses[[#This Row],[Year (Range)]]&lt;=$C$10),AnnualExpenses[[#This Row],[Renting Average Monthly Cost]],NA())</f>
        <v>#N/A</v>
      </c>
      <c r="W64" s="4">
        <f>'Annual Amort. Sch.'!AL63</f>
        <v>0</v>
      </c>
      <c r="X64" s="4">
        <f>'Annual Amort. Sch.'!AM63</f>
        <v>58815.160125203416</v>
      </c>
      <c r="Y64" s="4">
        <f>(AnnualExpenses[[#This Row],[Total Annual Direct Housing Expenses]]+AnnualExpenses[[#This Row],[Total Annual Indirect Housing Expenses]])</f>
        <v>58815.160125203416</v>
      </c>
      <c r="Z64" s="4">
        <f>AnnualExpenses[[#This Row],[Total Annual Housing Expenses]]/12</f>
        <v>4901.263343766951</v>
      </c>
      <c r="AA64" s="164">
        <f t="shared" si="4"/>
        <v>218693.61751391503</v>
      </c>
      <c r="AB64" s="164">
        <f>AnnualExpenses[[#This Row],[Total Annual Rental Expenses]]/12</f>
        <v>18224.468126159587</v>
      </c>
      <c r="AC64" s="166"/>
      <c r="AD64" s="243">
        <v>47</v>
      </c>
      <c r="AE64" s="212">
        <f t="shared" si="2"/>
        <v>2068</v>
      </c>
      <c r="AF64" s="183">
        <f>IF(AnnualExpenses[[#This Row],[Total Annual Housing Expenses]]-AnnualExpenses[[#This Row],[Total Annual Rental Expenses]]&lt;0,AnnualExpenses[[#This Row],[Total Annual Rental Expenses]]-AnnualExpenses[[#This Row],[Total Annual Housing Expenses]],0)</f>
        <v>159878.45738871163</v>
      </c>
      <c r="AG64" s="183">
        <f>IF(AnnualExpenses[[#This Row],[Total Annual Housing Expenses]]-AnnualExpenses[[#This Row],[Total Annual Rental Expenses]]&gt;0,AnnualExpenses[[#This Row],[Total Annual Housing Expenses]]-AnnualExpenses[[#This Row],[Total Annual Rental Expenses]],0)</f>
        <v>0</v>
      </c>
    </row>
    <row r="65" spans="11:33" x14ac:dyDescent="0.25">
      <c r="K65" s="161">
        <v>48</v>
      </c>
      <c r="L65" s="161">
        <f t="shared" si="3"/>
        <v>2069</v>
      </c>
      <c r="M65" s="215">
        <f>IF(AnnualExpenses[[#This Row],[Calendar Year]]&gt;=$C$8,AnnualExpenses[[#This Row],[Calendar Year]],NA())</f>
        <v>2069</v>
      </c>
      <c r="N65" s="215" t="e">
        <f>IF((AnnualExpenses[[#This Row],[Calendar Year]]&gt;=$C$8)*(AnnualExpenses[[#This Row],[Calendar Year]]&lt;=$C$10),AnnualExpenses[[#This Row],[Calendar Year]],NA())</f>
        <v>#N/A</v>
      </c>
      <c r="O65" s="214" t="e">
        <f>IF((AnnualExpenses[[#This Row],[Year (Range)]]&gt;=$C$8)*(AnnualExpenses[[#This Row],[Year (Range)]]&lt;=$C$10),Table65[[#This Row],[Buy, Instead of Rent]],NA())</f>
        <v>#N/A</v>
      </c>
      <c r="P65" s="214" t="e">
        <f>IF((AnnualExpenses[[#This Row],[Year (Range)]]&gt;=$C$8)*(AnnualExpenses[[#This Row],[Year (Range)]]&lt;=$C$10),Table65[[#This Row],[Rent, Instead of Buy]],NA())</f>
        <v>#N/A</v>
      </c>
      <c r="Q65" s="214" t="e">
        <f>IF((AnnualExpenses[[#This Row],[Year (Range)]]&gt;=$C$8)*(AnnualExpenses[[#This Row],[Year (Range)]]&lt;=$C$10),AnnualExpenses[[#This Row],[Total Annual Direct Housing Expenses]],NA())</f>
        <v>#N/A</v>
      </c>
      <c r="R65" s="214" t="e">
        <f>IF((AnnualExpenses[[#This Row],[Year (Range)]]&gt;=$C$8)*(AnnualExpenses[[#This Row],[Year (Range)]]&lt;=$C$10),AnnualExpenses[[#This Row],[Total Annual Indirect Housing Expenses]],NA())</f>
        <v>#N/A</v>
      </c>
      <c r="S65" s="214" t="e">
        <f>IF((AnnualExpenses[[#This Row],[Year (Range)]]&gt;=$C$8)*(AnnualExpenses[[#This Row],[Year (Range)]]&lt;=$C$10),AnnualExpenses[[#This Row],[Total Annual Rental Expenses]],NA())</f>
        <v>#N/A</v>
      </c>
      <c r="T65" s="214" t="e">
        <f>IF((AnnualExpenses[[#This Row],[Year (Range)]]&gt;=$C$8)*(AnnualExpenses[[#This Row],[Year (Range)]]&lt;=$C$10),AnnualExpenses[[#This Row],[Total Annual Housing Expenses]],NA())</f>
        <v>#N/A</v>
      </c>
      <c r="U65" s="214" t="e">
        <f>IF((AnnualExpenses[[#This Row],[Year (Range)]]&gt;=$C$8)*(AnnualExpenses[[#This Row],[Year (Range)]]&lt;=$C$10),AnnualExpenses[[#This Row],[Buying Average Monthly Cost]],NA())</f>
        <v>#N/A</v>
      </c>
      <c r="V65" s="214" t="e">
        <f>IF((AnnualExpenses[[#This Row],[Year (Range)]]&gt;=$C$8)*(AnnualExpenses[[#This Row],[Year (Range)]]&lt;=$C$10),AnnualExpenses[[#This Row],[Renting Average Monthly Cost]],NA())</f>
        <v>#N/A</v>
      </c>
      <c r="W65" s="4">
        <f>'Annual Amort. Sch.'!AL64</f>
        <v>0</v>
      </c>
      <c r="X65" s="4">
        <f>'Annual Amort. Sch.'!AM64</f>
        <v>60579.61492895952</v>
      </c>
      <c r="Y65" s="4">
        <f>(AnnualExpenses[[#This Row],[Total Annual Direct Housing Expenses]]+AnnualExpenses[[#This Row],[Total Annual Indirect Housing Expenses]])</f>
        <v>60579.61492895952</v>
      </c>
      <c r="Z65" s="4">
        <f>AnnualExpenses[[#This Row],[Total Annual Housing Expenses]]/12</f>
        <v>5048.3012440799603</v>
      </c>
      <c r="AA65" s="164">
        <f t="shared" si="4"/>
        <v>227441.36221447165</v>
      </c>
      <c r="AB65" s="164">
        <f>AnnualExpenses[[#This Row],[Total Annual Rental Expenses]]/12</f>
        <v>18953.446851205972</v>
      </c>
      <c r="AC65" s="166"/>
      <c r="AD65" s="243">
        <v>48</v>
      </c>
      <c r="AE65" s="212">
        <f t="shared" si="2"/>
        <v>2069</v>
      </c>
      <c r="AF65" s="183">
        <f>IF(AnnualExpenses[[#This Row],[Total Annual Housing Expenses]]-AnnualExpenses[[#This Row],[Total Annual Rental Expenses]]&lt;0,AnnualExpenses[[#This Row],[Total Annual Rental Expenses]]-AnnualExpenses[[#This Row],[Total Annual Housing Expenses]],0)</f>
        <v>166861.74728551213</v>
      </c>
      <c r="AG65" s="183">
        <f>IF(AnnualExpenses[[#This Row],[Total Annual Housing Expenses]]-AnnualExpenses[[#This Row],[Total Annual Rental Expenses]]&gt;0,AnnualExpenses[[#This Row],[Total Annual Housing Expenses]]-AnnualExpenses[[#This Row],[Total Annual Rental Expenses]],0)</f>
        <v>0</v>
      </c>
    </row>
    <row r="66" spans="11:33" x14ac:dyDescent="0.25">
      <c r="K66" s="161">
        <v>49</v>
      </c>
      <c r="L66" s="161">
        <f t="shared" si="3"/>
        <v>2070</v>
      </c>
      <c r="M66" s="215">
        <f>IF(AnnualExpenses[[#This Row],[Calendar Year]]&gt;=$C$8,AnnualExpenses[[#This Row],[Calendar Year]],NA())</f>
        <v>2070</v>
      </c>
      <c r="N66" s="215" t="e">
        <f>IF((AnnualExpenses[[#This Row],[Calendar Year]]&gt;=$C$8)*(AnnualExpenses[[#This Row],[Calendar Year]]&lt;=$C$10),AnnualExpenses[[#This Row],[Calendar Year]],NA())</f>
        <v>#N/A</v>
      </c>
      <c r="O66" s="214" t="e">
        <f>IF((AnnualExpenses[[#This Row],[Year (Range)]]&gt;=$C$8)*(AnnualExpenses[[#This Row],[Year (Range)]]&lt;=$C$10),Table65[[#This Row],[Buy, Instead of Rent]],NA())</f>
        <v>#N/A</v>
      </c>
      <c r="P66" s="214" t="e">
        <f>IF((AnnualExpenses[[#This Row],[Year (Range)]]&gt;=$C$8)*(AnnualExpenses[[#This Row],[Year (Range)]]&lt;=$C$10),Table65[[#This Row],[Rent, Instead of Buy]],NA())</f>
        <v>#N/A</v>
      </c>
      <c r="Q66" s="214" t="e">
        <f>IF((AnnualExpenses[[#This Row],[Year (Range)]]&gt;=$C$8)*(AnnualExpenses[[#This Row],[Year (Range)]]&lt;=$C$10),AnnualExpenses[[#This Row],[Total Annual Direct Housing Expenses]],NA())</f>
        <v>#N/A</v>
      </c>
      <c r="R66" s="214" t="e">
        <f>IF((AnnualExpenses[[#This Row],[Year (Range)]]&gt;=$C$8)*(AnnualExpenses[[#This Row],[Year (Range)]]&lt;=$C$10),AnnualExpenses[[#This Row],[Total Annual Indirect Housing Expenses]],NA())</f>
        <v>#N/A</v>
      </c>
      <c r="S66" s="214" t="e">
        <f>IF((AnnualExpenses[[#This Row],[Year (Range)]]&gt;=$C$8)*(AnnualExpenses[[#This Row],[Year (Range)]]&lt;=$C$10),AnnualExpenses[[#This Row],[Total Annual Rental Expenses]],NA())</f>
        <v>#N/A</v>
      </c>
      <c r="T66" s="214" t="e">
        <f>IF((AnnualExpenses[[#This Row],[Year (Range)]]&gt;=$C$8)*(AnnualExpenses[[#This Row],[Year (Range)]]&lt;=$C$10),AnnualExpenses[[#This Row],[Total Annual Housing Expenses]],NA())</f>
        <v>#N/A</v>
      </c>
      <c r="U66" s="214" t="e">
        <f>IF((AnnualExpenses[[#This Row],[Year (Range)]]&gt;=$C$8)*(AnnualExpenses[[#This Row],[Year (Range)]]&lt;=$C$10),AnnualExpenses[[#This Row],[Buying Average Monthly Cost]],NA())</f>
        <v>#N/A</v>
      </c>
      <c r="V66" s="214" t="e">
        <f>IF((AnnualExpenses[[#This Row],[Year (Range)]]&gt;=$C$8)*(AnnualExpenses[[#This Row],[Year (Range)]]&lt;=$C$10),AnnualExpenses[[#This Row],[Renting Average Monthly Cost]],NA())</f>
        <v>#N/A</v>
      </c>
      <c r="W66" s="4">
        <f>'Annual Amort. Sch.'!AL65</f>
        <v>0</v>
      </c>
      <c r="X66" s="4">
        <f>'Annual Amort. Sch.'!AM65</f>
        <v>62397.003376828303</v>
      </c>
      <c r="Y66" s="4">
        <f>(AnnualExpenses[[#This Row],[Total Annual Direct Housing Expenses]]+AnnualExpenses[[#This Row],[Total Annual Indirect Housing Expenses]])</f>
        <v>62397.003376828303</v>
      </c>
      <c r="Z66" s="4">
        <f>AnnualExpenses[[#This Row],[Total Annual Housing Expenses]]/12</f>
        <v>5199.7502814023583</v>
      </c>
      <c r="AA66" s="164">
        <f t="shared" si="4"/>
        <v>236539.01670305053</v>
      </c>
      <c r="AB66" s="164">
        <f>AnnualExpenses[[#This Row],[Total Annual Rental Expenses]]/12</f>
        <v>19711.584725254212</v>
      </c>
      <c r="AC66" s="166"/>
      <c r="AD66" s="243">
        <v>49</v>
      </c>
      <c r="AE66" s="212">
        <f t="shared" si="2"/>
        <v>2070</v>
      </c>
      <c r="AF66" s="183">
        <f>IF(AnnualExpenses[[#This Row],[Total Annual Housing Expenses]]-AnnualExpenses[[#This Row],[Total Annual Rental Expenses]]&lt;0,AnnualExpenses[[#This Row],[Total Annual Rental Expenses]]-AnnualExpenses[[#This Row],[Total Annual Housing Expenses]],0)</f>
        <v>174142.01332622222</v>
      </c>
      <c r="AG66" s="183">
        <f>IF(AnnualExpenses[[#This Row],[Total Annual Housing Expenses]]-AnnualExpenses[[#This Row],[Total Annual Rental Expenses]]&gt;0,AnnualExpenses[[#This Row],[Total Annual Housing Expenses]]-AnnualExpenses[[#This Row],[Total Annual Rental Expenses]],0)</f>
        <v>0</v>
      </c>
    </row>
    <row r="67" spans="11:33" x14ac:dyDescent="0.25">
      <c r="K67" s="161">
        <v>50</v>
      </c>
      <c r="L67" s="161">
        <f t="shared" si="3"/>
        <v>2071</v>
      </c>
      <c r="M67" s="215">
        <f>IF(AnnualExpenses[[#This Row],[Calendar Year]]&gt;=$C$8,AnnualExpenses[[#This Row],[Calendar Year]],NA())</f>
        <v>2071</v>
      </c>
      <c r="N67" s="215" t="e">
        <f>IF((AnnualExpenses[[#This Row],[Calendar Year]]&gt;=$C$8)*(AnnualExpenses[[#This Row],[Calendar Year]]&lt;=$C$10),AnnualExpenses[[#This Row],[Calendar Year]],NA())</f>
        <v>#N/A</v>
      </c>
      <c r="O67" s="214" t="e">
        <f>IF((AnnualExpenses[[#This Row],[Year (Range)]]&gt;=$C$8)*(AnnualExpenses[[#This Row],[Year (Range)]]&lt;=$C$10),Table65[[#This Row],[Buy, Instead of Rent]],NA())</f>
        <v>#N/A</v>
      </c>
      <c r="P67" s="214" t="e">
        <f>IF((AnnualExpenses[[#This Row],[Year (Range)]]&gt;=$C$8)*(AnnualExpenses[[#This Row],[Year (Range)]]&lt;=$C$10),Table65[[#This Row],[Rent, Instead of Buy]],NA())</f>
        <v>#N/A</v>
      </c>
      <c r="Q67" s="214" t="e">
        <f>IF((AnnualExpenses[[#This Row],[Year (Range)]]&gt;=$C$8)*(AnnualExpenses[[#This Row],[Year (Range)]]&lt;=$C$10),AnnualExpenses[[#This Row],[Total Annual Direct Housing Expenses]],NA())</f>
        <v>#N/A</v>
      </c>
      <c r="R67" s="214" t="e">
        <f>IF((AnnualExpenses[[#This Row],[Year (Range)]]&gt;=$C$8)*(AnnualExpenses[[#This Row],[Year (Range)]]&lt;=$C$10),AnnualExpenses[[#This Row],[Total Annual Indirect Housing Expenses]],NA())</f>
        <v>#N/A</v>
      </c>
      <c r="S67" s="214" t="e">
        <f>IF((AnnualExpenses[[#This Row],[Year (Range)]]&gt;=$C$8)*(AnnualExpenses[[#This Row],[Year (Range)]]&lt;=$C$10),AnnualExpenses[[#This Row],[Total Annual Rental Expenses]],NA())</f>
        <v>#N/A</v>
      </c>
      <c r="T67" s="214" t="e">
        <f>IF((AnnualExpenses[[#This Row],[Year (Range)]]&gt;=$C$8)*(AnnualExpenses[[#This Row],[Year (Range)]]&lt;=$C$10),AnnualExpenses[[#This Row],[Total Annual Housing Expenses]],NA())</f>
        <v>#N/A</v>
      </c>
      <c r="U67" s="214" t="e">
        <f>IF((AnnualExpenses[[#This Row],[Year (Range)]]&gt;=$C$8)*(AnnualExpenses[[#This Row],[Year (Range)]]&lt;=$C$10),AnnualExpenses[[#This Row],[Buying Average Monthly Cost]],NA())</f>
        <v>#N/A</v>
      </c>
      <c r="V67" s="214" t="e">
        <f>IF((AnnualExpenses[[#This Row],[Year (Range)]]&gt;=$C$8)*(AnnualExpenses[[#This Row],[Year (Range)]]&lt;=$C$10),AnnualExpenses[[#This Row],[Renting Average Monthly Cost]],NA())</f>
        <v>#N/A</v>
      </c>
      <c r="W67" s="4">
        <f>'Annual Amort. Sch.'!AL66</f>
        <v>0</v>
      </c>
      <c r="X67" s="4">
        <f>'Annual Amort. Sch.'!AM66</f>
        <v>64268.913478133152</v>
      </c>
      <c r="Y67" s="4">
        <f>(AnnualExpenses[[#This Row],[Total Annual Direct Housing Expenses]]+AnnualExpenses[[#This Row],[Total Annual Indirect Housing Expenses]])</f>
        <v>64268.913478133152</v>
      </c>
      <c r="Z67" s="4">
        <f>AnnualExpenses[[#This Row],[Total Annual Housing Expenses]]/12</f>
        <v>5355.7427898444294</v>
      </c>
      <c r="AA67" s="164">
        <f t="shared" si="4"/>
        <v>246000.57737117255</v>
      </c>
      <c r="AB67" s="164">
        <f>AnnualExpenses[[#This Row],[Total Annual Rental Expenses]]/12</f>
        <v>20500.04811426438</v>
      </c>
      <c r="AC67" s="166"/>
      <c r="AD67" s="243">
        <v>50</v>
      </c>
      <c r="AE67" s="212">
        <f t="shared" si="2"/>
        <v>2071</v>
      </c>
      <c r="AF67" s="183">
        <f>IF(AnnualExpenses[[#This Row],[Total Annual Housing Expenses]]-AnnualExpenses[[#This Row],[Total Annual Rental Expenses]]&lt;0,AnnualExpenses[[#This Row],[Total Annual Rental Expenses]]-AnnualExpenses[[#This Row],[Total Annual Housing Expenses]],0)</f>
        <v>181731.6638930394</v>
      </c>
      <c r="AG67" s="183">
        <f>IF(AnnualExpenses[[#This Row],[Total Annual Housing Expenses]]-AnnualExpenses[[#This Row],[Total Annual Rental Expenses]]&gt;0,AnnualExpenses[[#This Row],[Total Annual Housing Expenses]]-AnnualExpenses[[#This Row],[Total Annual Rental Expenses]],0)</f>
        <v>0</v>
      </c>
    </row>
    <row r="68" spans="11:33" x14ac:dyDescent="0.25">
      <c r="K68" s="161">
        <v>51</v>
      </c>
      <c r="L68" s="161">
        <f t="shared" si="3"/>
        <v>2072</v>
      </c>
      <c r="M68" s="215">
        <f>IF(AnnualExpenses[[#This Row],[Calendar Year]]&gt;=$C$8,AnnualExpenses[[#This Row],[Calendar Year]],NA())</f>
        <v>2072</v>
      </c>
      <c r="N68" s="215" t="e">
        <f>IF((AnnualExpenses[[#This Row],[Calendar Year]]&gt;=$C$8)*(AnnualExpenses[[#This Row],[Calendar Year]]&lt;=$C$10),AnnualExpenses[[#This Row],[Calendar Year]],NA())</f>
        <v>#N/A</v>
      </c>
      <c r="O68" s="214" t="e">
        <f>IF((AnnualExpenses[[#This Row],[Year (Range)]]&gt;=$C$8)*(AnnualExpenses[[#This Row],[Year (Range)]]&lt;=$C$10),Table65[[#This Row],[Buy, Instead of Rent]],NA())</f>
        <v>#N/A</v>
      </c>
      <c r="P68" s="214" t="e">
        <f>IF((AnnualExpenses[[#This Row],[Year (Range)]]&gt;=$C$8)*(AnnualExpenses[[#This Row],[Year (Range)]]&lt;=$C$10),Table65[[#This Row],[Rent, Instead of Buy]],NA())</f>
        <v>#N/A</v>
      </c>
      <c r="Q68" s="214" t="e">
        <f>IF((AnnualExpenses[[#This Row],[Year (Range)]]&gt;=$C$8)*(AnnualExpenses[[#This Row],[Year (Range)]]&lt;=$C$10),AnnualExpenses[[#This Row],[Total Annual Direct Housing Expenses]],NA())</f>
        <v>#N/A</v>
      </c>
      <c r="R68" s="214" t="e">
        <f>IF((AnnualExpenses[[#This Row],[Year (Range)]]&gt;=$C$8)*(AnnualExpenses[[#This Row],[Year (Range)]]&lt;=$C$10),AnnualExpenses[[#This Row],[Total Annual Indirect Housing Expenses]],NA())</f>
        <v>#N/A</v>
      </c>
      <c r="S68" s="214" t="e">
        <f>IF((AnnualExpenses[[#This Row],[Year (Range)]]&gt;=$C$8)*(AnnualExpenses[[#This Row],[Year (Range)]]&lt;=$C$10),AnnualExpenses[[#This Row],[Total Annual Rental Expenses]],NA())</f>
        <v>#N/A</v>
      </c>
      <c r="T68" s="214" t="e">
        <f>IF((AnnualExpenses[[#This Row],[Year (Range)]]&gt;=$C$8)*(AnnualExpenses[[#This Row],[Year (Range)]]&lt;=$C$10),AnnualExpenses[[#This Row],[Total Annual Housing Expenses]],NA())</f>
        <v>#N/A</v>
      </c>
      <c r="U68" s="214" t="e">
        <f>IF((AnnualExpenses[[#This Row],[Year (Range)]]&gt;=$C$8)*(AnnualExpenses[[#This Row],[Year (Range)]]&lt;=$C$10),AnnualExpenses[[#This Row],[Buying Average Monthly Cost]],NA())</f>
        <v>#N/A</v>
      </c>
      <c r="V68" s="214" t="e">
        <f>IF((AnnualExpenses[[#This Row],[Year (Range)]]&gt;=$C$8)*(AnnualExpenses[[#This Row],[Year (Range)]]&lt;=$C$10),AnnualExpenses[[#This Row],[Renting Average Monthly Cost]],NA())</f>
        <v>#N/A</v>
      </c>
      <c r="W68" s="4">
        <f>'Annual Amort. Sch.'!AL67</f>
        <v>0</v>
      </c>
      <c r="X68" s="4">
        <f>'Annual Amort. Sch.'!AM67</f>
        <v>66196.980882477146</v>
      </c>
      <c r="Y68" s="4">
        <f>(AnnualExpenses[[#This Row],[Total Annual Direct Housing Expenses]]+AnnualExpenses[[#This Row],[Total Annual Indirect Housing Expenses]])</f>
        <v>66196.980882477146</v>
      </c>
      <c r="Z68" s="4">
        <f>AnnualExpenses[[#This Row],[Total Annual Housing Expenses]]/12</f>
        <v>5516.4150735397625</v>
      </c>
      <c r="AA68" s="164">
        <f t="shared" si="4"/>
        <v>255840.60046601947</v>
      </c>
      <c r="AB68" s="164">
        <f>AnnualExpenses[[#This Row],[Total Annual Rental Expenses]]/12</f>
        <v>21320.050038834957</v>
      </c>
      <c r="AC68" s="166"/>
      <c r="AD68" s="243">
        <v>51</v>
      </c>
      <c r="AE68" s="212">
        <f t="shared" si="2"/>
        <v>2072</v>
      </c>
      <c r="AF68" s="183">
        <f>IF(AnnualExpenses[[#This Row],[Total Annual Housing Expenses]]-AnnualExpenses[[#This Row],[Total Annual Rental Expenses]]&lt;0,AnnualExpenses[[#This Row],[Total Annual Rental Expenses]]-AnnualExpenses[[#This Row],[Total Annual Housing Expenses]],0)</f>
        <v>189643.61958354234</v>
      </c>
      <c r="AG68" s="183">
        <f>IF(AnnualExpenses[[#This Row],[Total Annual Housing Expenses]]-AnnualExpenses[[#This Row],[Total Annual Rental Expenses]]&gt;0,AnnualExpenses[[#This Row],[Total Annual Housing Expenses]]-AnnualExpenses[[#This Row],[Total Annual Rental Expenses]],0)</f>
        <v>0</v>
      </c>
    </row>
    <row r="69" spans="11:33" x14ac:dyDescent="0.25">
      <c r="K69" s="161">
        <v>52</v>
      </c>
      <c r="L69" s="161">
        <f t="shared" si="3"/>
        <v>2073</v>
      </c>
      <c r="M69" s="215">
        <f>IF(AnnualExpenses[[#This Row],[Calendar Year]]&gt;=$C$8,AnnualExpenses[[#This Row],[Calendar Year]],NA())</f>
        <v>2073</v>
      </c>
      <c r="N69" s="215" t="e">
        <f>IF((AnnualExpenses[[#This Row],[Calendar Year]]&gt;=$C$8)*(AnnualExpenses[[#This Row],[Calendar Year]]&lt;=$C$10),AnnualExpenses[[#This Row],[Calendar Year]],NA())</f>
        <v>#N/A</v>
      </c>
      <c r="O69" s="214" t="e">
        <f>IF((AnnualExpenses[[#This Row],[Year (Range)]]&gt;=$C$8)*(AnnualExpenses[[#This Row],[Year (Range)]]&lt;=$C$10),Table65[[#This Row],[Buy, Instead of Rent]],NA())</f>
        <v>#N/A</v>
      </c>
      <c r="P69" s="214" t="e">
        <f>IF((AnnualExpenses[[#This Row],[Year (Range)]]&gt;=$C$8)*(AnnualExpenses[[#This Row],[Year (Range)]]&lt;=$C$10),Table65[[#This Row],[Rent, Instead of Buy]],NA())</f>
        <v>#N/A</v>
      </c>
      <c r="Q69" s="214" t="e">
        <f>IF((AnnualExpenses[[#This Row],[Year (Range)]]&gt;=$C$8)*(AnnualExpenses[[#This Row],[Year (Range)]]&lt;=$C$10),AnnualExpenses[[#This Row],[Total Annual Direct Housing Expenses]],NA())</f>
        <v>#N/A</v>
      </c>
      <c r="R69" s="214" t="e">
        <f>IF((AnnualExpenses[[#This Row],[Year (Range)]]&gt;=$C$8)*(AnnualExpenses[[#This Row],[Year (Range)]]&lt;=$C$10),AnnualExpenses[[#This Row],[Total Annual Indirect Housing Expenses]],NA())</f>
        <v>#N/A</v>
      </c>
      <c r="S69" s="214" t="e">
        <f>IF((AnnualExpenses[[#This Row],[Year (Range)]]&gt;=$C$8)*(AnnualExpenses[[#This Row],[Year (Range)]]&lt;=$C$10),AnnualExpenses[[#This Row],[Total Annual Rental Expenses]],NA())</f>
        <v>#N/A</v>
      </c>
      <c r="T69" s="214" t="e">
        <f>IF((AnnualExpenses[[#This Row],[Year (Range)]]&gt;=$C$8)*(AnnualExpenses[[#This Row],[Year (Range)]]&lt;=$C$10),AnnualExpenses[[#This Row],[Total Annual Housing Expenses]],NA())</f>
        <v>#N/A</v>
      </c>
      <c r="U69" s="214" t="e">
        <f>IF((AnnualExpenses[[#This Row],[Year (Range)]]&gt;=$C$8)*(AnnualExpenses[[#This Row],[Year (Range)]]&lt;=$C$10),AnnualExpenses[[#This Row],[Buying Average Monthly Cost]],NA())</f>
        <v>#N/A</v>
      </c>
      <c r="V69" s="214" t="e">
        <f>IF((AnnualExpenses[[#This Row],[Year (Range)]]&gt;=$C$8)*(AnnualExpenses[[#This Row],[Year (Range)]]&lt;=$C$10),AnnualExpenses[[#This Row],[Renting Average Monthly Cost]],NA())</f>
        <v>#N/A</v>
      </c>
      <c r="W69" s="4">
        <f>'Annual Amort. Sch.'!AL68</f>
        <v>0</v>
      </c>
      <c r="X69" s="4">
        <f>'Annual Amort. Sch.'!AM68</f>
        <v>68182.890308951464</v>
      </c>
      <c r="Y69" s="4">
        <f>(AnnualExpenses[[#This Row],[Total Annual Direct Housing Expenses]]+AnnualExpenses[[#This Row],[Total Annual Indirect Housing Expenses]])</f>
        <v>68182.890308951464</v>
      </c>
      <c r="Z69" s="4">
        <f>AnnualExpenses[[#This Row],[Total Annual Housing Expenses]]/12</f>
        <v>5681.9075257459554</v>
      </c>
      <c r="AA69" s="164">
        <f t="shared" si="4"/>
        <v>266074.22448466026</v>
      </c>
      <c r="AB69" s="164">
        <f>AnnualExpenses[[#This Row],[Total Annual Rental Expenses]]/12</f>
        <v>22172.852040388356</v>
      </c>
      <c r="AC69" s="166"/>
      <c r="AD69" s="243">
        <v>52</v>
      </c>
      <c r="AE69" s="212">
        <f t="shared" si="2"/>
        <v>2073</v>
      </c>
      <c r="AF69" s="183">
        <f>IF(AnnualExpenses[[#This Row],[Total Annual Housing Expenses]]-AnnualExpenses[[#This Row],[Total Annual Rental Expenses]]&lt;0,AnnualExpenses[[#This Row],[Total Annual Rental Expenses]]-AnnualExpenses[[#This Row],[Total Annual Housing Expenses]],0)</f>
        <v>197891.33417570879</v>
      </c>
      <c r="AG69" s="183">
        <f>IF(AnnualExpenses[[#This Row],[Total Annual Housing Expenses]]-AnnualExpenses[[#This Row],[Total Annual Rental Expenses]]&gt;0,AnnualExpenses[[#This Row],[Total Annual Housing Expenses]]-AnnualExpenses[[#This Row],[Total Annual Rental Expenses]],0)</f>
        <v>0</v>
      </c>
    </row>
    <row r="70" spans="11:33" x14ac:dyDescent="0.25">
      <c r="K70" s="161">
        <v>53</v>
      </c>
      <c r="L70" s="161">
        <f t="shared" si="3"/>
        <v>2074</v>
      </c>
      <c r="M70" s="215">
        <f>IF(AnnualExpenses[[#This Row],[Calendar Year]]&gt;=$C$8,AnnualExpenses[[#This Row],[Calendar Year]],NA())</f>
        <v>2074</v>
      </c>
      <c r="N70" s="215" t="e">
        <f>IF((AnnualExpenses[[#This Row],[Calendar Year]]&gt;=$C$8)*(AnnualExpenses[[#This Row],[Calendar Year]]&lt;=$C$10),AnnualExpenses[[#This Row],[Calendar Year]],NA())</f>
        <v>#N/A</v>
      </c>
      <c r="O70" s="214" t="e">
        <f>IF((AnnualExpenses[[#This Row],[Year (Range)]]&gt;=$C$8)*(AnnualExpenses[[#This Row],[Year (Range)]]&lt;=$C$10),Table65[[#This Row],[Buy, Instead of Rent]],NA())</f>
        <v>#N/A</v>
      </c>
      <c r="P70" s="214" t="e">
        <f>IF((AnnualExpenses[[#This Row],[Year (Range)]]&gt;=$C$8)*(AnnualExpenses[[#This Row],[Year (Range)]]&lt;=$C$10),Table65[[#This Row],[Rent, Instead of Buy]],NA())</f>
        <v>#N/A</v>
      </c>
      <c r="Q70" s="214" t="e">
        <f>IF((AnnualExpenses[[#This Row],[Year (Range)]]&gt;=$C$8)*(AnnualExpenses[[#This Row],[Year (Range)]]&lt;=$C$10),AnnualExpenses[[#This Row],[Total Annual Direct Housing Expenses]],NA())</f>
        <v>#N/A</v>
      </c>
      <c r="R70" s="214" t="e">
        <f>IF((AnnualExpenses[[#This Row],[Year (Range)]]&gt;=$C$8)*(AnnualExpenses[[#This Row],[Year (Range)]]&lt;=$C$10),AnnualExpenses[[#This Row],[Total Annual Indirect Housing Expenses]],NA())</f>
        <v>#N/A</v>
      </c>
      <c r="S70" s="214" t="e">
        <f>IF((AnnualExpenses[[#This Row],[Year (Range)]]&gt;=$C$8)*(AnnualExpenses[[#This Row],[Year (Range)]]&lt;=$C$10),AnnualExpenses[[#This Row],[Total Annual Rental Expenses]],NA())</f>
        <v>#N/A</v>
      </c>
      <c r="T70" s="214" t="e">
        <f>IF((AnnualExpenses[[#This Row],[Year (Range)]]&gt;=$C$8)*(AnnualExpenses[[#This Row],[Year (Range)]]&lt;=$C$10),AnnualExpenses[[#This Row],[Total Annual Housing Expenses]],NA())</f>
        <v>#N/A</v>
      </c>
      <c r="U70" s="214" t="e">
        <f>IF((AnnualExpenses[[#This Row],[Year (Range)]]&gt;=$C$8)*(AnnualExpenses[[#This Row],[Year (Range)]]&lt;=$C$10),AnnualExpenses[[#This Row],[Buying Average Monthly Cost]],NA())</f>
        <v>#N/A</v>
      </c>
      <c r="V70" s="214" t="e">
        <f>IF((AnnualExpenses[[#This Row],[Year (Range)]]&gt;=$C$8)*(AnnualExpenses[[#This Row],[Year (Range)]]&lt;=$C$10),AnnualExpenses[[#This Row],[Renting Average Monthly Cost]],NA())</f>
        <v>#N/A</v>
      </c>
      <c r="W70" s="4">
        <f>'Annual Amort. Sch.'!AL69</f>
        <v>0</v>
      </c>
      <c r="X70" s="4">
        <f>'Annual Amort. Sch.'!AM69</f>
        <v>70228.37701822001</v>
      </c>
      <c r="Y70" s="4">
        <f>(AnnualExpenses[[#This Row],[Total Annual Direct Housing Expenses]]+AnnualExpenses[[#This Row],[Total Annual Indirect Housing Expenses]])</f>
        <v>70228.37701822001</v>
      </c>
      <c r="Z70" s="4">
        <f>AnnualExpenses[[#This Row],[Total Annual Housing Expenses]]/12</f>
        <v>5852.3647515183338</v>
      </c>
      <c r="AA70" s="164">
        <f t="shared" si="4"/>
        <v>276717.19346404669</v>
      </c>
      <c r="AB70" s="164">
        <f>AnnualExpenses[[#This Row],[Total Annual Rental Expenses]]/12</f>
        <v>23059.76612200389</v>
      </c>
      <c r="AC70" s="166"/>
      <c r="AD70" s="243">
        <v>53</v>
      </c>
      <c r="AE70" s="212">
        <f t="shared" si="2"/>
        <v>2074</v>
      </c>
      <c r="AF70" s="183">
        <f>IF(AnnualExpenses[[#This Row],[Total Annual Housing Expenses]]-AnnualExpenses[[#This Row],[Total Annual Rental Expenses]]&lt;0,AnnualExpenses[[#This Row],[Total Annual Rental Expenses]]-AnnualExpenses[[#This Row],[Total Annual Housing Expenses]],0)</f>
        <v>206488.81644582667</v>
      </c>
      <c r="AG70" s="183">
        <f>IF(AnnualExpenses[[#This Row],[Total Annual Housing Expenses]]-AnnualExpenses[[#This Row],[Total Annual Rental Expenses]]&gt;0,AnnualExpenses[[#This Row],[Total Annual Housing Expenses]]-AnnualExpenses[[#This Row],[Total Annual Rental Expenses]],0)</f>
        <v>0</v>
      </c>
    </row>
    <row r="71" spans="11:33" x14ac:dyDescent="0.25">
      <c r="K71" s="161">
        <v>54</v>
      </c>
      <c r="L71" s="161">
        <f t="shared" si="3"/>
        <v>2075</v>
      </c>
      <c r="M71" s="215">
        <f>IF(AnnualExpenses[[#This Row],[Calendar Year]]&gt;=$C$8,AnnualExpenses[[#This Row],[Calendar Year]],NA())</f>
        <v>2075</v>
      </c>
      <c r="N71" s="215" t="e">
        <f>IF((AnnualExpenses[[#This Row],[Calendar Year]]&gt;=$C$8)*(AnnualExpenses[[#This Row],[Calendar Year]]&lt;=$C$10),AnnualExpenses[[#This Row],[Calendar Year]],NA())</f>
        <v>#N/A</v>
      </c>
      <c r="O71" s="214" t="e">
        <f>IF((AnnualExpenses[[#This Row],[Year (Range)]]&gt;=$C$8)*(AnnualExpenses[[#This Row],[Year (Range)]]&lt;=$C$10),Table65[[#This Row],[Buy, Instead of Rent]],NA())</f>
        <v>#N/A</v>
      </c>
      <c r="P71" s="214" t="e">
        <f>IF((AnnualExpenses[[#This Row],[Year (Range)]]&gt;=$C$8)*(AnnualExpenses[[#This Row],[Year (Range)]]&lt;=$C$10),Table65[[#This Row],[Rent, Instead of Buy]],NA())</f>
        <v>#N/A</v>
      </c>
      <c r="Q71" s="214" t="e">
        <f>IF((AnnualExpenses[[#This Row],[Year (Range)]]&gt;=$C$8)*(AnnualExpenses[[#This Row],[Year (Range)]]&lt;=$C$10),AnnualExpenses[[#This Row],[Total Annual Direct Housing Expenses]],NA())</f>
        <v>#N/A</v>
      </c>
      <c r="R71" s="214" t="e">
        <f>IF((AnnualExpenses[[#This Row],[Year (Range)]]&gt;=$C$8)*(AnnualExpenses[[#This Row],[Year (Range)]]&lt;=$C$10),AnnualExpenses[[#This Row],[Total Annual Indirect Housing Expenses]],NA())</f>
        <v>#N/A</v>
      </c>
      <c r="S71" s="214" t="e">
        <f>IF((AnnualExpenses[[#This Row],[Year (Range)]]&gt;=$C$8)*(AnnualExpenses[[#This Row],[Year (Range)]]&lt;=$C$10),AnnualExpenses[[#This Row],[Total Annual Rental Expenses]],NA())</f>
        <v>#N/A</v>
      </c>
      <c r="T71" s="214" t="e">
        <f>IF((AnnualExpenses[[#This Row],[Year (Range)]]&gt;=$C$8)*(AnnualExpenses[[#This Row],[Year (Range)]]&lt;=$C$10),AnnualExpenses[[#This Row],[Total Annual Housing Expenses]],NA())</f>
        <v>#N/A</v>
      </c>
      <c r="U71" s="214" t="e">
        <f>IF((AnnualExpenses[[#This Row],[Year (Range)]]&gt;=$C$8)*(AnnualExpenses[[#This Row],[Year (Range)]]&lt;=$C$10),AnnualExpenses[[#This Row],[Buying Average Monthly Cost]],NA())</f>
        <v>#N/A</v>
      </c>
      <c r="V71" s="214" t="e">
        <f>IF((AnnualExpenses[[#This Row],[Year (Range)]]&gt;=$C$8)*(AnnualExpenses[[#This Row],[Year (Range)]]&lt;=$C$10),AnnualExpenses[[#This Row],[Renting Average Monthly Cost]],NA())</f>
        <v>#N/A</v>
      </c>
      <c r="W71" s="4">
        <f>'Annual Amort. Sch.'!AL70</f>
        <v>0</v>
      </c>
      <c r="X71" s="4">
        <f>'Annual Amort. Sch.'!AM70</f>
        <v>72335.228328766607</v>
      </c>
      <c r="Y71" s="4">
        <f>(AnnualExpenses[[#This Row],[Total Annual Direct Housing Expenses]]+AnnualExpenses[[#This Row],[Total Annual Indirect Housing Expenses]])</f>
        <v>72335.228328766607</v>
      </c>
      <c r="Z71" s="4">
        <f>AnnualExpenses[[#This Row],[Total Annual Housing Expenses]]/12</f>
        <v>6027.9356940638836</v>
      </c>
      <c r="AA71" s="164">
        <f t="shared" si="4"/>
        <v>287785.88120260858</v>
      </c>
      <c r="AB71" s="164">
        <f>AnnualExpenses[[#This Row],[Total Annual Rental Expenses]]/12</f>
        <v>23982.156766884047</v>
      </c>
      <c r="AC71" s="166"/>
      <c r="AD71" s="243">
        <v>54</v>
      </c>
      <c r="AE71" s="212">
        <f t="shared" si="2"/>
        <v>2075</v>
      </c>
      <c r="AF71" s="183">
        <f>IF(AnnualExpenses[[#This Row],[Total Annual Housing Expenses]]-AnnualExpenses[[#This Row],[Total Annual Rental Expenses]]&lt;0,AnnualExpenses[[#This Row],[Total Annual Rental Expenses]]-AnnualExpenses[[#This Row],[Total Annual Housing Expenses]],0)</f>
        <v>215450.65287384199</v>
      </c>
      <c r="AG71" s="183">
        <f>IF(AnnualExpenses[[#This Row],[Total Annual Housing Expenses]]-AnnualExpenses[[#This Row],[Total Annual Rental Expenses]]&gt;0,AnnualExpenses[[#This Row],[Total Annual Housing Expenses]]-AnnualExpenses[[#This Row],[Total Annual Rental Expenses]],0)</f>
        <v>0</v>
      </c>
    </row>
    <row r="72" spans="11:33" x14ac:dyDescent="0.25">
      <c r="K72" s="161">
        <v>55</v>
      </c>
      <c r="L72" s="161">
        <f t="shared" si="3"/>
        <v>2076</v>
      </c>
      <c r="M72" s="215">
        <f>IF(AnnualExpenses[[#This Row],[Calendar Year]]&gt;=$C$8,AnnualExpenses[[#This Row],[Calendar Year]],NA())</f>
        <v>2076</v>
      </c>
      <c r="N72" s="215" t="e">
        <f>IF((AnnualExpenses[[#This Row],[Calendar Year]]&gt;=$C$8)*(AnnualExpenses[[#This Row],[Calendar Year]]&lt;=$C$10),AnnualExpenses[[#This Row],[Calendar Year]],NA())</f>
        <v>#N/A</v>
      </c>
      <c r="O72" s="214" t="e">
        <f>IF((AnnualExpenses[[#This Row],[Year (Range)]]&gt;=$C$8)*(AnnualExpenses[[#This Row],[Year (Range)]]&lt;=$C$10),Table65[[#This Row],[Buy, Instead of Rent]],NA())</f>
        <v>#N/A</v>
      </c>
      <c r="P72" s="214" t="e">
        <f>IF((AnnualExpenses[[#This Row],[Year (Range)]]&gt;=$C$8)*(AnnualExpenses[[#This Row],[Year (Range)]]&lt;=$C$10),Table65[[#This Row],[Rent, Instead of Buy]],NA())</f>
        <v>#N/A</v>
      </c>
      <c r="Q72" s="214" t="e">
        <f>IF((AnnualExpenses[[#This Row],[Year (Range)]]&gt;=$C$8)*(AnnualExpenses[[#This Row],[Year (Range)]]&lt;=$C$10),AnnualExpenses[[#This Row],[Total Annual Direct Housing Expenses]],NA())</f>
        <v>#N/A</v>
      </c>
      <c r="R72" s="214" t="e">
        <f>IF((AnnualExpenses[[#This Row],[Year (Range)]]&gt;=$C$8)*(AnnualExpenses[[#This Row],[Year (Range)]]&lt;=$C$10),AnnualExpenses[[#This Row],[Total Annual Indirect Housing Expenses]],NA())</f>
        <v>#N/A</v>
      </c>
      <c r="S72" s="214" t="e">
        <f>IF((AnnualExpenses[[#This Row],[Year (Range)]]&gt;=$C$8)*(AnnualExpenses[[#This Row],[Year (Range)]]&lt;=$C$10),AnnualExpenses[[#This Row],[Total Annual Rental Expenses]],NA())</f>
        <v>#N/A</v>
      </c>
      <c r="T72" s="214" t="e">
        <f>IF((AnnualExpenses[[#This Row],[Year (Range)]]&gt;=$C$8)*(AnnualExpenses[[#This Row],[Year (Range)]]&lt;=$C$10),AnnualExpenses[[#This Row],[Total Annual Housing Expenses]],NA())</f>
        <v>#N/A</v>
      </c>
      <c r="U72" s="214" t="e">
        <f>IF((AnnualExpenses[[#This Row],[Year (Range)]]&gt;=$C$8)*(AnnualExpenses[[#This Row],[Year (Range)]]&lt;=$C$10),AnnualExpenses[[#This Row],[Buying Average Monthly Cost]],NA())</f>
        <v>#N/A</v>
      </c>
      <c r="V72" s="214" t="e">
        <f>IF((AnnualExpenses[[#This Row],[Year (Range)]]&gt;=$C$8)*(AnnualExpenses[[#This Row],[Year (Range)]]&lt;=$C$10),AnnualExpenses[[#This Row],[Renting Average Monthly Cost]],NA())</f>
        <v>#N/A</v>
      </c>
      <c r="W72" s="4">
        <f>'Annual Amort. Sch.'!AL71</f>
        <v>0</v>
      </c>
      <c r="X72" s="4">
        <f>'Annual Amort. Sch.'!AM71</f>
        <v>74505.285178629594</v>
      </c>
      <c r="Y72" s="4">
        <f>(AnnualExpenses[[#This Row],[Total Annual Direct Housing Expenses]]+AnnualExpenses[[#This Row],[Total Annual Indirect Housing Expenses]])</f>
        <v>74505.285178629594</v>
      </c>
      <c r="Z72" s="4">
        <f>AnnualExpenses[[#This Row],[Total Annual Housing Expenses]]/12</f>
        <v>6208.7737648857992</v>
      </c>
      <c r="AA72" s="164">
        <f t="shared" si="4"/>
        <v>299297.31645071291</v>
      </c>
      <c r="AB72" s="164">
        <f>AnnualExpenses[[#This Row],[Total Annual Rental Expenses]]/12</f>
        <v>24941.443037559409</v>
      </c>
      <c r="AC72" s="166"/>
      <c r="AD72" s="243">
        <v>55</v>
      </c>
      <c r="AE72" s="212">
        <f t="shared" si="2"/>
        <v>2076</v>
      </c>
      <c r="AF72" s="183">
        <f>IF(AnnualExpenses[[#This Row],[Total Annual Housing Expenses]]-AnnualExpenses[[#This Row],[Total Annual Rental Expenses]]&lt;0,AnnualExpenses[[#This Row],[Total Annual Rental Expenses]]-AnnualExpenses[[#This Row],[Total Annual Housing Expenses]],0)</f>
        <v>224792.03127208332</v>
      </c>
      <c r="AG72" s="183">
        <f>IF(AnnualExpenses[[#This Row],[Total Annual Housing Expenses]]-AnnualExpenses[[#This Row],[Total Annual Rental Expenses]]&gt;0,AnnualExpenses[[#This Row],[Total Annual Housing Expenses]]-AnnualExpenses[[#This Row],[Total Annual Rental Expenses]],0)</f>
        <v>0</v>
      </c>
    </row>
    <row r="73" spans="11:33" x14ac:dyDescent="0.25">
      <c r="K73" s="161">
        <v>56</v>
      </c>
      <c r="L73" s="161">
        <f t="shared" si="3"/>
        <v>2077</v>
      </c>
      <c r="M73" s="215">
        <f>IF(AnnualExpenses[[#This Row],[Calendar Year]]&gt;=$C$8,AnnualExpenses[[#This Row],[Calendar Year]],NA())</f>
        <v>2077</v>
      </c>
      <c r="N73" s="215" t="e">
        <f>IF((AnnualExpenses[[#This Row],[Calendar Year]]&gt;=$C$8)*(AnnualExpenses[[#This Row],[Calendar Year]]&lt;=$C$10),AnnualExpenses[[#This Row],[Calendar Year]],NA())</f>
        <v>#N/A</v>
      </c>
      <c r="O73" s="214" t="e">
        <f>IF((AnnualExpenses[[#This Row],[Year (Range)]]&gt;=$C$8)*(AnnualExpenses[[#This Row],[Year (Range)]]&lt;=$C$10),Table65[[#This Row],[Buy, Instead of Rent]],NA())</f>
        <v>#N/A</v>
      </c>
      <c r="P73" s="214" t="e">
        <f>IF((AnnualExpenses[[#This Row],[Year (Range)]]&gt;=$C$8)*(AnnualExpenses[[#This Row],[Year (Range)]]&lt;=$C$10),Table65[[#This Row],[Rent, Instead of Buy]],NA())</f>
        <v>#N/A</v>
      </c>
      <c r="Q73" s="214" t="e">
        <f>IF((AnnualExpenses[[#This Row],[Year (Range)]]&gt;=$C$8)*(AnnualExpenses[[#This Row],[Year (Range)]]&lt;=$C$10),AnnualExpenses[[#This Row],[Total Annual Direct Housing Expenses]],NA())</f>
        <v>#N/A</v>
      </c>
      <c r="R73" s="214" t="e">
        <f>IF((AnnualExpenses[[#This Row],[Year (Range)]]&gt;=$C$8)*(AnnualExpenses[[#This Row],[Year (Range)]]&lt;=$C$10),AnnualExpenses[[#This Row],[Total Annual Indirect Housing Expenses]],NA())</f>
        <v>#N/A</v>
      </c>
      <c r="S73" s="214" t="e">
        <f>IF((AnnualExpenses[[#This Row],[Year (Range)]]&gt;=$C$8)*(AnnualExpenses[[#This Row],[Year (Range)]]&lt;=$C$10),AnnualExpenses[[#This Row],[Total Annual Rental Expenses]],NA())</f>
        <v>#N/A</v>
      </c>
      <c r="T73" s="214" t="e">
        <f>IF((AnnualExpenses[[#This Row],[Year (Range)]]&gt;=$C$8)*(AnnualExpenses[[#This Row],[Year (Range)]]&lt;=$C$10),AnnualExpenses[[#This Row],[Total Annual Housing Expenses]],NA())</f>
        <v>#N/A</v>
      </c>
      <c r="U73" s="214" t="e">
        <f>IF((AnnualExpenses[[#This Row],[Year (Range)]]&gt;=$C$8)*(AnnualExpenses[[#This Row],[Year (Range)]]&lt;=$C$10),AnnualExpenses[[#This Row],[Buying Average Monthly Cost]],NA())</f>
        <v>#N/A</v>
      </c>
      <c r="V73" s="214" t="e">
        <f>IF((AnnualExpenses[[#This Row],[Year (Range)]]&gt;=$C$8)*(AnnualExpenses[[#This Row],[Year (Range)]]&lt;=$C$10),AnnualExpenses[[#This Row],[Renting Average Monthly Cost]],NA())</f>
        <v>#N/A</v>
      </c>
      <c r="W73" s="4">
        <f>'Annual Amort. Sch.'!AL72</f>
        <v>0</v>
      </c>
      <c r="X73" s="4">
        <f>'Annual Amort. Sch.'!AM72</f>
        <v>76740.443733988504</v>
      </c>
      <c r="Y73" s="4">
        <f>(AnnualExpenses[[#This Row],[Total Annual Direct Housing Expenses]]+AnnualExpenses[[#This Row],[Total Annual Indirect Housing Expenses]])</f>
        <v>76740.443733988504</v>
      </c>
      <c r="Z73" s="4">
        <f>AnnualExpenses[[#This Row],[Total Annual Housing Expenses]]/12</f>
        <v>6395.0369778323757</v>
      </c>
      <c r="AA73" s="164">
        <f t="shared" si="4"/>
        <v>311269.20910874143</v>
      </c>
      <c r="AB73" s="164">
        <f>AnnualExpenses[[#This Row],[Total Annual Rental Expenses]]/12</f>
        <v>25939.100759061785</v>
      </c>
      <c r="AC73" s="166"/>
      <c r="AD73" s="243">
        <v>56</v>
      </c>
      <c r="AE73" s="212">
        <f t="shared" si="2"/>
        <v>2077</v>
      </c>
      <c r="AF73" s="183">
        <f>IF(AnnualExpenses[[#This Row],[Total Annual Housing Expenses]]-AnnualExpenses[[#This Row],[Total Annual Rental Expenses]]&lt;0,AnnualExpenses[[#This Row],[Total Annual Rental Expenses]]-AnnualExpenses[[#This Row],[Total Annual Housing Expenses]],0)</f>
        <v>234528.76537475293</v>
      </c>
      <c r="AG73" s="183">
        <f>IF(AnnualExpenses[[#This Row],[Total Annual Housing Expenses]]-AnnualExpenses[[#This Row],[Total Annual Rental Expenses]]&gt;0,AnnualExpenses[[#This Row],[Total Annual Housing Expenses]]-AnnualExpenses[[#This Row],[Total Annual Rental Expenses]],0)</f>
        <v>0</v>
      </c>
    </row>
    <row r="74" spans="11:33" x14ac:dyDescent="0.25">
      <c r="K74" s="161">
        <v>57</v>
      </c>
      <c r="L74" s="161">
        <f t="shared" si="3"/>
        <v>2078</v>
      </c>
      <c r="M74" s="215">
        <f>IF(AnnualExpenses[[#This Row],[Calendar Year]]&gt;=$C$8,AnnualExpenses[[#This Row],[Calendar Year]],NA())</f>
        <v>2078</v>
      </c>
      <c r="N74" s="215" t="e">
        <f>IF((AnnualExpenses[[#This Row],[Calendar Year]]&gt;=$C$8)*(AnnualExpenses[[#This Row],[Calendar Year]]&lt;=$C$10),AnnualExpenses[[#This Row],[Calendar Year]],NA())</f>
        <v>#N/A</v>
      </c>
      <c r="O74" s="214" t="e">
        <f>IF((AnnualExpenses[[#This Row],[Year (Range)]]&gt;=$C$8)*(AnnualExpenses[[#This Row],[Year (Range)]]&lt;=$C$10),Table65[[#This Row],[Buy, Instead of Rent]],NA())</f>
        <v>#N/A</v>
      </c>
      <c r="P74" s="214" t="e">
        <f>IF((AnnualExpenses[[#This Row],[Year (Range)]]&gt;=$C$8)*(AnnualExpenses[[#This Row],[Year (Range)]]&lt;=$C$10),Table65[[#This Row],[Rent, Instead of Buy]],NA())</f>
        <v>#N/A</v>
      </c>
      <c r="Q74" s="214" t="e">
        <f>IF((AnnualExpenses[[#This Row],[Year (Range)]]&gt;=$C$8)*(AnnualExpenses[[#This Row],[Year (Range)]]&lt;=$C$10),AnnualExpenses[[#This Row],[Total Annual Direct Housing Expenses]],NA())</f>
        <v>#N/A</v>
      </c>
      <c r="R74" s="214" t="e">
        <f>IF((AnnualExpenses[[#This Row],[Year (Range)]]&gt;=$C$8)*(AnnualExpenses[[#This Row],[Year (Range)]]&lt;=$C$10),AnnualExpenses[[#This Row],[Total Annual Indirect Housing Expenses]],NA())</f>
        <v>#N/A</v>
      </c>
      <c r="S74" s="214" t="e">
        <f>IF((AnnualExpenses[[#This Row],[Year (Range)]]&gt;=$C$8)*(AnnualExpenses[[#This Row],[Year (Range)]]&lt;=$C$10),AnnualExpenses[[#This Row],[Total Annual Rental Expenses]],NA())</f>
        <v>#N/A</v>
      </c>
      <c r="T74" s="214" t="e">
        <f>IF((AnnualExpenses[[#This Row],[Year (Range)]]&gt;=$C$8)*(AnnualExpenses[[#This Row],[Year (Range)]]&lt;=$C$10),AnnualExpenses[[#This Row],[Total Annual Housing Expenses]],NA())</f>
        <v>#N/A</v>
      </c>
      <c r="U74" s="214" t="e">
        <f>IF((AnnualExpenses[[#This Row],[Year (Range)]]&gt;=$C$8)*(AnnualExpenses[[#This Row],[Year (Range)]]&lt;=$C$10),AnnualExpenses[[#This Row],[Buying Average Monthly Cost]],NA())</f>
        <v>#N/A</v>
      </c>
      <c r="V74" s="214" t="e">
        <f>IF((AnnualExpenses[[#This Row],[Year (Range)]]&gt;=$C$8)*(AnnualExpenses[[#This Row],[Year (Range)]]&lt;=$C$10),AnnualExpenses[[#This Row],[Renting Average Monthly Cost]],NA())</f>
        <v>#N/A</v>
      </c>
      <c r="W74" s="4">
        <f>'Annual Amort. Sch.'!AL73</f>
        <v>0</v>
      </c>
      <c r="X74" s="4">
        <f>'Annual Amort. Sch.'!AM73</f>
        <v>79042.657046008157</v>
      </c>
      <c r="Y74" s="4">
        <f>(AnnualExpenses[[#This Row],[Total Annual Direct Housing Expenses]]+AnnualExpenses[[#This Row],[Total Annual Indirect Housing Expenses]])</f>
        <v>79042.657046008157</v>
      </c>
      <c r="Z74" s="4">
        <f>AnnualExpenses[[#This Row],[Total Annual Housing Expenses]]/12</f>
        <v>6586.8880871673464</v>
      </c>
      <c r="AA74" s="164">
        <f t="shared" si="4"/>
        <v>323719.9774730911</v>
      </c>
      <c r="AB74" s="164">
        <f>AnnualExpenses[[#This Row],[Total Annual Rental Expenses]]/12</f>
        <v>26976.66478942426</v>
      </c>
      <c r="AC74" s="166"/>
      <c r="AD74" s="243">
        <v>57</v>
      </c>
      <c r="AE74" s="212">
        <f t="shared" si="2"/>
        <v>2078</v>
      </c>
      <c r="AF74" s="183">
        <f>IF(AnnualExpenses[[#This Row],[Total Annual Housing Expenses]]-AnnualExpenses[[#This Row],[Total Annual Rental Expenses]]&lt;0,AnnualExpenses[[#This Row],[Total Annual Rental Expenses]]-AnnualExpenses[[#This Row],[Total Annual Housing Expenses]],0)</f>
        <v>244677.32042708294</v>
      </c>
      <c r="AG74" s="183">
        <f>IF(AnnualExpenses[[#This Row],[Total Annual Housing Expenses]]-AnnualExpenses[[#This Row],[Total Annual Rental Expenses]]&gt;0,AnnualExpenses[[#This Row],[Total Annual Housing Expenses]]-AnnualExpenses[[#This Row],[Total Annual Rental Expenses]],0)</f>
        <v>0</v>
      </c>
    </row>
    <row r="75" spans="11:33" x14ac:dyDescent="0.25">
      <c r="K75" s="161">
        <v>58</v>
      </c>
      <c r="L75" s="161">
        <f t="shared" si="3"/>
        <v>2079</v>
      </c>
      <c r="M75" s="215">
        <f>IF(AnnualExpenses[[#This Row],[Calendar Year]]&gt;=$C$8,AnnualExpenses[[#This Row],[Calendar Year]],NA())</f>
        <v>2079</v>
      </c>
      <c r="N75" s="215" t="e">
        <f>IF((AnnualExpenses[[#This Row],[Calendar Year]]&gt;=$C$8)*(AnnualExpenses[[#This Row],[Calendar Year]]&lt;=$C$10),AnnualExpenses[[#This Row],[Calendar Year]],NA())</f>
        <v>#N/A</v>
      </c>
      <c r="O75" s="214" t="e">
        <f>IF((AnnualExpenses[[#This Row],[Year (Range)]]&gt;=$C$8)*(AnnualExpenses[[#This Row],[Year (Range)]]&lt;=$C$10),Table65[[#This Row],[Buy, Instead of Rent]],NA())</f>
        <v>#N/A</v>
      </c>
      <c r="P75" s="214" t="e">
        <f>IF((AnnualExpenses[[#This Row],[Year (Range)]]&gt;=$C$8)*(AnnualExpenses[[#This Row],[Year (Range)]]&lt;=$C$10),Table65[[#This Row],[Rent, Instead of Buy]],NA())</f>
        <v>#N/A</v>
      </c>
      <c r="Q75" s="214" t="e">
        <f>IF((AnnualExpenses[[#This Row],[Year (Range)]]&gt;=$C$8)*(AnnualExpenses[[#This Row],[Year (Range)]]&lt;=$C$10),AnnualExpenses[[#This Row],[Total Annual Direct Housing Expenses]],NA())</f>
        <v>#N/A</v>
      </c>
      <c r="R75" s="214" t="e">
        <f>IF((AnnualExpenses[[#This Row],[Year (Range)]]&gt;=$C$8)*(AnnualExpenses[[#This Row],[Year (Range)]]&lt;=$C$10),AnnualExpenses[[#This Row],[Total Annual Indirect Housing Expenses]],NA())</f>
        <v>#N/A</v>
      </c>
      <c r="S75" s="214" t="e">
        <f>IF((AnnualExpenses[[#This Row],[Year (Range)]]&gt;=$C$8)*(AnnualExpenses[[#This Row],[Year (Range)]]&lt;=$C$10),AnnualExpenses[[#This Row],[Total Annual Rental Expenses]],NA())</f>
        <v>#N/A</v>
      </c>
      <c r="T75" s="214" t="e">
        <f>IF((AnnualExpenses[[#This Row],[Year (Range)]]&gt;=$C$8)*(AnnualExpenses[[#This Row],[Year (Range)]]&lt;=$C$10),AnnualExpenses[[#This Row],[Total Annual Housing Expenses]],NA())</f>
        <v>#N/A</v>
      </c>
      <c r="U75" s="214" t="e">
        <f>IF((AnnualExpenses[[#This Row],[Year (Range)]]&gt;=$C$8)*(AnnualExpenses[[#This Row],[Year (Range)]]&lt;=$C$10),AnnualExpenses[[#This Row],[Buying Average Monthly Cost]],NA())</f>
        <v>#N/A</v>
      </c>
      <c r="V75" s="214" t="e">
        <f>IF((AnnualExpenses[[#This Row],[Year (Range)]]&gt;=$C$8)*(AnnualExpenses[[#This Row],[Year (Range)]]&lt;=$C$10),AnnualExpenses[[#This Row],[Renting Average Monthly Cost]],NA())</f>
        <v>#N/A</v>
      </c>
      <c r="W75" s="4">
        <f>'Annual Amort. Sch.'!AL74</f>
        <v>0</v>
      </c>
      <c r="X75" s="4">
        <f>'Annual Amort. Sch.'!AM74</f>
        <v>81413.936757388408</v>
      </c>
      <c r="Y75" s="4">
        <f>(AnnualExpenses[[#This Row],[Total Annual Direct Housing Expenses]]+AnnualExpenses[[#This Row],[Total Annual Indirect Housing Expenses]])</f>
        <v>81413.936757388408</v>
      </c>
      <c r="Z75" s="4">
        <f>AnnualExpenses[[#This Row],[Total Annual Housing Expenses]]/12</f>
        <v>6784.4947297823674</v>
      </c>
      <c r="AA75" s="164">
        <f t="shared" si="4"/>
        <v>336668.77657201473</v>
      </c>
      <c r="AB75" s="164">
        <f>AnnualExpenses[[#This Row],[Total Annual Rental Expenses]]/12</f>
        <v>28055.731381001227</v>
      </c>
      <c r="AC75" s="166"/>
      <c r="AD75" s="243">
        <v>58</v>
      </c>
      <c r="AE75" s="212">
        <f t="shared" si="2"/>
        <v>2079</v>
      </c>
      <c r="AF75" s="183">
        <f>IF(AnnualExpenses[[#This Row],[Total Annual Housing Expenses]]-AnnualExpenses[[#This Row],[Total Annual Rental Expenses]]&lt;0,AnnualExpenses[[#This Row],[Total Annual Rental Expenses]]-AnnualExpenses[[#This Row],[Total Annual Housing Expenses]],0)</f>
        <v>255254.83981462632</v>
      </c>
      <c r="AG75" s="183">
        <f>IF(AnnualExpenses[[#This Row],[Total Annual Housing Expenses]]-AnnualExpenses[[#This Row],[Total Annual Rental Expenses]]&gt;0,AnnualExpenses[[#This Row],[Total Annual Housing Expenses]]-AnnualExpenses[[#This Row],[Total Annual Rental Expenses]],0)</f>
        <v>0</v>
      </c>
    </row>
    <row r="76" spans="11:33" x14ac:dyDescent="0.25">
      <c r="K76" s="161">
        <v>59</v>
      </c>
      <c r="L76" s="161">
        <f t="shared" si="3"/>
        <v>2080</v>
      </c>
      <c r="M76" s="215">
        <f>IF(AnnualExpenses[[#This Row],[Calendar Year]]&gt;=$C$8,AnnualExpenses[[#This Row],[Calendar Year]],NA())</f>
        <v>2080</v>
      </c>
      <c r="N76" s="215" t="e">
        <f>IF((AnnualExpenses[[#This Row],[Calendar Year]]&gt;=$C$8)*(AnnualExpenses[[#This Row],[Calendar Year]]&lt;=$C$10),AnnualExpenses[[#This Row],[Calendar Year]],NA())</f>
        <v>#N/A</v>
      </c>
      <c r="O76" s="214" t="e">
        <f>IF((AnnualExpenses[[#This Row],[Year (Range)]]&gt;=$C$8)*(AnnualExpenses[[#This Row],[Year (Range)]]&lt;=$C$10),Table65[[#This Row],[Buy, Instead of Rent]],NA())</f>
        <v>#N/A</v>
      </c>
      <c r="P76" s="214" t="e">
        <f>IF((AnnualExpenses[[#This Row],[Year (Range)]]&gt;=$C$8)*(AnnualExpenses[[#This Row],[Year (Range)]]&lt;=$C$10),Table65[[#This Row],[Rent, Instead of Buy]],NA())</f>
        <v>#N/A</v>
      </c>
      <c r="Q76" s="214" t="e">
        <f>IF((AnnualExpenses[[#This Row],[Year (Range)]]&gt;=$C$8)*(AnnualExpenses[[#This Row],[Year (Range)]]&lt;=$C$10),AnnualExpenses[[#This Row],[Total Annual Direct Housing Expenses]],NA())</f>
        <v>#N/A</v>
      </c>
      <c r="R76" s="214" t="e">
        <f>IF((AnnualExpenses[[#This Row],[Year (Range)]]&gt;=$C$8)*(AnnualExpenses[[#This Row],[Year (Range)]]&lt;=$C$10),AnnualExpenses[[#This Row],[Total Annual Indirect Housing Expenses]],NA())</f>
        <v>#N/A</v>
      </c>
      <c r="S76" s="214" t="e">
        <f>IF((AnnualExpenses[[#This Row],[Year (Range)]]&gt;=$C$8)*(AnnualExpenses[[#This Row],[Year (Range)]]&lt;=$C$10),AnnualExpenses[[#This Row],[Total Annual Rental Expenses]],NA())</f>
        <v>#N/A</v>
      </c>
      <c r="T76" s="214" t="e">
        <f>IF((AnnualExpenses[[#This Row],[Year (Range)]]&gt;=$C$8)*(AnnualExpenses[[#This Row],[Year (Range)]]&lt;=$C$10),AnnualExpenses[[#This Row],[Total Annual Housing Expenses]],NA())</f>
        <v>#N/A</v>
      </c>
      <c r="U76" s="214" t="e">
        <f>IF((AnnualExpenses[[#This Row],[Year (Range)]]&gt;=$C$8)*(AnnualExpenses[[#This Row],[Year (Range)]]&lt;=$C$10),AnnualExpenses[[#This Row],[Buying Average Monthly Cost]],NA())</f>
        <v>#N/A</v>
      </c>
      <c r="V76" s="214" t="e">
        <f>IF((AnnualExpenses[[#This Row],[Year (Range)]]&gt;=$C$8)*(AnnualExpenses[[#This Row],[Year (Range)]]&lt;=$C$10),AnnualExpenses[[#This Row],[Renting Average Monthly Cost]],NA())</f>
        <v>#N/A</v>
      </c>
      <c r="W76" s="4">
        <f>'Annual Amort. Sch.'!AL75</f>
        <v>0</v>
      </c>
      <c r="X76" s="4">
        <f>'Annual Amort. Sch.'!AM75</f>
        <v>83856.354860110063</v>
      </c>
      <c r="Y76" s="4">
        <f>(AnnualExpenses[[#This Row],[Total Annual Direct Housing Expenses]]+AnnualExpenses[[#This Row],[Total Annual Indirect Housing Expenses]])</f>
        <v>83856.354860110063</v>
      </c>
      <c r="Z76" s="4">
        <f>AnnualExpenses[[#This Row],[Total Annual Housing Expenses]]/12</f>
        <v>6988.0295716758383</v>
      </c>
      <c r="AA76" s="164">
        <f t="shared" si="4"/>
        <v>350135.52763489535</v>
      </c>
      <c r="AB76" s="164">
        <f>AnnualExpenses[[#This Row],[Total Annual Rental Expenses]]/12</f>
        <v>29177.960636241278</v>
      </c>
      <c r="AC76" s="166"/>
      <c r="AD76" s="243">
        <v>59</v>
      </c>
      <c r="AE76" s="212">
        <f t="shared" si="2"/>
        <v>2080</v>
      </c>
      <c r="AF76" s="183">
        <f>IF(AnnualExpenses[[#This Row],[Total Annual Housing Expenses]]-AnnualExpenses[[#This Row],[Total Annual Rental Expenses]]&lt;0,AnnualExpenses[[#This Row],[Total Annual Rental Expenses]]-AnnualExpenses[[#This Row],[Total Annual Housing Expenses]],0)</f>
        <v>266279.17277478531</v>
      </c>
      <c r="AG76" s="183">
        <f>IF(AnnualExpenses[[#This Row],[Total Annual Housing Expenses]]-AnnualExpenses[[#This Row],[Total Annual Rental Expenses]]&gt;0,AnnualExpenses[[#This Row],[Total Annual Housing Expenses]]-AnnualExpenses[[#This Row],[Total Annual Rental Expenses]],0)</f>
        <v>0</v>
      </c>
    </row>
    <row r="77" spans="11:33" x14ac:dyDescent="0.25">
      <c r="K77" s="161">
        <v>60</v>
      </c>
      <c r="L77" s="161">
        <f t="shared" si="3"/>
        <v>2081</v>
      </c>
      <c r="M77" s="215">
        <f>IF(AnnualExpenses[[#This Row],[Calendar Year]]&gt;=$C$8,AnnualExpenses[[#This Row],[Calendar Year]],NA())</f>
        <v>2081</v>
      </c>
      <c r="N77" s="215" t="e">
        <f>IF((AnnualExpenses[[#This Row],[Calendar Year]]&gt;=$C$8)*(AnnualExpenses[[#This Row],[Calendar Year]]&lt;=$C$10),AnnualExpenses[[#This Row],[Calendar Year]],NA())</f>
        <v>#N/A</v>
      </c>
      <c r="O77" s="214" t="e">
        <f>IF((AnnualExpenses[[#This Row],[Year (Range)]]&gt;=$C$8)*(AnnualExpenses[[#This Row],[Year (Range)]]&lt;=$C$10),Table65[[#This Row],[Buy, Instead of Rent]],NA())</f>
        <v>#N/A</v>
      </c>
      <c r="P77" s="214" t="e">
        <f>IF((AnnualExpenses[[#This Row],[Year (Range)]]&gt;=$C$8)*(AnnualExpenses[[#This Row],[Year (Range)]]&lt;=$C$10),Table65[[#This Row],[Rent, Instead of Buy]],NA())</f>
        <v>#N/A</v>
      </c>
      <c r="Q77" s="214" t="e">
        <f>IF((AnnualExpenses[[#This Row],[Year (Range)]]&gt;=$C$8)*(AnnualExpenses[[#This Row],[Year (Range)]]&lt;=$C$10),AnnualExpenses[[#This Row],[Total Annual Direct Housing Expenses]],NA())</f>
        <v>#N/A</v>
      </c>
      <c r="R77" s="214" t="e">
        <f>IF((AnnualExpenses[[#This Row],[Year (Range)]]&gt;=$C$8)*(AnnualExpenses[[#This Row],[Year (Range)]]&lt;=$C$10),AnnualExpenses[[#This Row],[Total Annual Indirect Housing Expenses]],NA())</f>
        <v>#N/A</v>
      </c>
      <c r="S77" s="214" t="e">
        <f>IF((AnnualExpenses[[#This Row],[Year (Range)]]&gt;=$C$8)*(AnnualExpenses[[#This Row],[Year (Range)]]&lt;=$C$10),AnnualExpenses[[#This Row],[Total Annual Rental Expenses]],NA())</f>
        <v>#N/A</v>
      </c>
      <c r="T77" s="214" t="e">
        <f>IF((AnnualExpenses[[#This Row],[Year (Range)]]&gt;=$C$8)*(AnnualExpenses[[#This Row],[Year (Range)]]&lt;=$C$10),AnnualExpenses[[#This Row],[Total Annual Housing Expenses]],NA())</f>
        <v>#N/A</v>
      </c>
      <c r="U77" s="214" t="e">
        <f>IF((AnnualExpenses[[#This Row],[Year (Range)]]&gt;=$C$8)*(AnnualExpenses[[#This Row],[Year (Range)]]&lt;=$C$10),AnnualExpenses[[#This Row],[Buying Average Monthly Cost]],NA())</f>
        <v>#N/A</v>
      </c>
      <c r="V77" s="214" t="e">
        <f>IF((AnnualExpenses[[#This Row],[Year (Range)]]&gt;=$C$8)*(AnnualExpenses[[#This Row],[Year (Range)]]&lt;=$C$10),AnnualExpenses[[#This Row],[Renting Average Monthly Cost]],NA())</f>
        <v>#N/A</v>
      </c>
      <c r="W77" s="4">
        <f>'Annual Amort. Sch.'!AL76</f>
        <v>0</v>
      </c>
      <c r="X77" s="4">
        <f>'Annual Amort. Sch.'!AM76</f>
        <v>86372.045505913367</v>
      </c>
      <c r="Y77" s="4">
        <f>(AnnualExpenses[[#This Row],[Total Annual Direct Housing Expenses]]+AnnualExpenses[[#This Row],[Total Annual Indirect Housing Expenses]])</f>
        <v>86372.045505913367</v>
      </c>
      <c r="Z77" s="4">
        <f>AnnualExpenses[[#This Row],[Total Annual Housing Expenses]]/12</f>
        <v>7197.6704588261136</v>
      </c>
      <c r="AA77" s="164">
        <f t="shared" si="4"/>
        <v>364140.94874029118</v>
      </c>
      <c r="AB77" s="164">
        <f>AnnualExpenses[[#This Row],[Total Annual Rental Expenses]]/12</f>
        <v>30345.079061690933</v>
      </c>
      <c r="AC77" s="166"/>
      <c r="AD77" s="243">
        <v>60</v>
      </c>
      <c r="AE77" s="212">
        <f t="shared" si="2"/>
        <v>2081</v>
      </c>
      <c r="AF77" s="183">
        <f>IF(AnnualExpenses[[#This Row],[Total Annual Housing Expenses]]-AnnualExpenses[[#This Row],[Total Annual Rental Expenses]]&lt;0,AnnualExpenses[[#This Row],[Total Annual Rental Expenses]]-AnnualExpenses[[#This Row],[Total Annual Housing Expenses]],0)</f>
        <v>277768.90323437779</v>
      </c>
      <c r="AG77" s="183">
        <f>IF(AnnualExpenses[[#This Row],[Total Annual Housing Expenses]]-AnnualExpenses[[#This Row],[Total Annual Rental Expenses]]&gt;0,AnnualExpenses[[#This Row],[Total Annual Housing Expenses]]-AnnualExpenses[[#This Row],[Total Annual Rental Expenses]],0)</f>
        <v>0</v>
      </c>
    </row>
    <row r="78" spans="11:33" x14ac:dyDescent="0.25">
      <c r="K78" s="161">
        <v>61</v>
      </c>
      <c r="L78" s="161">
        <f t="shared" si="3"/>
        <v>2082</v>
      </c>
      <c r="M78" s="215">
        <f>IF(AnnualExpenses[[#This Row],[Calendar Year]]&gt;=$C$8,AnnualExpenses[[#This Row],[Calendar Year]],NA())</f>
        <v>2082</v>
      </c>
      <c r="N78" s="215" t="e">
        <f>IF((AnnualExpenses[[#This Row],[Calendar Year]]&gt;=$C$8)*(AnnualExpenses[[#This Row],[Calendar Year]]&lt;=$C$10),AnnualExpenses[[#This Row],[Calendar Year]],NA())</f>
        <v>#N/A</v>
      </c>
      <c r="O78" s="214" t="e">
        <f>IF((AnnualExpenses[[#This Row],[Year (Range)]]&gt;=$C$8)*(AnnualExpenses[[#This Row],[Year (Range)]]&lt;=$C$10),Table65[[#This Row],[Buy, Instead of Rent]],NA())</f>
        <v>#N/A</v>
      </c>
      <c r="P78" s="214" t="e">
        <f>IF((AnnualExpenses[[#This Row],[Year (Range)]]&gt;=$C$8)*(AnnualExpenses[[#This Row],[Year (Range)]]&lt;=$C$10),Table65[[#This Row],[Rent, Instead of Buy]],NA())</f>
        <v>#N/A</v>
      </c>
      <c r="Q78" s="214" t="e">
        <f>IF((AnnualExpenses[[#This Row],[Year (Range)]]&gt;=$C$8)*(AnnualExpenses[[#This Row],[Year (Range)]]&lt;=$C$10),AnnualExpenses[[#This Row],[Total Annual Direct Housing Expenses]],NA())</f>
        <v>#N/A</v>
      </c>
      <c r="R78" s="214" t="e">
        <f>IF((AnnualExpenses[[#This Row],[Year (Range)]]&gt;=$C$8)*(AnnualExpenses[[#This Row],[Year (Range)]]&lt;=$C$10),AnnualExpenses[[#This Row],[Total Annual Indirect Housing Expenses]],NA())</f>
        <v>#N/A</v>
      </c>
      <c r="S78" s="214" t="e">
        <f>IF((AnnualExpenses[[#This Row],[Year (Range)]]&gt;=$C$8)*(AnnualExpenses[[#This Row],[Year (Range)]]&lt;=$C$10),AnnualExpenses[[#This Row],[Total Annual Rental Expenses]],NA())</f>
        <v>#N/A</v>
      </c>
      <c r="T78" s="214" t="e">
        <f>IF((AnnualExpenses[[#This Row],[Year (Range)]]&gt;=$C$8)*(AnnualExpenses[[#This Row],[Year (Range)]]&lt;=$C$10),AnnualExpenses[[#This Row],[Total Annual Housing Expenses]],NA())</f>
        <v>#N/A</v>
      </c>
      <c r="U78" s="214" t="e">
        <f>IF((AnnualExpenses[[#This Row],[Year (Range)]]&gt;=$C$8)*(AnnualExpenses[[#This Row],[Year (Range)]]&lt;=$C$10),AnnualExpenses[[#This Row],[Buying Average Monthly Cost]],NA())</f>
        <v>#N/A</v>
      </c>
      <c r="V78" s="214" t="e">
        <f>IF((AnnualExpenses[[#This Row],[Year (Range)]]&gt;=$C$8)*(AnnualExpenses[[#This Row],[Year (Range)]]&lt;=$C$10),AnnualExpenses[[#This Row],[Renting Average Monthly Cost]],NA())</f>
        <v>#N/A</v>
      </c>
      <c r="W78" s="4">
        <f>'Annual Amort. Sch.'!AL77</f>
        <v>0</v>
      </c>
      <c r="X78" s="4">
        <f>'Annual Amort. Sch.'!AM77</f>
        <v>88963.206871090777</v>
      </c>
      <c r="Y78" s="4">
        <f>(AnnualExpenses[[#This Row],[Total Annual Direct Housing Expenses]]+AnnualExpenses[[#This Row],[Total Annual Indirect Housing Expenses]])</f>
        <v>88963.206871090777</v>
      </c>
      <c r="Z78" s="4">
        <f>AnnualExpenses[[#This Row],[Total Annual Housing Expenses]]/12</f>
        <v>7413.6005725908981</v>
      </c>
      <c r="AA78" s="164">
        <f t="shared" si="4"/>
        <v>378706.58668990282</v>
      </c>
      <c r="AB78" s="164">
        <f>AnnualExpenses[[#This Row],[Total Annual Rental Expenses]]/12</f>
        <v>31558.882224158569</v>
      </c>
      <c r="AC78" s="166"/>
      <c r="AD78" s="243">
        <v>61</v>
      </c>
      <c r="AE78" s="212">
        <f t="shared" si="2"/>
        <v>2082</v>
      </c>
      <c r="AF78" s="183">
        <f>IF(AnnualExpenses[[#This Row],[Total Annual Housing Expenses]]-AnnualExpenses[[#This Row],[Total Annual Rental Expenses]]&lt;0,AnnualExpenses[[#This Row],[Total Annual Rental Expenses]]-AnnualExpenses[[#This Row],[Total Annual Housing Expenses]],0)</f>
        <v>289743.37981881201</v>
      </c>
      <c r="AG78" s="183">
        <f>IF(AnnualExpenses[[#This Row],[Total Annual Housing Expenses]]-AnnualExpenses[[#This Row],[Total Annual Rental Expenses]]&gt;0,AnnualExpenses[[#This Row],[Total Annual Housing Expenses]]-AnnualExpenses[[#This Row],[Total Annual Rental Expenses]],0)</f>
        <v>0</v>
      </c>
    </row>
    <row r="79" spans="11:33" x14ac:dyDescent="0.25">
      <c r="K79" s="161">
        <v>62</v>
      </c>
      <c r="L79" s="161">
        <f t="shared" si="3"/>
        <v>2083</v>
      </c>
      <c r="M79" s="215">
        <f>IF(AnnualExpenses[[#This Row],[Calendar Year]]&gt;=$C$8,AnnualExpenses[[#This Row],[Calendar Year]],NA())</f>
        <v>2083</v>
      </c>
      <c r="N79" s="215" t="e">
        <f>IF((AnnualExpenses[[#This Row],[Calendar Year]]&gt;=$C$8)*(AnnualExpenses[[#This Row],[Calendar Year]]&lt;=$C$10),AnnualExpenses[[#This Row],[Calendar Year]],NA())</f>
        <v>#N/A</v>
      </c>
      <c r="O79" s="214" t="e">
        <f>IF((AnnualExpenses[[#This Row],[Year (Range)]]&gt;=$C$8)*(AnnualExpenses[[#This Row],[Year (Range)]]&lt;=$C$10),Table65[[#This Row],[Buy, Instead of Rent]],NA())</f>
        <v>#N/A</v>
      </c>
      <c r="P79" s="214" t="e">
        <f>IF((AnnualExpenses[[#This Row],[Year (Range)]]&gt;=$C$8)*(AnnualExpenses[[#This Row],[Year (Range)]]&lt;=$C$10),Table65[[#This Row],[Rent, Instead of Buy]],NA())</f>
        <v>#N/A</v>
      </c>
      <c r="Q79" s="214" t="e">
        <f>IF((AnnualExpenses[[#This Row],[Year (Range)]]&gt;=$C$8)*(AnnualExpenses[[#This Row],[Year (Range)]]&lt;=$C$10),AnnualExpenses[[#This Row],[Total Annual Direct Housing Expenses]],NA())</f>
        <v>#N/A</v>
      </c>
      <c r="R79" s="214" t="e">
        <f>IF((AnnualExpenses[[#This Row],[Year (Range)]]&gt;=$C$8)*(AnnualExpenses[[#This Row],[Year (Range)]]&lt;=$C$10),AnnualExpenses[[#This Row],[Total Annual Indirect Housing Expenses]],NA())</f>
        <v>#N/A</v>
      </c>
      <c r="S79" s="214" t="e">
        <f>IF((AnnualExpenses[[#This Row],[Year (Range)]]&gt;=$C$8)*(AnnualExpenses[[#This Row],[Year (Range)]]&lt;=$C$10),AnnualExpenses[[#This Row],[Total Annual Rental Expenses]],NA())</f>
        <v>#N/A</v>
      </c>
      <c r="T79" s="214" t="e">
        <f>IF((AnnualExpenses[[#This Row],[Year (Range)]]&gt;=$C$8)*(AnnualExpenses[[#This Row],[Year (Range)]]&lt;=$C$10),AnnualExpenses[[#This Row],[Total Annual Housing Expenses]],NA())</f>
        <v>#N/A</v>
      </c>
      <c r="U79" s="214" t="e">
        <f>IF((AnnualExpenses[[#This Row],[Year (Range)]]&gt;=$C$8)*(AnnualExpenses[[#This Row],[Year (Range)]]&lt;=$C$10),AnnualExpenses[[#This Row],[Buying Average Monthly Cost]],NA())</f>
        <v>#N/A</v>
      </c>
      <c r="V79" s="214" t="e">
        <f>IF((AnnualExpenses[[#This Row],[Year (Range)]]&gt;=$C$8)*(AnnualExpenses[[#This Row],[Year (Range)]]&lt;=$C$10),AnnualExpenses[[#This Row],[Renting Average Monthly Cost]],NA())</f>
        <v>#N/A</v>
      </c>
      <c r="W79" s="4">
        <f>'Annual Amort. Sch.'!AL78</f>
        <v>0</v>
      </c>
      <c r="X79" s="4">
        <f>'Annual Amort. Sch.'!AM78</f>
        <v>91632.103077223495</v>
      </c>
      <c r="Y79" s="4">
        <f>(AnnualExpenses[[#This Row],[Total Annual Direct Housing Expenses]]+AnnualExpenses[[#This Row],[Total Annual Indirect Housing Expenses]])</f>
        <v>91632.103077223495</v>
      </c>
      <c r="Z79" s="4">
        <f>AnnualExpenses[[#This Row],[Total Annual Housing Expenses]]/12</f>
        <v>7636.0085897686249</v>
      </c>
      <c r="AA79" s="164">
        <f t="shared" si="4"/>
        <v>393854.85015749896</v>
      </c>
      <c r="AB79" s="164">
        <f>AnnualExpenses[[#This Row],[Total Annual Rental Expenses]]/12</f>
        <v>32821.237513124914</v>
      </c>
      <c r="AC79" s="166"/>
      <c r="AD79" s="243">
        <v>62</v>
      </c>
      <c r="AE79" s="212">
        <f t="shared" si="2"/>
        <v>2083</v>
      </c>
      <c r="AF79" s="183">
        <f>IF(AnnualExpenses[[#This Row],[Total Annual Housing Expenses]]-AnnualExpenses[[#This Row],[Total Annual Rental Expenses]]&lt;0,AnnualExpenses[[#This Row],[Total Annual Rental Expenses]]-AnnualExpenses[[#This Row],[Total Annual Housing Expenses]],0)</f>
        <v>302222.74708027544</v>
      </c>
      <c r="AG79" s="183">
        <f>IF(AnnualExpenses[[#This Row],[Total Annual Housing Expenses]]-AnnualExpenses[[#This Row],[Total Annual Rental Expenses]]&gt;0,AnnualExpenses[[#This Row],[Total Annual Housing Expenses]]-AnnualExpenses[[#This Row],[Total Annual Rental Expenses]],0)</f>
        <v>0</v>
      </c>
    </row>
    <row r="80" spans="11:33" x14ac:dyDescent="0.25">
      <c r="K80" s="161">
        <v>63</v>
      </c>
      <c r="L80" s="161">
        <f t="shared" si="3"/>
        <v>2084</v>
      </c>
      <c r="M80" s="215">
        <f>IF(AnnualExpenses[[#This Row],[Calendar Year]]&gt;=$C$8,AnnualExpenses[[#This Row],[Calendar Year]],NA())</f>
        <v>2084</v>
      </c>
      <c r="N80" s="215" t="e">
        <f>IF((AnnualExpenses[[#This Row],[Calendar Year]]&gt;=$C$8)*(AnnualExpenses[[#This Row],[Calendar Year]]&lt;=$C$10),AnnualExpenses[[#This Row],[Calendar Year]],NA())</f>
        <v>#N/A</v>
      </c>
      <c r="O80" s="214" t="e">
        <f>IF((AnnualExpenses[[#This Row],[Year (Range)]]&gt;=$C$8)*(AnnualExpenses[[#This Row],[Year (Range)]]&lt;=$C$10),Table65[[#This Row],[Buy, Instead of Rent]],NA())</f>
        <v>#N/A</v>
      </c>
      <c r="P80" s="214" t="e">
        <f>IF((AnnualExpenses[[#This Row],[Year (Range)]]&gt;=$C$8)*(AnnualExpenses[[#This Row],[Year (Range)]]&lt;=$C$10),Table65[[#This Row],[Rent, Instead of Buy]],NA())</f>
        <v>#N/A</v>
      </c>
      <c r="Q80" s="214" t="e">
        <f>IF((AnnualExpenses[[#This Row],[Year (Range)]]&gt;=$C$8)*(AnnualExpenses[[#This Row],[Year (Range)]]&lt;=$C$10),AnnualExpenses[[#This Row],[Total Annual Direct Housing Expenses]],NA())</f>
        <v>#N/A</v>
      </c>
      <c r="R80" s="214" t="e">
        <f>IF((AnnualExpenses[[#This Row],[Year (Range)]]&gt;=$C$8)*(AnnualExpenses[[#This Row],[Year (Range)]]&lt;=$C$10),AnnualExpenses[[#This Row],[Total Annual Indirect Housing Expenses]],NA())</f>
        <v>#N/A</v>
      </c>
      <c r="S80" s="214" t="e">
        <f>IF((AnnualExpenses[[#This Row],[Year (Range)]]&gt;=$C$8)*(AnnualExpenses[[#This Row],[Year (Range)]]&lt;=$C$10),AnnualExpenses[[#This Row],[Total Annual Rental Expenses]],NA())</f>
        <v>#N/A</v>
      </c>
      <c r="T80" s="214" t="e">
        <f>IF((AnnualExpenses[[#This Row],[Year (Range)]]&gt;=$C$8)*(AnnualExpenses[[#This Row],[Year (Range)]]&lt;=$C$10),AnnualExpenses[[#This Row],[Total Annual Housing Expenses]],NA())</f>
        <v>#N/A</v>
      </c>
      <c r="U80" s="214" t="e">
        <f>IF((AnnualExpenses[[#This Row],[Year (Range)]]&gt;=$C$8)*(AnnualExpenses[[#This Row],[Year (Range)]]&lt;=$C$10),AnnualExpenses[[#This Row],[Buying Average Monthly Cost]],NA())</f>
        <v>#N/A</v>
      </c>
      <c r="V80" s="214" t="e">
        <f>IF((AnnualExpenses[[#This Row],[Year (Range)]]&gt;=$C$8)*(AnnualExpenses[[#This Row],[Year (Range)]]&lt;=$C$10),AnnualExpenses[[#This Row],[Renting Average Monthly Cost]],NA())</f>
        <v>#N/A</v>
      </c>
      <c r="W80" s="4">
        <f>'Annual Amort. Sch.'!AL79</f>
        <v>0</v>
      </c>
      <c r="X80" s="4">
        <f>'Annual Amort. Sch.'!AM79</f>
        <v>94381.066169540194</v>
      </c>
      <c r="Y80" s="4">
        <f>(AnnualExpenses[[#This Row],[Total Annual Direct Housing Expenses]]+AnnualExpenses[[#This Row],[Total Annual Indirect Housing Expenses]])</f>
        <v>94381.066169540194</v>
      </c>
      <c r="Z80" s="4">
        <f>AnnualExpenses[[#This Row],[Total Annual Housing Expenses]]/12</f>
        <v>7865.0888474616831</v>
      </c>
      <c r="AA80" s="164">
        <f t="shared" si="4"/>
        <v>409609.04416379891</v>
      </c>
      <c r="AB80" s="164">
        <f>AnnualExpenses[[#This Row],[Total Annual Rental Expenses]]/12</f>
        <v>34134.087013649907</v>
      </c>
      <c r="AC80" s="166"/>
      <c r="AD80" s="243">
        <v>63</v>
      </c>
      <c r="AE80" s="212">
        <f t="shared" si="2"/>
        <v>2084</v>
      </c>
      <c r="AF80" s="183">
        <f>IF(AnnualExpenses[[#This Row],[Total Annual Housing Expenses]]-AnnualExpenses[[#This Row],[Total Annual Rental Expenses]]&lt;0,AnnualExpenses[[#This Row],[Total Annual Rental Expenses]]-AnnualExpenses[[#This Row],[Total Annual Housing Expenses]],0)</f>
        <v>315227.97799425875</v>
      </c>
      <c r="AG80" s="183">
        <f>IF(AnnualExpenses[[#This Row],[Total Annual Housing Expenses]]-AnnualExpenses[[#This Row],[Total Annual Rental Expenses]]&gt;0,AnnualExpenses[[#This Row],[Total Annual Housing Expenses]]-AnnualExpenses[[#This Row],[Total Annual Rental Expenses]],0)</f>
        <v>0</v>
      </c>
    </row>
    <row r="81" spans="11:33" x14ac:dyDescent="0.25">
      <c r="K81" s="161">
        <v>64</v>
      </c>
      <c r="L81" s="161">
        <f t="shared" si="3"/>
        <v>2085</v>
      </c>
      <c r="M81" s="215">
        <f>IF(AnnualExpenses[[#This Row],[Calendar Year]]&gt;=$C$8,AnnualExpenses[[#This Row],[Calendar Year]],NA())</f>
        <v>2085</v>
      </c>
      <c r="N81" s="215" t="e">
        <f>IF((AnnualExpenses[[#This Row],[Calendar Year]]&gt;=$C$8)*(AnnualExpenses[[#This Row],[Calendar Year]]&lt;=$C$10),AnnualExpenses[[#This Row],[Calendar Year]],NA())</f>
        <v>#N/A</v>
      </c>
      <c r="O81" s="214" t="e">
        <f>IF((AnnualExpenses[[#This Row],[Year (Range)]]&gt;=$C$8)*(AnnualExpenses[[#This Row],[Year (Range)]]&lt;=$C$10),Table65[[#This Row],[Buy, Instead of Rent]],NA())</f>
        <v>#N/A</v>
      </c>
      <c r="P81" s="214" t="e">
        <f>IF((AnnualExpenses[[#This Row],[Year (Range)]]&gt;=$C$8)*(AnnualExpenses[[#This Row],[Year (Range)]]&lt;=$C$10),Table65[[#This Row],[Rent, Instead of Buy]],NA())</f>
        <v>#N/A</v>
      </c>
      <c r="Q81" s="214" t="e">
        <f>IF((AnnualExpenses[[#This Row],[Year (Range)]]&gt;=$C$8)*(AnnualExpenses[[#This Row],[Year (Range)]]&lt;=$C$10),AnnualExpenses[[#This Row],[Total Annual Direct Housing Expenses]],NA())</f>
        <v>#N/A</v>
      </c>
      <c r="R81" s="214" t="e">
        <f>IF((AnnualExpenses[[#This Row],[Year (Range)]]&gt;=$C$8)*(AnnualExpenses[[#This Row],[Year (Range)]]&lt;=$C$10),AnnualExpenses[[#This Row],[Total Annual Indirect Housing Expenses]],NA())</f>
        <v>#N/A</v>
      </c>
      <c r="S81" s="214" t="e">
        <f>IF((AnnualExpenses[[#This Row],[Year (Range)]]&gt;=$C$8)*(AnnualExpenses[[#This Row],[Year (Range)]]&lt;=$C$10),AnnualExpenses[[#This Row],[Total Annual Rental Expenses]],NA())</f>
        <v>#N/A</v>
      </c>
      <c r="T81" s="214" t="e">
        <f>IF((AnnualExpenses[[#This Row],[Year (Range)]]&gt;=$C$8)*(AnnualExpenses[[#This Row],[Year (Range)]]&lt;=$C$10),AnnualExpenses[[#This Row],[Total Annual Housing Expenses]],NA())</f>
        <v>#N/A</v>
      </c>
      <c r="U81" s="214" t="e">
        <f>IF((AnnualExpenses[[#This Row],[Year (Range)]]&gt;=$C$8)*(AnnualExpenses[[#This Row],[Year (Range)]]&lt;=$C$10),AnnualExpenses[[#This Row],[Buying Average Monthly Cost]],NA())</f>
        <v>#N/A</v>
      </c>
      <c r="V81" s="214" t="e">
        <f>IF((AnnualExpenses[[#This Row],[Year (Range)]]&gt;=$C$8)*(AnnualExpenses[[#This Row],[Year (Range)]]&lt;=$C$10),AnnualExpenses[[#This Row],[Renting Average Monthly Cost]],NA())</f>
        <v>#N/A</v>
      </c>
      <c r="W81" s="4">
        <f>'Annual Amort. Sch.'!AL80</f>
        <v>0</v>
      </c>
      <c r="X81" s="4">
        <f>'Annual Amort. Sch.'!AM80</f>
        <v>97212.498154626403</v>
      </c>
      <c r="Y81" s="4">
        <f>(AnnualExpenses[[#This Row],[Total Annual Direct Housing Expenses]]+AnnualExpenses[[#This Row],[Total Annual Indirect Housing Expenses]])</f>
        <v>97212.498154626403</v>
      </c>
      <c r="Z81" s="4">
        <f>AnnualExpenses[[#This Row],[Total Annual Housing Expenses]]/12</f>
        <v>8101.0415128855338</v>
      </c>
      <c r="AA81" s="164">
        <f t="shared" si="4"/>
        <v>425993.40593035088</v>
      </c>
      <c r="AB81" s="164">
        <f>AnnualExpenses[[#This Row],[Total Annual Rental Expenses]]/12</f>
        <v>35499.450494195909</v>
      </c>
      <c r="AC81" s="166"/>
      <c r="AD81" s="243">
        <v>64</v>
      </c>
      <c r="AE81" s="212">
        <f t="shared" si="2"/>
        <v>2085</v>
      </c>
      <c r="AF81" s="183">
        <f>IF(AnnualExpenses[[#This Row],[Total Annual Housing Expenses]]-AnnualExpenses[[#This Row],[Total Annual Rental Expenses]]&lt;0,AnnualExpenses[[#This Row],[Total Annual Rental Expenses]]-AnnualExpenses[[#This Row],[Total Annual Housing Expenses]],0)</f>
        <v>328780.90777572448</v>
      </c>
      <c r="AG81" s="183">
        <f>IF(AnnualExpenses[[#This Row],[Total Annual Housing Expenses]]-AnnualExpenses[[#This Row],[Total Annual Rental Expenses]]&gt;0,AnnualExpenses[[#This Row],[Total Annual Housing Expenses]]-AnnualExpenses[[#This Row],[Total Annual Rental Expenses]],0)</f>
        <v>0</v>
      </c>
    </row>
    <row r="82" spans="11:33" x14ac:dyDescent="0.25">
      <c r="K82" s="161">
        <v>65</v>
      </c>
      <c r="L82" s="161">
        <f t="shared" si="3"/>
        <v>2086</v>
      </c>
      <c r="M82" s="215">
        <f>IF(AnnualExpenses[[#This Row],[Calendar Year]]&gt;=$C$8,AnnualExpenses[[#This Row],[Calendar Year]],NA())</f>
        <v>2086</v>
      </c>
      <c r="N82" s="215" t="e">
        <f>IF((AnnualExpenses[[#This Row],[Calendar Year]]&gt;=$C$8)*(AnnualExpenses[[#This Row],[Calendar Year]]&lt;=$C$10),AnnualExpenses[[#This Row],[Calendar Year]],NA())</f>
        <v>#N/A</v>
      </c>
      <c r="O82" s="214" t="e">
        <f>IF((AnnualExpenses[[#This Row],[Year (Range)]]&gt;=$C$8)*(AnnualExpenses[[#This Row],[Year (Range)]]&lt;=$C$10),Table65[[#This Row],[Buy, Instead of Rent]],NA())</f>
        <v>#N/A</v>
      </c>
      <c r="P82" s="214" t="e">
        <f>IF((AnnualExpenses[[#This Row],[Year (Range)]]&gt;=$C$8)*(AnnualExpenses[[#This Row],[Year (Range)]]&lt;=$C$10),Table65[[#This Row],[Rent, Instead of Buy]],NA())</f>
        <v>#N/A</v>
      </c>
      <c r="Q82" s="214" t="e">
        <f>IF((AnnualExpenses[[#This Row],[Year (Range)]]&gt;=$C$8)*(AnnualExpenses[[#This Row],[Year (Range)]]&lt;=$C$10),AnnualExpenses[[#This Row],[Total Annual Direct Housing Expenses]],NA())</f>
        <v>#N/A</v>
      </c>
      <c r="R82" s="214" t="e">
        <f>IF((AnnualExpenses[[#This Row],[Year (Range)]]&gt;=$C$8)*(AnnualExpenses[[#This Row],[Year (Range)]]&lt;=$C$10),AnnualExpenses[[#This Row],[Total Annual Indirect Housing Expenses]],NA())</f>
        <v>#N/A</v>
      </c>
      <c r="S82" s="214" t="e">
        <f>IF((AnnualExpenses[[#This Row],[Year (Range)]]&gt;=$C$8)*(AnnualExpenses[[#This Row],[Year (Range)]]&lt;=$C$10),AnnualExpenses[[#This Row],[Total Annual Rental Expenses]],NA())</f>
        <v>#N/A</v>
      </c>
      <c r="T82" s="214" t="e">
        <f>IF((AnnualExpenses[[#This Row],[Year (Range)]]&gt;=$C$8)*(AnnualExpenses[[#This Row],[Year (Range)]]&lt;=$C$10),AnnualExpenses[[#This Row],[Total Annual Housing Expenses]],NA())</f>
        <v>#N/A</v>
      </c>
      <c r="U82" s="214" t="e">
        <f>IF((AnnualExpenses[[#This Row],[Year (Range)]]&gt;=$C$8)*(AnnualExpenses[[#This Row],[Year (Range)]]&lt;=$C$10),AnnualExpenses[[#This Row],[Buying Average Monthly Cost]],NA())</f>
        <v>#N/A</v>
      </c>
      <c r="V82" s="214" t="e">
        <f>IF((AnnualExpenses[[#This Row],[Year (Range)]]&gt;=$C$8)*(AnnualExpenses[[#This Row],[Year (Range)]]&lt;=$C$10),AnnualExpenses[[#This Row],[Renting Average Monthly Cost]],NA())</f>
        <v>#N/A</v>
      </c>
      <c r="W82" s="4">
        <f>'Annual Amort. Sch.'!AL81</f>
        <v>0</v>
      </c>
      <c r="X82" s="4">
        <f>'Annual Amort. Sch.'!AM81</f>
        <v>100128.8730992652</v>
      </c>
      <c r="Y82" s="4">
        <f>(AnnualExpenses[[#This Row],[Total Annual Direct Housing Expenses]]+AnnualExpenses[[#This Row],[Total Annual Indirect Housing Expenses]])</f>
        <v>100128.8730992652</v>
      </c>
      <c r="Z82" s="4">
        <f>AnnualExpenses[[#This Row],[Total Annual Housing Expenses]]/12</f>
        <v>8344.0727582720992</v>
      </c>
      <c r="AA82" s="164">
        <f t="shared" si="4"/>
        <v>443033.14216756495</v>
      </c>
      <c r="AB82" s="164">
        <f>AnnualExpenses[[#This Row],[Total Annual Rental Expenses]]/12</f>
        <v>36919.428513963743</v>
      </c>
      <c r="AC82" s="166"/>
      <c r="AD82" s="243">
        <v>65</v>
      </c>
      <c r="AE82" s="212">
        <f t="shared" si="2"/>
        <v>2086</v>
      </c>
      <c r="AF82" s="183">
        <f>IF(AnnualExpenses[[#This Row],[Total Annual Housing Expenses]]-AnnualExpenses[[#This Row],[Total Annual Rental Expenses]]&lt;0,AnnualExpenses[[#This Row],[Total Annual Rental Expenses]]-AnnualExpenses[[#This Row],[Total Annual Housing Expenses]],0)</f>
        <v>342904.26906829973</v>
      </c>
      <c r="AG82" s="183">
        <f>IF(AnnualExpenses[[#This Row],[Total Annual Housing Expenses]]-AnnualExpenses[[#This Row],[Total Annual Rental Expenses]]&gt;0,AnnualExpenses[[#This Row],[Total Annual Housing Expenses]]-AnnualExpenses[[#This Row],[Total Annual Rental Expenses]],0)</f>
        <v>0</v>
      </c>
    </row>
    <row r="83" spans="11:33" x14ac:dyDescent="0.25">
      <c r="K83" s="161">
        <v>66</v>
      </c>
      <c r="L83" s="161">
        <f t="shared" ref="L83:L117" si="5">purchase_year+K82</f>
        <v>2087</v>
      </c>
      <c r="M83" s="215">
        <f>IF(AnnualExpenses[[#This Row],[Calendar Year]]&gt;=$C$8,AnnualExpenses[[#This Row],[Calendar Year]],NA())</f>
        <v>2087</v>
      </c>
      <c r="N83" s="215" t="e">
        <f>IF((AnnualExpenses[[#This Row],[Calendar Year]]&gt;=$C$8)*(AnnualExpenses[[#This Row],[Calendar Year]]&lt;=$C$10),AnnualExpenses[[#This Row],[Calendar Year]],NA())</f>
        <v>#N/A</v>
      </c>
      <c r="O83" s="214" t="e">
        <f>IF((AnnualExpenses[[#This Row],[Year (Range)]]&gt;=$C$8)*(AnnualExpenses[[#This Row],[Year (Range)]]&lt;=$C$10),Table65[[#This Row],[Buy, Instead of Rent]],NA())</f>
        <v>#N/A</v>
      </c>
      <c r="P83" s="214" t="e">
        <f>IF((AnnualExpenses[[#This Row],[Year (Range)]]&gt;=$C$8)*(AnnualExpenses[[#This Row],[Year (Range)]]&lt;=$C$10),Table65[[#This Row],[Rent, Instead of Buy]],NA())</f>
        <v>#N/A</v>
      </c>
      <c r="Q83" s="214" t="e">
        <f>IF((AnnualExpenses[[#This Row],[Year (Range)]]&gt;=$C$8)*(AnnualExpenses[[#This Row],[Year (Range)]]&lt;=$C$10),AnnualExpenses[[#This Row],[Total Annual Direct Housing Expenses]],NA())</f>
        <v>#N/A</v>
      </c>
      <c r="R83" s="214" t="e">
        <f>IF((AnnualExpenses[[#This Row],[Year (Range)]]&gt;=$C$8)*(AnnualExpenses[[#This Row],[Year (Range)]]&lt;=$C$10),AnnualExpenses[[#This Row],[Total Annual Indirect Housing Expenses]],NA())</f>
        <v>#N/A</v>
      </c>
      <c r="S83" s="214" t="e">
        <f>IF((AnnualExpenses[[#This Row],[Year (Range)]]&gt;=$C$8)*(AnnualExpenses[[#This Row],[Year (Range)]]&lt;=$C$10),AnnualExpenses[[#This Row],[Total Annual Rental Expenses]],NA())</f>
        <v>#N/A</v>
      </c>
      <c r="T83" s="214" t="e">
        <f>IF((AnnualExpenses[[#This Row],[Year (Range)]]&gt;=$C$8)*(AnnualExpenses[[#This Row],[Year (Range)]]&lt;=$C$10),AnnualExpenses[[#This Row],[Total Annual Housing Expenses]],NA())</f>
        <v>#N/A</v>
      </c>
      <c r="U83" s="214" t="e">
        <f>IF((AnnualExpenses[[#This Row],[Year (Range)]]&gt;=$C$8)*(AnnualExpenses[[#This Row],[Year (Range)]]&lt;=$C$10),AnnualExpenses[[#This Row],[Buying Average Monthly Cost]],NA())</f>
        <v>#N/A</v>
      </c>
      <c r="V83" s="214" t="e">
        <f>IF((AnnualExpenses[[#This Row],[Year (Range)]]&gt;=$C$8)*(AnnualExpenses[[#This Row],[Year (Range)]]&lt;=$C$10),AnnualExpenses[[#This Row],[Renting Average Monthly Cost]],NA())</f>
        <v>#N/A</v>
      </c>
      <c r="W83" s="4">
        <f>'Annual Amort. Sch.'!AL82</f>
        <v>0</v>
      </c>
      <c r="X83" s="4">
        <f>'Annual Amort. Sch.'!AM82</f>
        <v>103132.73929224315</v>
      </c>
      <c r="Y83" s="4">
        <f>(AnnualExpenses[[#This Row],[Total Annual Direct Housing Expenses]]+AnnualExpenses[[#This Row],[Total Annual Indirect Housing Expenses]])</f>
        <v>103132.73929224315</v>
      </c>
      <c r="Z83" s="4">
        <f>AnnualExpenses[[#This Row],[Total Annual Housing Expenses]]/12</f>
        <v>8594.3949410202622</v>
      </c>
      <c r="AA83" s="164">
        <f t="shared" ref="AA83:AA117" si="6">AA82*(1+annual_rent_increase)</f>
        <v>460754.46785426757</v>
      </c>
      <c r="AB83" s="164">
        <f>AnnualExpenses[[#This Row],[Total Annual Rental Expenses]]/12</f>
        <v>38396.205654522295</v>
      </c>
      <c r="AC83" s="166"/>
      <c r="AD83" s="243">
        <v>66</v>
      </c>
      <c r="AE83" s="212">
        <f t="shared" ref="AE83:AE117" si="7">purchase_year+AD82</f>
        <v>2087</v>
      </c>
      <c r="AF83" s="183">
        <f>IF(AnnualExpenses[[#This Row],[Total Annual Housing Expenses]]-AnnualExpenses[[#This Row],[Total Annual Rental Expenses]]&lt;0,AnnualExpenses[[#This Row],[Total Annual Rental Expenses]]-AnnualExpenses[[#This Row],[Total Annual Housing Expenses]],0)</f>
        <v>357621.72856202442</v>
      </c>
      <c r="AG83" s="183">
        <f>IF(AnnualExpenses[[#This Row],[Total Annual Housing Expenses]]-AnnualExpenses[[#This Row],[Total Annual Rental Expenses]]&gt;0,AnnualExpenses[[#This Row],[Total Annual Housing Expenses]]-AnnualExpenses[[#This Row],[Total Annual Rental Expenses]],0)</f>
        <v>0</v>
      </c>
    </row>
    <row r="84" spans="11:33" x14ac:dyDescent="0.25">
      <c r="K84" s="161">
        <v>67</v>
      </c>
      <c r="L84" s="161">
        <f t="shared" si="5"/>
        <v>2088</v>
      </c>
      <c r="M84" s="215">
        <f>IF(AnnualExpenses[[#This Row],[Calendar Year]]&gt;=$C$8,AnnualExpenses[[#This Row],[Calendar Year]],NA())</f>
        <v>2088</v>
      </c>
      <c r="N84" s="215" t="e">
        <f>IF((AnnualExpenses[[#This Row],[Calendar Year]]&gt;=$C$8)*(AnnualExpenses[[#This Row],[Calendar Year]]&lt;=$C$10),AnnualExpenses[[#This Row],[Calendar Year]],NA())</f>
        <v>#N/A</v>
      </c>
      <c r="O84" s="214" t="e">
        <f>IF((AnnualExpenses[[#This Row],[Year (Range)]]&gt;=$C$8)*(AnnualExpenses[[#This Row],[Year (Range)]]&lt;=$C$10),Table65[[#This Row],[Buy, Instead of Rent]],NA())</f>
        <v>#N/A</v>
      </c>
      <c r="P84" s="214" t="e">
        <f>IF((AnnualExpenses[[#This Row],[Year (Range)]]&gt;=$C$8)*(AnnualExpenses[[#This Row],[Year (Range)]]&lt;=$C$10),Table65[[#This Row],[Rent, Instead of Buy]],NA())</f>
        <v>#N/A</v>
      </c>
      <c r="Q84" s="214" t="e">
        <f>IF((AnnualExpenses[[#This Row],[Year (Range)]]&gt;=$C$8)*(AnnualExpenses[[#This Row],[Year (Range)]]&lt;=$C$10),AnnualExpenses[[#This Row],[Total Annual Direct Housing Expenses]],NA())</f>
        <v>#N/A</v>
      </c>
      <c r="R84" s="214" t="e">
        <f>IF((AnnualExpenses[[#This Row],[Year (Range)]]&gt;=$C$8)*(AnnualExpenses[[#This Row],[Year (Range)]]&lt;=$C$10),AnnualExpenses[[#This Row],[Total Annual Indirect Housing Expenses]],NA())</f>
        <v>#N/A</v>
      </c>
      <c r="S84" s="214" t="e">
        <f>IF((AnnualExpenses[[#This Row],[Year (Range)]]&gt;=$C$8)*(AnnualExpenses[[#This Row],[Year (Range)]]&lt;=$C$10),AnnualExpenses[[#This Row],[Total Annual Rental Expenses]],NA())</f>
        <v>#N/A</v>
      </c>
      <c r="T84" s="214" t="e">
        <f>IF((AnnualExpenses[[#This Row],[Year (Range)]]&gt;=$C$8)*(AnnualExpenses[[#This Row],[Year (Range)]]&lt;=$C$10),AnnualExpenses[[#This Row],[Total Annual Housing Expenses]],NA())</f>
        <v>#N/A</v>
      </c>
      <c r="U84" s="214" t="e">
        <f>IF((AnnualExpenses[[#This Row],[Year (Range)]]&gt;=$C$8)*(AnnualExpenses[[#This Row],[Year (Range)]]&lt;=$C$10),AnnualExpenses[[#This Row],[Buying Average Monthly Cost]],NA())</f>
        <v>#N/A</v>
      </c>
      <c r="V84" s="214" t="e">
        <f>IF((AnnualExpenses[[#This Row],[Year (Range)]]&gt;=$C$8)*(AnnualExpenses[[#This Row],[Year (Range)]]&lt;=$C$10),AnnualExpenses[[#This Row],[Renting Average Monthly Cost]],NA())</f>
        <v>#N/A</v>
      </c>
      <c r="W84" s="4">
        <f>'Annual Amort. Sch.'!AL83</f>
        <v>0</v>
      </c>
      <c r="X84" s="4">
        <f>'Annual Amort. Sch.'!AM83</f>
        <v>106226.72147101045</v>
      </c>
      <c r="Y84" s="4">
        <f>(AnnualExpenses[[#This Row],[Total Annual Direct Housing Expenses]]+AnnualExpenses[[#This Row],[Total Annual Indirect Housing Expenses]])</f>
        <v>106226.72147101045</v>
      </c>
      <c r="Z84" s="4">
        <f>AnnualExpenses[[#This Row],[Total Annual Housing Expenses]]/12</f>
        <v>8852.2267892508698</v>
      </c>
      <c r="AA84" s="164">
        <f t="shared" si="6"/>
        <v>479184.64656843827</v>
      </c>
      <c r="AB84" s="164">
        <f>AnnualExpenses[[#This Row],[Total Annual Rental Expenses]]/12</f>
        <v>39932.053880703192</v>
      </c>
      <c r="AC84" s="166"/>
      <c r="AD84" s="243">
        <v>67</v>
      </c>
      <c r="AE84" s="212">
        <f t="shared" si="7"/>
        <v>2088</v>
      </c>
      <c r="AF84" s="183">
        <f>IF(AnnualExpenses[[#This Row],[Total Annual Housing Expenses]]-AnnualExpenses[[#This Row],[Total Annual Rental Expenses]]&lt;0,AnnualExpenses[[#This Row],[Total Annual Rental Expenses]]-AnnualExpenses[[#This Row],[Total Annual Housing Expenses]],0)</f>
        <v>372957.9250974278</v>
      </c>
      <c r="AG84" s="183">
        <f>IF(AnnualExpenses[[#This Row],[Total Annual Housing Expenses]]-AnnualExpenses[[#This Row],[Total Annual Rental Expenses]]&gt;0,AnnualExpenses[[#This Row],[Total Annual Housing Expenses]]-AnnualExpenses[[#This Row],[Total Annual Rental Expenses]],0)</f>
        <v>0</v>
      </c>
    </row>
    <row r="85" spans="11:33" x14ac:dyDescent="0.25">
      <c r="K85" s="161">
        <v>68</v>
      </c>
      <c r="L85" s="161">
        <f t="shared" si="5"/>
        <v>2089</v>
      </c>
      <c r="M85" s="215">
        <f>IF(AnnualExpenses[[#This Row],[Calendar Year]]&gt;=$C$8,AnnualExpenses[[#This Row],[Calendar Year]],NA())</f>
        <v>2089</v>
      </c>
      <c r="N85" s="215" t="e">
        <f>IF((AnnualExpenses[[#This Row],[Calendar Year]]&gt;=$C$8)*(AnnualExpenses[[#This Row],[Calendar Year]]&lt;=$C$10),AnnualExpenses[[#This Row],[Calendar Year]],NA())</f>
        <v>#N/A</v>
      </c>
      <c r="O85" s="214" t="e">
        <f>IF((AnnualExpenses[[#This Row],[Year (Range)]]&gt;=$C$8)*(AnnualExpenses[[#This Row],[Year (Range)]]&lt;=$C$10),Table65[[#This Row],[Buy, Instead of Rent]],NA())</f>
        <v>#N/A</v>
      </c>
      <c r="P85" s="214" t="e">
        <f>IF((AnnualExpenses[[#This Row],[Year (Range)]]&gt;=$C$8)*(AnnualExpenses[[#This Row],[Year (Range)]]&lt;=$C$10),Table65[[#This Row],[Rent, Instead of Buy]],NA())</f>
        <v>#N/A</v>
      </c>
      <c r="Q85" s="214" t="e">
        <f>IF((AnnualExpenses[[#This Row],[Year (Range)]]&gt;=$C$8)*(AnnualExpenses[[#This Row],[Year (Range)]]&lt;=$C$10),AnnualExpenses[[#This Row],[Total Annual Direct Housing Expenses]],NA())</f>
        <v>#N/A</v>
      </c>
      <c r="R85" s="214" t="e">
        <f>IF((AnnualExpenses[[#This Row],[Year (Range)]]&gt;=$C$8)*(AnnualExpenses[[#This Row],[Year (Range)]]&lt;=$C$10),AnnualExpenses[[#This Row],[Total Annual Indirect Housing Expenses]],NA())</f>
        <v>#N/A</v>
      </c>
      <c r="S85" s="214" t="e">
        <f>IF((AnnualExpenses[[#This Row],[Year (Range)]]&gt;=$C$8)*(AnnualExpenses[[#This Row],[Year (Range)]]&lt;=$C$10),AnnualExpenses[[#This Row],[Total Annual Rental Expenses]],NA())</f>
        <v>#N/A</v>
      </c>
      <c r="T85" s="214" t="e">
        <f>IF((AnnualExpenses[[#This Row],[Year (Range)]]&gt;=$C$8)*(AnnualExpenses[[#This Row],[Year (Range)]]&lt;=$C$10),AnnualExpenses[[#This Row],[Total Annual Housing Expenses]],NA())</f>
        <v>#N/A</v>
      </c>
      <c r="U85" s="214" t="e">
        <f>IF((AnnualExpenses[[#This Row],[Year (Range)]]&gt;=$C$8)*(AnnualExpenses[[#This Row],[Year (Range)]]&lt;=$C$10),AnnualExpenses[[#This Row],[Buying Average Monthly Cost]],NA())</f>
        <v>#N/A</v>
      </c>
      <c r="V85" s="214" t="e">
        <f>IF((AnnualExpenses[[#This Row],[Year (Range)]]&gt;=$C$8)*(AnnualExpenses[[#This Row],[Year (Range)]]&lt;=$C$10),AnnualExpenses[[#This Row],[Renting Average Monthly Cost]],NA())</f>
        <v>#N/A</v>
      </c>
      <c r="W85" s="4">
        <f>'Annual Amort. Sch.'!AL84</f>
        <v>0</v>
      </c>
      <c r="X85" s="4">
        <f>'Annual Amort. Sch.'!AM84</f>
        <v>109413.52311514076</v>
      </c>
      <c r="Y85" s="4">
        <f>(AnnualExpenses[[#This Row],[Total Annual Direct Housing Expenses]]+AnnualExpenses[[#This Row],[Total Annual Indirect Housing Expenses]])</f>
        <v>109413.52311514076</v>
      </c>
      <c r="Z85" s="4">
        <f>AnnualExpenses[[#This Row],[Total Annual Housing Expenses]]/12</f>
        <v>9117.7935929283976</v>
      </c>
      <c r="AA85" s="164">
        <f t="shared" si="6"/>
        <v>498352.03243117582</v>
      </c>
      <c r="AB85" s="164">
        <f>AnnualExpenses[[#This Row],[Total Annual Rental Expenses]]/12</f>
        <v>41529.336035931316</v>
      </c>
      <c r="AC85" s="166"/>
      <c r="AD85" s="243">
        <v>68</v>
      </c>
      <c r="AE85" s="212">
        <f t="shared" si="7"/>
        <v>2089</v>
      </c>
      <c r="AF85" s="183">
        <f>IF(AnnualExpenses[[#This Row],[Total Annual Housing Expenses]]-AnnualExpenses[[#This Row],[Total Annual Rental Expenses]]&lt;0,AnnualExpenses[[#This Row],[Total Annual Rental Expenses]]-AnnualExpenses[[#This Row],[Total Annual Housing Expenses]],0)</f>
        <v>388938.50931603508</v>
      </c>
      <c r="AG85" s="183">
        <f>IF(AnnualExpenses[[#This Row],[Total Annual Housing Expenses]]-AnnualExpenses[[#This Row],[Total Annual Rental Expenses]]&gt;0,AnnualExpenses[[#This Row],[Total Annual Housing Expenses]]-AnnualExpenses[[#This Row],[Total Annual Rental Expenses]],0)</f>
        <v>0</v>
      </c>
    </row>
    <row r="86" spans="11:33" x14ac:dyDescent="0.25">
      <c r="K86" s="161">
        <v>69</v>
      </c>
      <c r="L86" s="161">
        <f t="shared" si="5"/>
        <v>2090</v>
      </c>
      <c r="M86" s="215">
        <f>IF(AnnualExpenses[[#This Row],[Calendar Year]]&gt;=$C$8,AnnualExpenses[[#This Row],[Calendar Year]],NA())</f>
        <v>2090</v>
      </c>
      <c r="N86" s="215" t="e">
        <f>IF((AnnualExpenses[[#This Row],[Calendar Year]]&gt;=$C$8)*(AnnualExpenses[[#This Row],[Calendar Year]]&lt;=$C$10),AnnualExpenses[[#This Row],[Calendar Year]],NA())</f>
        <v>#N/A</v>
      </c>
      <c r="O86" s="214" t="e">
        <f>IF((AnnualExpenses[[#This Row],[Year (Range)]]&gt;=$C$8)*(AnnualExpenses[[#This Row],[Year (Range)]]&lt;=$C$10),Table65[[#This Row],[Buy, Instead of Rent]],NA())</f>
        <v>#N/A</v>
      </c>
      <c r="P86" s="214" t="e">
        <f>IF((AnnualExpenses[[#This Row],[Year (Range)]]&gt;=$C$8)*(AnnualExpenses[[#This Row],[Year (Range)]]&lt;=$C$10),Table65[[#This Row],[Rent, Instead of Buy]],NA())</f>
        <v>#N/A</v>
      </c>
      <c r="Q86" s="214" t="e">
        <f>IF((AnnualExpenses[[#This Row],[Year (Range)]]&gt;=$C$8)*(AnnualExpenses[[#This Row],[Year (Range)]]&lt;=$C$10),AnnualExpenses[[#This Row],[Total Annual Direct Housing Expenses]],NA())</f>
        <v>#N/A</v>
      </c>
      <c r="R86" s="214" t="e">
        <f>IF((AnnualExpenses[[#This Row],[Year (Range)]]&gt;=$C$8)*(AnnualExpenses[[#This Row],[Year (Range)]]&lt;=$C$10),AnnualExpenses[[#This Row],[Total Annual Indirect Housing Expenses]],NA())</f>
        <v>#N/A</v>
      </c>
      <c r="S86" s="214" t="e">
        <f>IF((AnnualExpenses[[#This Row],[Year (Range)]]&gt;=$C$8)*(AnnualExpenses[[#This Row],[Year (Range)]]&lt;=$C$10),AnnualExpenses[[#This Row],[Total Annual Rental Expenses]],NA())</f>
        <v>#N/A</v>
      </c>
      <c r="T86" s="214" t="e">
        <f>IF((AnnualExpenses[[#This Row],[Year (Range)]]&gt;=$C$8)*(AnnualExpenses[[#This Row],[Year (Range)]]&lt;=$C$10),AnnualExpenses[[#This Row],[Total Annual Housing Expenses]],NA())</f>
        <v>#N/A</v>
      </c>
      <c r="U86" s="214" t="e">
        <f>IF((AnnualExpenses[[#This Row],[Year (Range)]]&gt;=$C$8)*(AnnualExpenses[[#This Row],[Year (Range)]]&lt;=$C$10),AnnualExpenses[[#This Row],[Buying Average Monthly Cost]],NA())</f>
        <v>#N/A</v>
      </c>
      <c r="V86" s="214" t="e">
        <f>IF((AnnualExpenses[[#This Row],[Year (Range)]]&gt;=$C$8)*(AnnualExpenses[[#This Row],[Year (Range)]]&lt;=$C$10),AnnualExpenses[[#This Row],[Renting Average Monthly Cost]],NA())</f>
        <v>#N/A</v>
      </c>
      <c r="W86" s="4">
        <f>'Annual Amort. Sch.'!AL85</f>
        <v>0</v>
      </c>
      <c r="X86" s="4">
        <f>'Annual Amort. Sch.'!AM85</f>
        <v>112695.92880859498</v>
      </c>
      <c r="Y86" s="4">
        <f>(AnnualExpenses[[#This Row],[Total Annual Direct Housing Expenses]]+AnnualExpenses[[#This Row],[Total Annual Indirect Housing Expenses]])</f>
        <v>112695.92880859498</v>
      </c>
      <c r="Z86" s="4">
        <f>AnnualExpenses[[#This Row],[Total Annual Housing Expenses]]/12</f>
        <v>9391.327400716249</v>
      </c>
      <c r="AA86" s="164">
        <f t="shared" si="6"/>
        <v>518286.11372842285</v>
      </c>
      <c r="AB86" s="164">
        <f>AnnualExpenses[[#This Row],[Total Annual Rental Expenses]]/12</f>
        <v>43190.509477368571</v>
      </c>
      <c r="AC86" s="166"/>
      <c r="AD86" s="243">
        <v>69</v>
      </c>
      <c r="AE86" s="212">
        <f t="shared" si="7"/>
        <v>2090</v>
      </c>
      <c r="AF86" s="183">
        <f>IF(AnnualExpenses[[#This Row],[Total Annual Housing Expenses]]-AnnualExpenses[[#This Row],[Total Annual Rental Expenses]]&lt;0,AnnualExpenses[[#This Row],[Total Annual Rental Expenses]]-AnnualExpenses[[#This Row],[Total Annual Housing Expenses]],0)</f>
        <v>405590.18491982785</v>
      </c>
      <c r="AG86" s="183">
        <f>IF(AnnualExpenses[[#This Row],[Total Annual Housing Expenses]]-AnnualExpenses[[#This Row],[Total Annual Rental Expenses]]&gt;0,AnnualExpenses[[#This Row],[Total Annual Housing Expenses]]-AnnualExpenses[[#This Row],[Total Annual Rental Expenses]],0)</f>
        <v>0</v>
      </c>
    </row>
    <row r="87" spans="11:33" x14ac:dyDescent="0.25">
      <c r="K87" s="161">
        <v>70</v>
      </c>
      <c r="L87" s="161">
        <f t="shared" si="5"/>
        <v>2091</v>
      </c>
      <c r="M87" s="215">
        <f>IF(AnnualExpenses[[#This Row],[Calendar Year]]&gt;=$C$8,AnnualExpenses[[#This Row],[Calendar Year]],NA())</f>
        <v>2091</v>
      </c>
      <c r="N87" s="215" t="e">
        <f>IF((AnnualExpenses[[#This Row],[Calendar Year]]&gt;=$C$8)*(AnnualExpenses[[#This Row],[Calendar Year]]&lt;=$C$10),AnnualExpenses[[#This Row],[Calendar Year]],NA())</f>
        <v>#N/A</v>
      </c>
      <c r="O87" s="214" t="e">
        <f>IF((AnnualExpenses[[#This Row],[Year (Range)]]&gt;=$C$8)*(AnnualExpenses[[#This Row],[Year (Range)]]&lt;=$C$10),Table65[[#This Row],[Buy, Instead of Rent]],NA())</f>
        <v>#N/A</v>
      </c>
      <c r="P87" s="214" t="e">
        <f>IF((AnnualExpenses[[#This Row],[Year (Range)]]&gt;=$C$8)*(AnnualExpenses[[#This Row],[Year (Range)]]&lt;=$C$10),Table65[[#This Row],[Rent, Instead of Buy]],NA())</f>
        <v>#N/A</v>
      </c>
      <c r="Q87" s="214" t="e">
        <f>IF((AnnualExpenses[[#This Row],[Year (Range)]]&gt;=$C$8)*(AnnualExpenses[[#This Row],[Year (Range)]]&lt;=$C$10),AnnualExpenses[[#This Row],[Total Annual Direct Housing Expenses]],NA())</f>
        <v>#N/A</v>
      </c>
      <c r="R87" s="214" t="e">
        <f>IF((AnnualExpenses[[#This Row],[Year (Range)]]&gt;=$C$8)*(AnnualExpenses[[#This Row],[Year (Range)]]&lt;=$C$10),AnnualExpenses[[#This Row],[Total Annual Indirect Housing Expenses]],NA())</f>
        <v>#N/A</v>
      </c>
      <c r="S87" s="214" t="e">
        <f>IF((AnnualExpenses[[#This Row],[Year (Range)]]&gt;=$C$8)*(AnnualExpenses[[#This Row],[Year (Range)]]&lt;=$C$10),AnnualExpenses[[#This Row],[Total Annual Rental Expenses]],NA())</f>
        <v>#N/A</v>
      </c>
      <c r="T87" s="214" t="e">
        <f>IF((AnnualExpenses[[#This Row],[Year (Range)]]&gt;=$C$8)*(AnnualExpenses[[#This Row],[Year (Range)]]&lt;=$C$10),AnnualExpenses[[#This Row],[Total Annual Housing Expenses]],NA())</f>
        <v>#N/A</v>
      </c>
      <c r="U87" s="214" t="e">
        <f>IF((AnnualExpenses[[#This Row],[Year (Range)]]&gt;=$C$8)*(AnnualExpenses[[#This Row],[Year (Range)]]&lt;=$C$10),AnnualExpenses[[#This Row],[Buying Average Monthly Cost]],NA())</f>
        <v>#N/A</v>
      </c>
      <c r="V87" s="214" t="e">
        <f>IF((AnnualExpenses[[#This Row],[Year (Range)]]&gt;=$C$8)*(AnnualExpenses[[#This Row],[Year (Range)]]&lt;=$C$10),AnnualExpenses[[#This Row],[Renting Average Monthly Cost]],NA())</f>
        <v>#N/A</v>
      </c>
      <c r="W87" s="4">
        <f>'Annual Amort. Sch.'!AL86</f>
        <v>0</v>
      </c>
      <c r="X87" s="4">
        <f>'Annual Amort. Sch.'!AM86</f>
        <v>116076.80667285285</v>
      </c>
      <c r="Y87" s="4">
        <f>(AnnualExpenses[[#This Row],[Total Annual Direct Housing Expenses]]+AnnualExpenses[[#This Row],[Total Annual Indirect Housing Expenses]])</f>
        <v>116076.80667285285</v>
      </c>
      <c r="Z87" s="4">
        <f>AnnualExpenses[[#This Row],[Total Annual Housing Expenses]]/12</f>
        <v>9673.0672227377381</v>
      </c>
      <c r="AA87" s="164">
        <f t="shared" si="6"/>
        <v>539017.55827755982</v>
      </c>
      <c r="AB87" s="164">
        <f>AnnualExpenses[[#This Row],[Total Annual Rental Expenses]]/12</f>
        <v>44918.129856463318</v>
      </c>
      <c r="AC87" s="166"/>
      <c r="AD87" s="243">
        <v>70</v>
      </c>
      <c r="AE87" s="212">
        <f t="shared" si="7"/>
        <v>2091</v>
      </c>
      <c r="AF87" s="183">
        <f>IF(AnnualExpenses[[#This Row],[Total Annual Housing Expenses]]-AnnualExpenses[[#This Row],[Total Annual Rental Expenses]]&lt;0,AnnualExpenses[[#This Row],[Total Annual Rental Expenses]]-AnnualExpenses[[#This Row],[Total Annual Housing Expenses]],0)</f>
        <v>422940.75160470698</v>
      </c>
      <c r="AG87" s="183">
        <f>IF(AnnualExpenses[[#This Row],[Total Annual Housing Expenses]]-AnnualExpenses[[#This Row],[Total Annual Rental Expenses]]&gt;0,AnnualExpenses[[#This Row],[Total Annual Housing Expenses]]-AnnualExpenses[[#This Row],[Total Annual Rental Expenses]],0)</f>
        <v>0</v>
      </c>
    </row>
    <row r="88" spans="11:33" x14ac:dyDescent="0.25">
      <c r="K88" s="161">
        <v>71</v>
      </c>
      <c r="L88" s="161">
        <f t="shared" si="5"/>
        <v>2092</v>
      </c>
      <c r="M88" s="215">
        <f>IF(AnnualExpenses[[#This Row],[Calendar Year]]&gt;=$C$8,AnnualExpenses[[#This Row],[Calendar Year]],NA())</f>
        <v>2092</v>
      </c>
      <c r="N88" s="215" t="e">
        <f>IF((AnnualExpenses[[#This Row],[Calendar Year]]&gt;=$C$8)*(AnnualExpenses[[#This Row],[Calendar Year]]&lt;=$C$10),AnnualExpenses[[#This Row],[Calendar Year]],NA())</f>
        <v>#N/A</v>
      </c>
      <c r="O88" s="214" t="e">
        <f>IF((AnnualExpenses[[#This Row],[Year (Range)]]&gt;=$C$8)*(AnnualExpenses[[#This Row],[Year (Range)]]&lt;=$C$10),Table65[[#This Row],[Buy, Instead of Rent]],NA())</f>
        <v>#N/A</v>
      </c>
      <c r="P88" s="214" t="e">
        <f>IF((AnnualExpenses[[#This Row],[Year (Range)]]&gt;=$C$8)*(AnnualExpenses[[#This Row],[Year (Range)]]&lt;=$C$10),Table65[[#This Row],[Rent, Instead of Buy]],NA())</f>
        <v>#N/A</v>
      </c>
      <c r="Q88" s="214" t="e">
        <f>IF((AnnualExpenses[[#This Row],[Year (Range)]]&gt;=$C$8)*(AnnualExpenses[[#This Row],[Year (Range)]]&lt;=$C$10),AnnualExpenses[[#This Row],[Total Annual Direct Housing Expenses]],NA())</f>
        <v>#N/A</v>
      </c>
      <c r="R88" s="214" t="e">
        <f>IF((AnnualExpenses[[#This Row],[Year (Range)]]&gt;=$C$8)*(AnnualExpenses[[#This Row],[Year (Range)]]&lt;=$C$10),AnnualExpenses[[#This Row],[Total Annual Indirect Housing Expenses]],NA())</f>
        <v>#N/A</v>
      </c>
      <c r="S88" s="214" t="e">
        <f>IF((AnnualExpenses[[#This Row],[Year (Range)]]&gt;=$C$8)*(AnnualExpenses[[#This Row],[Year (Range)]]&lt;=$C$10),AnnualExpenses[[#This Row],[Total Annual Rental Expenses]],NA())</f>
        <v>#N/A</v>
      </c>
      <c r="T88" s="214" t="e">
        <f>IF((AnnualExpenses[[#This Row],[Year (Range)]]&gt;=$C$8)*(AnnualExpenses[[#This Row],[Year (Range)]]&lt;=$C$10),AnnualExpenses[[#This Row],[Total Annual Housing Expenses]],NA())</f>
        <v>#N/A</v>
      </c>
      <c r="U88" s="214" t="e">
        <f>IF((AnnualExpenses[[#This Row],[Year (Range)]]&gt;=$C$8)*(AnnualExpenses[[#This Row],[Year (Range)]]&lt;=$C$10),AnnualExpenses[[#This Row],[Buying Average Monthly Cost]],NA())</f>
        <v>#N/A</v>
      </c>
      <c r="V88" s="214" t="e">
        <f>IF((AnnualExpenses[[#This Row],[Year (Range)]]&gt;=$C$8)*(AnnualExpenses[[#This Row],[Year (Range)]]&lt;=$C$10),AnnualExpenses[[#This Row],[Renting Average Monthly Cost]],NA())</f>
        <v>#N/A</v>
      </c>
      <c r="W88" s="4">
        <f>'Annual Amort. Sch.'!AL87</f>
        <v>0</v>
      </c>
      <c r="X88" s="4">
        <f>'Annual Amort. Sch.'!AM87</f>
        <v>119559.11087303844</v>
      </c>
      <c r="Y88" s="4">
        <f>(AnnualExpenses[[#This Row],[Total Annual Direct Housing Expenses]]+AnnualExpenses[[#This Row],[Total Annual Indirect Housing Expenses]])</f>
        <v>119559.11087303844</v>
      </c>
      <c r="Z88" s="4">
        <f>AnnualExpenses[[#This Row],[Total Annual Housing Expenses]]/12</f>
        <v>9963.2592394198709</v>
      </c>
      <c r="AA88" s="164">
        <f t="shared" si="6"/>
        <v>560578.26060866227</v>
      </c>
      <c r="AB88" s="164">
        <f>AnnualExpenses[[#This Row],[Total Annual Rental Expenses]]/12</f>
        <v>46714.855050721853</v>
      </c>
      <c r="AC88" s="166"/>
      <c r="AD88" s="243">
        <v>71</v>
      </c>
      <c r="AE88" s="212">
        <f t="shared" si="7"/>
        <v>2092</v>
      </c>
      <c r="AF88" s="183">
        <f>IF(AnnualExpenses[[#This Row],[Total Annual Housing Expenses]]-AnnualExpenses[[#This Row],[Total Annual Rental Expenses]]&lt;0,AnnualExpenses[[#This Row],[Total Annual Rental Expenses]]-AnnualExpenses[[#This Row],[Total Annual Housing Expenses]],0)</f>
        <v>441019.14973562385</v>
      </c>
      <c r="AG88" s="183">
        <f>IF(AnnualExpenses[[#This Row],[Total Annual Housing Expenses]]-AnnualExpenses[[#This Row],[Total Annual Rental Expenses]]&gt;0,AnnualExpenses[[#This Row],[Total Annual Housing Expenses]]-AnnualExpenses[[#This Row],[Total Annual Rental Expenses]],0)</f>
        <v>0</v>
      </c>
    </row>
    <row r="89" spans="11:33" x14ac:dyDescent="0.25">
      <c r="K89" s="161">
        <v>72</v>
      </c>
      <c r="L89" s="161">
        <f t="shared" si="5"/>
        <v>2093</v>
      </c>
      <c r="M89" s="215">
        <f>IF(AnnualExpenses[[#This Row],[Calendar Year]]&gt;=$C$8,AnnualExpenses[[#This Row],[Calendar Year]],NA())</f>
        <v>2093</v>
      </c>
      <c r="N89" s="215" t="e">
        <f>IF((AnnualExpenses[[#This Row],[Calendar Year]]&gt;=$C$8)*(AnnualExpenses[[#This Row],[Calendar Year]]&lt;=$C$10),AnnualExpenses[[#This Row],[Calendar Year]],NA())</f>
        <v>#N/A</v>
      </c>
      <c r="O89" s="214" t="e">
        <f>IF((AnnualExpenses[[#This Row],[Year (Range)]]&gt;=$C$8)*(AnnualExpenses[[#This Row],[Year (Range)]]&lt;=$C$10),Table65[[#This Row],[Buy, Instead of Rent]],NA())</f>
        <v>#N/A</v>
      </c>
      <c r="P89" s="214" t="e">
        <f>IF((AnnualExpenses[[#This Row],[Year (Range)]]&gt;=$C$8)*(AnnualExpenses[[#This Row],[Year (Range)]]&lt;=$C$10),Table65[[#This Row],[Rent, Instead of Buy]],NA())</f>
        <v>#N/A</v>
      </c>
      <c r="Q89" s="214" t="e">
        <f>IF((AnnualExpenses[[#This Row],[Year (Range)]]&gt;=$C$8)*(AnnualExpenses[[#This Row],[Year (Range)]]&lt;=$C$10),AnnualExpenses[[#This Row],[Total Annual Direct Housing Expenses]],NA())</f>
        <v>#N/A</v>
      </c>
      <c r="R89" s="214" t="e">
        <f>IF((AnnualExpenses[[#This Row],[Year (Range)]]&gt;=$C$8)*(AnnualExpenses[[#This Row],[Year (Range)]]&lt;=$C$10),AnnualExpenses[[#This Row],[Total Annual Indirect Housing Expenses]],NA())</f>
        <v>#N/A</v>
      </c>
      <c r="S89" s="214" t="e">
        <f>IF((AnnualExpenses[[#This Row],[Year (Range)]]&gt;=$C$8)*(AnnualExpenses[[#This Row],[Year (Range)]]&lt;=$C$10),AnnualExpenses[[#This Row],[Total Annual Rental Expenses]],NA())</f>
        <v>#N/A</v>
      </c>
      <c r="T89" s="214" t="e">
        <f>IF((AnnualExpenses[[#This Row],[Year (Range)]]&gt;=$C$8)*(AnnualExpenses[[#This Row],[Year (Range)]]&lt;=$C$10),AnnualExpenses[[#This Row],[Total Annual Housing Expenses]],NA())</f>
        <v>#N/A</v>
      </c>
      <c r="U89" s="214" t="e">
        <f>IF((AnnualExpenses[[#This Row],[Year (Range)]]&gt;=$C$8)*(AnnualExpenses[[#This Row],[Year (Range)]]&lt;=$C$10),AnnualExpenses[[#This Row],[Buying Average Monthly Cost]],NA())</f>
        <v>#N/A</v>
      </c>
      <c r="V89" s="214" t="e">
        <f>IF((AnnualExpenses[[#This Row],[Year (Range)]]&gt;=$C$8)*(AnnualExpenses[[#This Row],[Year (Range)]]&lt;=$C$10),AnnualExpenses[[#This Row],[Renting Average Monthly Cost]],NA())</f>
        <v>#N/A</v>
      </c>
      <c r="W89" s="4">
        <f>'Annual Amort. Sch.'!AL88</f>
        <v>0</v>
      </c>
      <c r="X89" s="4">
        <f>'Annual Amort. Sch.'!AM88</f>
        <v>123145.88419922959</v>
      </c>
      <c r="Y89" s="4">
        <f>(AnnualExpenses[[#This Row],[Total Annual Direct Housing Expenses]]+AnnualExpenses[[#This Row],[Total Annual Indirect Housing Expenses]])</f>
        <v>123145.88419922959</v>
      </c>
      <c r="Z89" s="4">
        <f>AnnualExpenses[[#This Row],[Total Annual Housing Expenses]]/12</f>
        <v>10262.157016602467</v>
      </c>
      <c r="AA89" s="164">
        <f t="shared" si="6"/>
        <v>583001.39103300881</v>
      </c>
      <c r="AB89" s="164">
        <f>AnnualExpenses[[#This Row],[Total Annual Rental Expenses]]/12</f>
        <v>48583.449252750732</v>
      </c>
      <c r="AC89" s="166"/>
      <c r="AD89" s="243">
        <v>72</v>
      </c>
      <c r="AE89" s="212">
        <f t="shared" si="7"/>
        <v>2093</v>
      </c>
      <c r="AF89" s="183">
        <f>IF(AnnualExpenses[[#This Row],[Total Annual Housing Expenses]]-AnnualExpenses[[#This Row],[Total Annual Rental Expenses]]&lt;0,AnnualExpenses[[#This Row],[Total Annual Rental Expenses]]-AnnualExpenses[[#This Row],[Total Annual Housing Expenses]],0)</f>
        <v>459855.50683377922</v>
      </c>
      <c r="AG89" s="183">
        <f>IF(AnnualExpenses[[#This Row],[Total Annual Housing Expenses]]-AnnualExpenses[[#This Row],[Total Annual Rental Expenses]]&gt;0,AnnualExpenses[[#This Row],[Total Annual Housing Expenses]]-AnnualExpenses[[#This Row],[Total Annual Rental Expenses]],0)</f>
        <v>0</v>
      </c>
    </row>
    <row r="90" spans="11:33" x14ac:dyDescent="0.25">
      <c r="K90" s="161">
        <v>73</v>
      </c>
      <c r="L90" s="161">
        <f t="shared" si="5"/>
        <v>2094</v>
      </c>
      <c r="M90" s="215">
        <f>IF(AnnualExpenses[[#This Row],[Calendar Year]]&gt;=$C$8,AnnualExpenses[[#This Row],[Calendar Year]],NA())</f>
        <v>2094</v>
      </c>
      <c r="N90" s="215" t="e">
        <f>IF((AnnualExpenses[[#This Row],[Calendar Year]]&gt;=$C$8)*(AnnualExpenses[[#This Row],[Calendar Year]]&lt;=$C$10),AnnualExpenses[[#This Row],[Calendar Year]],NA())</f>
        <v>#N/A</v>
      </c>
      <c r="O90" s="214" t="e">
        <f>IF((AnnualExpenses[[#This Row],[Year (Range)]]&gt;=$C$8)*(AnnualExpenses[[#This Row],[Year (Range)]]&lt;=$C$10),Table65[[#This Row],[Buy, Instead of Rent]],NA())</f>
        <v>#N/A</v>
      </c>
      <c r="P90" s="214" t="e">
        <f>IF((AnnualExpenses[[#This Row],[Year (Range)]]&gt;=$C$8)*(AnnualExpenses[[#This Row],[Year (Range)]]&lt;=$C$10),Table65[[#This Row],[Rent, Instead of Buy]],NA())</f>
        <v>#N/A</v>
      </c>
      <c r="Q90" s="214" t="e">
        <f>IF((AnnualExpenses[[#This Row],[Year (Range)]]&gt;=$C$8)*(AnnualExpenses[[#This Row],[Year (Range)]]&lt;=$C$10),AnnualExpenses[[#This Row],[Total Annual Direct Housing Expenses]],NA())</f>
        <v>#N/A</v>
      </c>
      <c r="R90" s="214" t="e">
        <f>IF((AnnualExpenses[[#This Row],[Year (Range)]]&gt;=$C$8)*(AnnualExpenses[[#This Row],[Year (Range)]]&lt;=$C$10),AnnualExpenses[[#This Row],[Total Annual Indirect Housing Expenses]],NA())</f>
        <v>#N/A</v>
      </c>
      <c r="S90" s="214" t="e">
        <f>IF((AnnualExpenses[[#This Row],[Year (Range)]]&gt;=$C$8)*(AnnualExpenses[[#This Row],[Year (Range)]]&lt;=$C$10),AnnualExpenses[[#This Row],[Total Annual Rental Expenses]],NA())</f>
        <v>#N/A</v>
      </c>
      <c r="T90" s="214" t="e">
        <f>IF((AnnualExpenses[[#This Row],[Year (Range)]]&gt;=$C$8)*(AnnualExpenses[[#This Row],[Year (Range)]]&lt;=$C$10),AnnualExpenses[[#This Row],[Total Annual Housing Expenses]],NA())</f>
        <v>#N/A</v>
      </c>
      <c r="U90" s="214" t="e">
        <f>IF((AnnualExpenses[[#This Row],[Year (Range)]]&gt;=$C$8)*(AnnualExpenses[[#This Row],[Year (Range)]]&lt;=$C$10),AnnualExpenses[[#This Row],[Buying Average Monthly Cost]],NA())</f>
        <v>#N/A</v>
      </c>
      <c r="V90" s="214" t="e">
        <f>IF((AnnualExpenses[[#This Row],[Year (Range)]]&gt;=$C$8)*(AnnualExpenses[[#This Row],[Year (Range)]]&lt;=$C$10),AnnualExpenses[[#This Row],[Renting Average Monthly Cost]],NA())</f>
        <v>#N/A</v>
      </c>
      <c r="W90" s="4">
        <f>'Annual Amort. Sch.'!AL89</f>
        <v>0</v>
      </c>
      <c r="X90" s="4">
        <f>'Annual Amort. Sch.'!AM89</f>
        <v>126840.26072520646</v>
      </c>
      <c r="Y90" s="4">
        <f>(AnnualExpenses[[#This Row],[Total Annual Direct Housing Expenses]]+AnnualExpenses[[#This Row],[Total Annual Indirect Housing Expenses]])</f>
        <v>126840.26072520646</v>
      </c>
      <c r="Z90" s="4">
        <f>AnnualExpenses[[#This Row],[Total Annual Housing Expenses]]/12</f>
        <v>10570.021727100539</v>
      </c>
      <c r="AA90" s="164">
        <f t="shared" si="6"/>
        <v>606321.44667432923</v>
      </c>
      <c r="AB90" s="164">
        <f>AnnualExpenses[[#This Row],[Total Annual Rental Expenses]]/12</f>
        <v>50526.787222860767</v>
      </c>
      <c r="AC90" s="166"/>
      <c r="AD90" s="243">
        <v>73</v>
      </c>
      <c r="AE90" s="212">
        <f t="shared" si="7"/>
        <v>2094</v>
      </c>
      <c r="AF90" s="183">
        <f>IF(AnnualExpenses[[#This Row],[Total Annual Housing Expenses]]-AnnualExpenses[[#This Row],[Total Annual Rental Expenses]]&lt;0,AnnualExpenses[[#This Row],[Total Annual Rental Expenses]]-AnnualExpenses[[#This Row],[Total Annual Housing Expenses]],0)</f>
        <v>479481.18594912277</v>
      </c>
      <c r="AG90" s="183">
        <f>IF(AnnualExpenses[[#This Row],[Total Annual Housing Expenses]]-AnnualExpenses[[#This Row],[Total Annual Rental Expenses]]&gt;0,AnnualExpenses[[#This Row],[Total Annual Housing Expenses]]-AnnualExpenses[[#This Row],[Total Annual Rental Expenses]],0)</f>
        <v>0</v>
      </c>
    </row>
    <row r="91" spans="11:33" x14ac:dyDescent="0.25">
      <c r="K91" s="161">
        <v>74</v>
      </c>
      <c r="L91" s="161">
        <f t="shared" si="5"/>
        <v>2095</v>
      </c>
      <c r="M91" s="215">
        <f>IF(AnnualExpenses[[#This Row],[Calendar Year]]&gt;=$C$8,AnnualExpenses[[#This Row],[Calendar Year]],NA())</f>
        <v>2095</v>
      </c>
      <c r="N91" s="215" t="e">
        <f>IF((AnnualExpenses[[#This Row],[Calendar Year]]&gt;=$C$8)*(AnnualExpenses[[#This Row],[Calendar Year]]&lt;=$C$10),AnnualExpenses[[#This Row],[Calendar Year]],NA())</f>
        <v>#N/A</v>
      </c>
      <c r="O91" s="214" t="e">
        <f>IF((AnnualExpenses[[#This Row],[Year (Range)]]&gt;=$C$8)*(AnnualExpenses[[#This Row],[Year (Range)]]&lt;=$C$10),Table65[[#This Row],[Buy, Instead of Rent]],NA())</f>
        <v>#N/A</v>
      </c>
      <c r="P91" s="214" t="e">
        <f>IF((AnnualExpenses[[#This Row],[Year (Range)]]&gt;=$C$8)*(AnnualExpenses[[#This Row],[Year (Range)]]&lt;=$C$10),Table65[[#This Row],[Rent, Instead of Buy]],NA())</f>
        <v>#N/A</v>
      </c>
      <c r="Q91" s="214" t="e">
        <f>IF((AnnualExpenses[[#This Row],[Year (Range)]]&gt;=$C$8)*(AnnualExpenses[[#This Row],[Year (Range)]]&lt;=$C$10),AnnualExpenses[[#This Row],[Total Annual Direct Housing Expenses]],NA())</f>
        <v>#N/A</v>
      </c>
      <c r="R91" s="214" t="e">
        <f>IF((AnnualExpenses[[#This Row],[Year (Range)]]&gt;=$C$8)*(AnnualExpenses[[#This Row],[Year (Range)]]&lt;=$C$10),AnnualExpenses[[#This Row],[Total Annual Indirect Housing Expenses]],NA())</f>
        <v>#N/A</v>
      </c>
      <c r="S91" s="214" t="e">
        <f>IF((AnnualExpenses[[#This Row],[Year (Range)]]&gt;=$C$8)*(AnnualExpenses[[#This Row],[Year (Range)]]&lt;=$C$10),AnnualExpenses[[#This Row],[Total Annual Rental Expenses]],NA())</f>
        <v>#N/A</v>
      </c>
      <c r="T91" s="214" t="e">
        <f>IF((AnnualExpenses[[#This Row],[Year (Range)]]&gt;=$C$8)*(AnnualExpenses[[#This Row],[Year (Range)]]&lt;=$C$10),AnnualExpenses[[#This Row],[Total Annual Housing Expenses]],NA())</f>
        <v>#N/A</v>
      </c>
      <c r="U91" s="214" t="e">
        <f>IF((AnnualExpenses[[#This Row],[Year (Range)]]&gt;=$C$8)*(AnnualExpenses[[#This Row],[Year (Range)]]&lt;=$C$10),AnnualExpenses[[#This Row],[Buying Average Monthly Cost]],NA())</f>
        <v>#N/A</v>
      </c>
      <c r="V91" s="214" t="e">
        <f>IF((AnnualExpenses[[#This Row],[Year (Range)]]&gt;=$C$8)*(AnnualExpenses[[#This Row],[Year (Range)]]&lt;=$C$10),AnnualExpenses[[#This Row],[Renting Average Monthly Cost]],NA())</f>
        <v>#N/A</v>
      </c>
      <c r="W91" s="4">
        <f>'Annual Amort. Sch.'!AL90</f>
        <v>0</v>
      </c>
      <c r="X91" s="4">
        <f>'Annual Amort. Sch.'!AM90</f>
        <v>130645.46854696266</v>
      </c>
      <c r="Y91" s="4">
        <f>(AnnualExpenses[[#This Row],[Total Annual Direct Housing Expenses]]+AnnualExpenses[[#This Row],[Total Annual Indirect Housing Expenses]])</f>
        <v>130645.46854696266</v>
      </c>
      <c r="Z91" s="4">
        <f>AnnualExpenses[[#This Row],[Total Annual Housing Expenses]]/12</f>
        <v>10887.122378913555</v>
      </c>
      <c r="AA91" s="164">
        <f t="shared" si="6"/>
        <v>630574.30454130238</v>
      </c>
      <c r="AB91" s="164">
        <f>AnnualExpenses[[#This Row],[Total Annual Rental Expenses]]/12</f>
        <v>52547.858711775196</v>
      </c>
      <c r="AC91" s="166"/>
      <c r="AD91" s="243">
        <v>74</v>
      </c>
      <c r="AE91" s="212">
        <f t="shared" si="7"/>
        <v>2095</v>
      </c>
      <c r="AF91" s="183">
        <f>IF(AnnualExpenses[[#This Row],[Total Annual Housing Expenses]]-AnnualExpenses[[#This Row],[Total Annual Rental Expenses]]&lt;0,AnnualExpenses[[#This Row],[Total Annual Rental Expenses]]-AnnualExpenses[[#This Row],[Total Annual Housing Expenses]],0)</f>
        <v>499928.83599433972</v>
      </c>
      <c r="AG91" s="183">
        <f>IF(AnnualExpenses[[#This Row],[Total Annual Housing Expenses]]-AnnualExpenses[[#This Row],[Total Annual Rental Expenses]]&gt;0,AnnualExpenses[[#This Row],[Total Annual Housing Expenses]]-AnnualExpenses[[#This Row],[Total Annual Rental Expenses]],0)</f>
        <v>0</v>
      </c>
    </row>
    <row r="92" spans="11:33" x14ac:dyDescent="0.25">
      <c r="K92" s="161">
        <v>75</v>
      </c>
      <c r="L92" s="161">
        <f t="shared" si="5"/>
        <v>2096</v>
      </c>
      <c r="M92" s="215">
        <f>IF(AnnualExpenses[[#This Row],[Calendar Year]]&gt;=$C$8,AnnualExpenses[[#This Row],[Calendar Year]],NA())</f>
        <v>2096</v>
      </c>
      <c r="N92" s="215" t="e">
        <f>IF((AnnualExpenses[[#This Row],[Calendar Year]]&gt;=$C$8)*(AnnualExpenses[[#This Row],[Calendar Year]]&lt;=$C$10),AnnualExpenses[[#This Row],[Calendar Year]],NA())</f>
        <v>#N/A</v>
      </c>
      <c r="O92" s="214" t="e">
        <f>IF((AnnualExpenses[[#This Row],[Year (Range)]]&gt;=$C$8)*(AnnualExpenses[[#This Row],[Year (Range)]]&lt;=$C$10),Table65[[#This Row],[Buy, Instead of Rent]],NA())</f>
        <v>#N/A</v>
      </c>
      <c r="P92" s="214" t="e">
        <f>IF((AnnualExpenses[[#This Row],[Year (Range)]]&gt;=$C$8)*(AnnualExpenses[[#This Row],[Year (Range)]]&lt;=$C$10),Table65[[#This Row],[Rent, Instead of Buy]],NA())</f>
        <v>#N/A</v>
      </c>
      <c r="Q92" s="214" t="e">
        <f>IF((AnnualExpenses[[#This Row],[Year (Range)]]&gt;=$C$8)*(AnnualExpenses[[#This Row],[Year (Range)]]&lt;=$C$10),AnnualExpenses[[#This Row],[Total Annual Direct Housing Expenses]],NA())</f>
        <v>#N/A</v>
      </c>
      <c r="R92" s="214" t="e">
        <f>IF((AnnualExpenses[[#This Row],[Year (Range)]]&gt;=$C$8)*(AnnualExpenses[[#This Row],[Year (Range)]]&lt;=$C$10),AnnualExpenses[[#This Row],[Total Annual Indirect Housing Expenses]],NA())</f>
        <v>#N/A</v>
      </c>
      <c r="S92" s="214" t="e">
        <f>IF((AnnualExpenses[[#This Row],[Year (Range)]]&gt;=$C$8)*(AnnualExpenses[[#This Row],[Year (Range)]]&lt;=$C$10),AnnualExpenses[[#This Row],[Total Annual Rental Expenses]],NA())</f>
        <v>#N/A</v>
      </c>
      <c r="T92" s="214" t="e">
        <f>IF((AnnualExpenses[[#This Row],[Year (Range)]]&gt;=$C$8)*(AnnualExpenses[[#This Row],[Year (Range)]]&lt;=$C$10),AnnualExpenses[[#This Row],[Total Annual Housing Expenses]],NA())</f>
        <v>#N/A</v>
      </c>
      <c r="U92" s="214" t="e">
        <f>IF((AnnualExpenses[[#This Row],[Year (Range)]]&gt;=$C$8)*(AnnualExpenses[[#This Row],[Year (Range)]]&lt;=$C$10),AnnualExpenses[[#This Row],[Buying Average Monthly Cost]],NA())</f>
        <v>#N/A</v>
      </c>
      <c r="V92" s="214" t="e">
        <f>IF((AnnualExpenses[[#This Row],[Year (Range)]]&gt;=$C$8)*(AnnualExpenses[[#This Row],[Year (Range)]]&lt;=$C$10),AnnualExpenses[[#This Row],[Renting Average Monthly Cost]],NA())</f>
        <v>#N/A</v>
      </c>
      <c r="W92" s="4">
        <f>'Annual Amort. Sch.'!AL91</f>
        <v>0</v>
      </c>
      <c r="X92" s="4">
        <f>'Annual Amort. Sch.'!AM91</f>
        <v>134564.83260337156</v>
      </c>
      <c r="Y92" s="4">
        <f>(AnnualExpenses[[#This Row],[Total Annual Direct Housing Expenses]]+AnnualExpenses[[#This Row],[Total Annual Indirect Housing Expenses]])</f>
        <v>134564.83260337156</v>
      </c>
      <c r="Z92" s="4">
        <f>AnnualExpenses[[#This Row],[Total Annual Housing Expenses]]/12</f>
        <v>11213.736050280962</v>
      </c>
      <c r="AA92" s="164">
        <f t="shared" si="6"/>
        <v>655797.27672295447</v>
      </c>
      <c r="AB92" s="164">
        <f>AnnualExpenses[[#This Row],[Total Annual Rental Expenses]]/12</f>
        <v>54649.773060246203</v>
      </c>
      <c r="AC92" s="166"/>
      <c r="AD92" s="243">
        <v>75</v>
      </c>
      <c r="AE92" s="212">
        <f t="shared" si="7"/>
        <v>2096</v>
      </c>
      <c r="AF92" s="183">
        <f>IF(AnnualExpenses[[#This Row],[Total Annual Housing Expenses]]-AnnualExpenses[[#This Row],[Total Annual Rental Expenses]]&lt;0,AnnualExpenses[[#This Row],[Total Annual Rental Expenses]]-AnnualExpenses[[#This Row],[Total Annual Housing Expenses]],0)</f>
        <v>521232.44411958288</v>
      </c>
      <c r="AG92" s="183">
        <f>IF(AnnualExpenses[[#This Row],[Total Annual Housing Expenses]]-AnnualExpenses[[#This Row],[Total Annual Rental Expenses]]&gt;0,AnnualExpenses[[#This Row],[Total Annual Housing Expenses]]-AnnualExpenses[[#This Row],[Total Annual Rental Expenses]],0)</f>
        <v>0</v>
      </c>
    </row>
    <row r="93" spans="11:33" x14ac:dyDescent="0.25">
      <c r="K93" s="161">
        <v>76</v>
      </c>
      <c r="L93" s="161">
        <f t="shared" si="5"/>
        <v>2097</v>
      </c>
      <c r="M93" s="215">
        <f>IF(AnnualExpenses[[#This Row],[Calendar Year]]&gt;=$C$8,AnnualExpenses[[#This Row],[Calendar Year]],NA())</f>
        <v>2097</v>
      </c>
      <c r="N93" s="215" t="e">
        <f>IF((AnnualExpenses[[#This Row],[Calendar Year]]&gt;=$C$8)*(AnnualExpenses[[#This Row],[Calendar Year]]&lt;=$C$10),AnnualExpenses[[#This Row],[Calendar Year]],NA())</f>
        <v>#N/A</v>
      </c>
      <c r="O93" s="214" t="e">
        <f>IF((AnnualExpenses[[#This Row],[Year (Range)]]&gt;=$C$8)*(AnnualExpenses[[#This Row],[Year (Range)]]&lt;=$C$10),Table65[[#This Row],[Buy, Instead of Rent]],NA())</f>
        <v>#N/A</v>
      </c>
      <c r="P93" s="214" t="e">
        <f>IF((AnnualExpenses[[#This Row],[Year (Range)]]&gt;=$C$8)*(AnnualExpenses[[#This Row],[Year (Range)]]&lt;=$C$10),Table65[[#This Row],[Rent, Instead of Buy]],NA())</f>
        <v>#N/A</v>
      </c>
      <c r="Q93" s="214" t="e">
        <f>IF((AnnualExpenses[[#This Row],[Year (Range)]]&gt;=$C$8)*(AnnualExpenses[[#This Row],[Year (Range)]]&lt;=$C$10),AnnualExpenses[[#This Row],[Total Annual Direct Housing Expenses]],NA())</f>
        <v>#N/A</v>
      </c>
      <c r="R93" s="214" t="e">
        <f>IF((AnnualExpenses[[#This Row],[Year (Range)]]&gt;=$C$8)*(AnnualExpenses[[#This Row],[Year (Range)]]&lt;=$C$10),AnnualExpenses[[#This Row],[Total Annual Indirect Housing Expenses]],NA())</f>
        <v>#N/A</v>
      </c>
      <c r="S93" s="214" t="e">
        <f>IF((AnnualExpenses[[#This Row],[Year (Range)]]&gt;=$C$8)*(AnnualExpenses[[#This Row],[Year (Range)]]&lt;=$C$10),AnnualExpenses[[#This Row],[Total Annual Rental Expenses]],NA())</f>
        <v>#N/A</v>
      </c>
      <c r="T93" s="214" t="e">
        <f>IF((AnnualExpenses[[#This Row],[Year (Range)]]&gt;=$C$8)*(AnnualExpenses[[#This Row],[Year (Range)]]&lt;=$C$10),AnnualExpenses[[#This Row],[Total Annual Housing Expenses]],NA())</f>
        <v>#N/A</v>
      </c>
      <c r="U93" s="214" t="e">
        <f>IF((AnnualExpenses[[#This Row],[Year (Range)]]&gt;=$C$8)*(AnnualExpenses[[#This Row],[Year (Range)]]&lt;=$C$10),AnnualExpenses[[#This Row],[Buying Average Monthly Cost]],NA())</f>
        <v>#N/A</v>
      </c>
      <c r="V93" s="214" t="e">
        <f>IF((AnnualExpenses[[#This Row],[Year (Range)]]&gt;=$C$8)*(AnnualExpenses[[#This Row],[Year (Range)]]&lt;=$C$10),AnnualExpenses[[#This Row],[Renting Average Monthly Cost]],NA())</f>
        <v>#N/A</v>
      </c>
      <c r="W93" s="4">
        <f>'Annual Amort. Sch.'!AL92</f>
        <v>0</v>
      </c>
      <c r="X93" s="4">
        <f>'Annual Amort. Sch.'!AM92</f>
        <v>138601.77758147271</v>
      </c>
      <c r="Y93" s="4">
        <f>(AnnualExpenses[[#This Row],[Total Annual Direct Housing Expenses]]+AnnualExpenses[[#This Row],[Total Annual Indirect Housing Expenses]])</f>
        <v>138601.77758147271</v>
      </c>
      <c r="Z93" s="4">
        <f>AnnualExpenses[[#This Row],[Total Annual Housing Expenses]]/12</f>
        <v>11550.148131789392</v>
      </c>
      <c r="AA93" s="164">
        <f t="shared" si="6"/>
        <v>682029.16779187263</v>
      </c>
      <c r="AB93" s="164">
        <f>AnnualExpenses[[#This Row],[Total Annual Rental Expenses]]/12</f>
        <v>56835.763982656055</v>
      </c>
      <c r="AC93" s="166"/>
      <c r="AD93" s="243">
        <v>76</v>
      </c>
      <c r="AE93" s="212">
        <f t="shared" si="7"/>
        <v>2097</v>
      </c>
      <c r="AF93" s="183">
        <f>IF(AnnualExpenses[[#This Row],[Total Annual Housing Expenses]]-AnnualExpenses[[#This Row],[Total Annual Rental Expenses]]&lt;0,AnnualExpenses[[#This Row],[Total Annual Rental Expenses]]-AnnualExpenses[[#This Row],[Total Annual Housing Expenses]],0)</f>
        <v>543427.39021039987</v>
      </c>
      <c r="AG93" s="183">
        <f>IF(AnnualExpenses[[#This Row],[Total Annual Housing Expenses]]-AnnualExpenses[[#This Row],[Total Annual Rental Expenses]]&gt;0,AnnualExpenses[[#This Row],[Total Annual Housing Expenses]]-AnnualExpenses[[#This Row],[Total Annual Rental Expenses]],0)</f>
        <v>0</v>
      </c>
    </row>
    <row r="94" spans="11:33" x14ac:dyDescent="0.25">
      <c r="K94" s="161">
        <v>77</v>
      </c>
      <c r="L94" s="161">
        <f t="shared" si="5"/>
        <v>2098</v>
      </c>
      <c r="M94" s="215">
        <f>IF(AnnualExpenses[[#This Row],[Calendar Year]]&gt;=$C$8,AnnualExpenses[[#This Row],[Calendar Year]],NA())</f>
        <v>2098</v>
      </c>
      <c r="N94" s="215" t="e">
        <f>IF((AnnualExpenses[[#This Row],[Calendar Year]]&gt;=$C$8)*(AnnualExpenses[[#This Row],[Calendar Year]]&lt;=$C$10),AnnualExpenses[[#This Row],[Calendar Year]],NA())</f>
        <v>#N/A</v>
      </c>
      <c r="O94" s="214" t="e">
        <f>IF((AnnualExpenses[[#This Row],[Year (Range)]]&gt;=$C$8)*(AnnualExpenses[[#This Row],[Year (Range)]]&lt;=$C$10),Table65[[#This Row],[Buy, Instead of Rent]],NA())</f>
        <v>#N/A</v>
      </c>
      <c r="P94" s="214" t="e">
        <f>IF((AnnualExpenses[[#This Row],[Year (Range)]]&gt;=$C$8)*(AnnualExpenses[[#This Row],[Year (Range)]]&lt;=$C$10),Table65[[#This Row],[Rent, Instead of Buy]],NA())</f>
        <v>#N/A</v>
      </c>
      <c r="Q94" s="214" t="e">
        <f>IF((AnnualExpenses[[#This Row],[Year (Range)]]&gt;=$C$8)*(AnnualExpenses[[#This Row],[Year (Range)]]&lt;=$C$10),AnnualExpenses[[#This Row],[Total Annual Direct Housing Expenses]],NA())</f>
        <v>#N/A</v>
      </c>
      <c r="R94" s="214" t="e">
        <f>IF((AnnualExpenses[[#This Row],[Year (Range)]]&gt;=$C$8)*(AnnualExpenses[[#This Row],[Year (Range)]]&lt;=$C$10),AnnualExpenses[[#This Row],[Total Annual Indirect Housing Expenses]],NA())</f>
        <v>#N/A</v>
      </c>
      <c r="S94" s="214" t="e">
        <f>IF((AnnualExpenses[[#This Row],[Year (Range)]]&gt;=$C$8)*(AnnualExpenses[[#This Row],[Year (Range)]]&lt;=$C$10),AnnualExpenses[[#This Row],[Total Annual Rental Expenses]],NA())</f>
        <v>#N/A</v>
      </c>
      <c r="T94" s="214" t="e">
        <f>IF((AnnualExpenses[[#This Row],[Year (Range)]]&gt;=$C$8)*(AnnualExpenses[[#This Row],[Year (Range)]]&lt;=$C$10),AnnualExpenses[[#This Row],[Total Annual Housing Expenses]],NA())</f>
        <v>#N/A</v>
      </c>
      <c r="U94" s="214" t="e">
        <f>IF((AnnualExpenses[[#This Row],[Year (Range)]]&gt;=$C$8)*(AnnualExpenses[[#This Row],[Year (Range)]]&lt;=$C$10),AnnualExpenses[[#This Row],[Buying Average Monthly Cost]],NA())</f>
        <v>#N/A</v>
      </c>
      <c r="V94" s="214" t="e">
        <f>IF((AnnualExpenses[[#This Row],[Year (Range)]]&gt;=$C$8)*(AnnualExpenses[[#This Row],[Year (Range)]]&lt;=$C$10),AnnualExpenses[[#This Row],[Renting Average Monthly Cost]],NA())</f>
        <v>#N/A</v>
      </c>
      <c r="W94" s="4">
        <f>'Annual Amort. Sch.'!AL93</f>
        <v>0</v>
      </c>
      <c r="X94" s="4">
        <f>'Annual Amort. Sch.'!AM93</f>
        <v>142759.83090891689</v>
      </c>
      <c r="Y94" s="4">
        <f>(AnnualExpenses[[#This Row],[Total Annual Direct Housing Expenses]]+AnnualExpenses[[#This Row],[Total Annual Indirect Housing Expenses]])</f>
        <v>142759.83090891689</v>
      </c>
      <c r="Z94" s="4">
        <f>AnnualExpenses[[#This Row],[Total Annual Housing Expenses]]/12</f>
        <v>11896.652575743074</v>
      </c>
      <c r="AA94" s="164">
        <f t="shared" si="6"/>
        <v>709310.33450354752</v>
      </c>
      <c r="AB94" s="164">
        <f>AnnualExpenses[[#This Row],[Total Annual Rental Expenses]]/12</f>
        <v>59109.194541962293</v>
      </c>
      <c r="AC94" s="166"/>
      <c r="AD94" s="243">
        <v>77</v>
      </c>
      <c r="AE94" s="212">
        <f t="shared" si="7"/>
        <v>2098</v>
      </c>
      <c r="AF94" s="183">
        <f>IF(AnnualExpenses[[#This Row],[Total Annual Housing Expenses]]-AnnualExpenses[[#This Row],[Total Annual Rental Expenses]]&lt;0,AnnualExpenses[[#This Row],[Total Annual Rental Expenses]]-AnnualExpenses[[#This Row],[Total Annual Housing Expenses]],0)</f>
        <v>566550.50359463063</v>
      </c>
      <c r="AG94" s="183">
        <f>IF(AnnualExpenses[[#This Row],[Total Annual Housing Expenses]]-AnnualExpenses[[#This Row],[Total Annual Rental Expenses]]&gt;0,AnnualExpenses[[#This Row],[Total Annual Housing Expenses]]-AnnualExpenses[[#This Row],[Total Annual Rental Expenses]],0)</f>
        <v>0</v>
      </c>
    </row>
    <row r="95" spans="11:33" x14ac:dyDescent="0.25">
      <c r="K95" s="161">
        <v>78</v>
      </c>
      <c r="L95" s="161">
        <f t="shared" si="5"/>
        <v>2099</v>
      </c>
      <c r="M95" s="215">
        <f>IF(AnnualExpenses[[#This Row],[Calendar Year]]&gt;=$C$8,AnnualExpenses[[#This Row],[Calendar Year]],NA())</f>
        <v>2099</v>
      </c>
      <c r="N95" s="215" t="e">
        <f>IF((AnnualExpenses[[#This Row],[Calendar Year]]&gt;=$C$8)*(AnnualExpenses[[#This Row],[Calendar Year]]&lt;=$C$10),AnnualExpenses[[#This Row],[Calendar Year]],NA())</f>
        <v>#N/A</v>
      </c>
      <c r="O95" s="214" t="e">
        <f>IF((AnnualExpenses[[#This Row],[Year (Range)]]&gt;=$C$8)*(AnnualExpenses[[#This Row],[Year (Range)]]&lt;=$C$10),Table65[[#This Row],[Buy, Instead of Rent]],NA())</f>
        <v>#N/A</v>
      </c>
      <c r="P95" s="214" t="e">
        <f>IF((AnnualExpenses[[#This Row],[Year (Range)]]&gt;=$C$8)*(AnnualExpenses[[#This Row],[Year (Range)]]&lt;=$C$10),Table65[[#This Row],[Rent, Instead of Buy]],NA())</f>
        <v>#N/A</v>
      </c>
      <c r="Q95" s="214" t="e">
        <f>IF((AnnualExpenses[[#This Row],[Year (Range)]]&gt;=$C$8)*(AnnualExpenses[[#This Row],[Year (Range)]]&lt;=$C$10),AnnualExpenses[[#This Row],[Total Annual Direct Housing Expenses]],NA())</f>
        <v>#N/A</v>
      </c>
      <c r="R95" s="214" t="e">
        <f>IF((AnnualExpenses[[#This Row],[Year (Range)]]&gt;=$C$8)*(AnnualExpenses[[#This Row],[Year (Range)]]&lt;=$C$10),AnnualExpenses[[#This Row],[Total Annual Indirect Housing Expenses]],NA())</f>
        <v>#N/A</v>
      </c>
      <c r="S95" s="214" t="e">
        <f>IF((AnnualExpenses[[#This Row],[Year (Range)]]&gt;=$C$8)*(AnnualExpenses[[#This Row],[Year (Range)]]&lt;=$C$10),AnnualExpenses[[#This Row],[Total Annual Rental Expenses]],NA())</f>
        <v>#N/A</v>
      </c>
      <c r="T95" s="214" t="e">
        <f>IF((AnnualExpenses[[#This Row],[Year (Range)]]&gt;=$C$8)*(AnnualExpenses[[#This Row],[Year (Range)]]&lt;=$C$10),AnnualExpenses[[#This Row],[Total Annual Housing Expenses]],NA())</f>
        <v>#N/A</v>
      </c>
      <c r="U95" s="214" t="e">
        <f>IF((AnnualExpenses[[#This Row],[Year (Range)]]&gt;=$C$8)*(AnnualExpenses[[#This Row],[Year (Range)]]&lt;=$C$10),AnnualExpenses[[#This Row],[Buying Average Monthly Cost]],NA())</f>
        <v>#N/A</v>
      </c>
      <c r="V95" s="214" t="e">
        <f>IF((AnnualExpenses[[#This Row],[Year (Range)]]&gt;=$C$8)*(AnnualExpenses[[#This Row],[Year (Range)]]&lt;=$C$10),AnnualExpenses[[#This Row],[Renting Average Monthly Cost]],NA())</f>
        <v>#N/A</v>
      </c>
      <c r="W95" s="4">
        <f>'Annual Amort. Sch.'!AL94</f>
        <v>0</v>
      </c>
      <c r="X95" s="4">
        <f>'Annual Amort. Sch.'!AM94</f>
        <v>147042.62583618439</v>
      </c>
      <c r="Y95" s="4">
        <f>(AnnualExpenses[[#This Row],[Total Annual Direct Housing Expenses]]+AnnualExpenses[[#This Row],[Total Annual Indirect Housing Expenses]])</f>
        <v>147042.62583618439</v>
      </c>
      <c r="Z95" s="4">
        <f>AnnualExpenses[[#This Row],[Total Annual Housing Expenses]]/12</f>
        <v>12253.552153015366</v>
      </c>
      <c r="AA95" s="164">
        <f t="shared" si="6"/>
        <v>737682.74788368947</v>
      </c>
      <c r="AB95" s="164">
        <f>AnnualExpenses[[#This Row],[Total Annual Rental Expenses]]/12</f>
        <v>61473.562323640792</v>
      </c>
      <c r="AC95" s="166"/>
      <c r="AD95" s="243">
        <v>78</v>
      </c>
      <c r="AE95" s="212">
        <f t="shared" si="7"/>
        <v>2099</v>
      </c>
      <c r="AF95" s="183">
        <f>IF(AnnualExpenses[[#This Row],[Total Annual Housing Expenses]]-AnnualExpenses[[#This Row],[Total Annual Rental Expenses]]&lt;0,AnnualExpenses[[#This Row],[Total Annual Rental Expenses]]-AnnualExpenses[[#This Row],[Total Annual Housing Expenses]],0)</f>
        <v>590640.12204750511</v>
      </c>
      <c r="AG95" s="183">
        <f>IF(AnnualExpenses[[#This Row],[Total Annual Housing Expenses]]-AnnualExpenses[[#This Row],[Total Annual Rental Expenses]]&gt;0,AnnualExpenses[[#This Row],[Total Annual Housing Expenses]]-AnnualExpenses[[#This Row],[Total Annual Rental Expenses]],0)</f>
        <v>0</v>
      </c>
    </row>
    <row r="96" spans="11:33" x14ac:dyDescent="0.25">
      <c r="K96" s="161">
        <v>79</v>
      </c>
      <c r="L96" s="161">
        <f t="shared" si="5"/>
        <v>2100</v>
      </c>
      <c r="M96" s="215">
        <f>IF(AnnualExpenses[[#This Row],[Calendar Year]]&gt;=$C$8,AnnualExpenses[[#This Row],[Calendar Year]],NA())</f>
        <v>2100</v>
      </c>
      <c r="N96" s="215" t="e">
        <f>IF((AnnualExpenses[[#This Row],[Calendar Year]]&gt;=$C$8)*(AnnualExpenses[[#This Row],[Calendar Year]]&lt;=$C$10),AnnualExpenses[[#This Row],[Calendar Year]],NA())</f>
        <v>#N/A</v>
      </c>
      <c r="O96" s="214" t="e">
        <f>IF((AnnualExpenses[[#This Row],[Year (Range)]]&gt;=$C$8)*(AnnualExpenses[[#This Row],[Year (Range)]]&lt;=$C$10),Table65[[#This Row],[Buy, Instead of Rent]],NA())</f>
        <v>#N/A</v>
      </c>
      <c r="P96" s="214" t="e">
        <f>IF((AnnualExpenses[[#This Row],[Year (Range)]]&gt;=$C$8)*(AnnualExpenses[[#This Row],[Year (Range)]]&lt;=$C$10),Table65[[#This Row],[Rent, Instead of Buy]],NA())</f>
        <v>#N/A</v>
      </c>
      <c r="Q96" s="214" t="e">
        <f>IF((AnnualExpenses[[#This Row],[Year (Range)]]&gt;=$C$8)*(AnnualExpenses[[#This Row],[Year (Range)]]&lt;=$C$10),AnnualExpenses[[#This Row],[Total Annual Direct Housing Expenses]],NA())</f>
        <v>#N/A</v>
      </c>
      <c r="R96" s="214" t="e">
        <f>IF((AnnualExpenses[[#This Row],[Year (Range)]]&gt;=$C$8)*(AnnualExpenses[[#This Row],[Year (Range)]]&lt;=$C$10),AnnualExpenses[[#This Row],[Total Annual Indirect Housing Expenses]],NA())</f>
        <v>#N/A</v>
      </c>
      <c r="S96" s="214" t="e">
        <f>IF((AnnualExpenses[[#This Row],[Year (Range)]]&gt;=$C$8)*(AnnualExpenses[[#This Row],[Year (Range)]]&lt;=$C$10),AnnualExpenses[[#This Row],[Total Annual Rental Expenses]],NA())</f>
        <v>#N/A</v>
      </c>
      <c r="T96" s="214" t="e">
        <f>IF((AnnualExpenses[[#This Row],[Year (Range)]]&gt;=$C$8)*(AnnualExpenses[[#This Row],[Year (Range)]]&lt;=$C$10),AnnualExpenses[[#This Row],[Total Annual Housing Expenses]],NA())</f>
        <v>#N/A</v>
      </c>
      <c r="U96" s="214" t="e">
        <f>IF((AnnualExpenses[[#This Row],[Year (Range)]]&gt;=$C$8)*(AnnualExpenses[[#This Row],[Year (Range)]]&lt;=$C$10),AnnualExpenses[[#This Row],[Buying Average Monthly Cost]],NA())</f>
        <v>#N/A</v>
      </c>
      <c r="V96" s="214" t="e">
        <f>IF((AnnualExpenses[[#This Row],[Year (Range)]]&gt;=$C$8)*(AnnualExpenses[[#This Row],[Year (Range)]]&lt;=$C$10),AnnualExpenses[[#This Row],[Renting Average Monthly Cost]],NA())</f>
        <v>#N/A</v>
      </c>
      <c r="W96" s="4">
        <f>'Annual Amort. Sch.'!AL95</f>
        <v>0</v>
      </c>
      <c r="X96" s="4">
        <f>'Annual Amort. Sch.'!AM95</f>
        <v>151453.90461126994</v>
      </c>
      <c r="Y96" s="4">
        <f>(AnnualExpenses[[#This Row],[Total Annual Direct Housing Expenses]]+AnnualExpenses[[#This Row],[Total Annual Indirect Housing Expenses]])</f>
        <v>151453.90461126994</v>
      </c>
      <c r="Z96" s="4">
        <f>AnnualExpenses[[#This Row],[Total Annual Housing Expenses]]/12</f>
        <v>12621.158717605829</v>
      </c>
      <c r="AA96" s="164">
        <f t="shared" si="6"/>
        <v>767190.05779903708</v>
      </c>
      <c r="AB96" s="164">
        <f>AnnualExpenses[[#This Row],[Total Annual Rental Expenses]]/12</f>
        <v>63932.504816586421</v>
      </c>
      <c r="AC96" s="166"/>
      <c r="AD96" s="243">
        <v>79</v>
      </c>
      <c r="AE96" s="212">
        <f t="shared" si="7"/>
        <v>2100</v>
      </c>
      <c r="AF96" s="183">
        <f>IF(AnnualExpenses[[#This Row],[Total Annual Housing Expenses]]-AnnualExpenses[[#This Row],[Total Annual Rental Expenses]]&lt;0,AnnualExpenses[[#This Row],[Total Annual Rental Expenses]]-AnnualExpenses[[#This Row],[Total Annual Housing Expenses]],0)</f>
        <v>615736.15318776714</v>
      </c>
      <c r="AG96" s="183">
        <f>IF(AnnualExpenses[[#This Row],[Total Annual Housing Expenses]]-AnnualExpenses[[#This Row],[Total Annual Rental Expenses]]&gt;0,AnnualExpenses[[#This Row],[Total Annual Housing Expenses]]-AnnualExpenses[[#This Row],[Total Annual Rental Expenses]],0)</f>
        <v>0</v>
      </c>
    </row>
    <row r="97" spans="11:33" x14ac:dyDescent="0.25">
      <c r="K97" s="161">
        <v>80</v>
      </c>
      <c r="L97" s="161">
        <f t="shared" si="5"/>
        <v>2101</v>
      </c>
      <c r="M97" s="215">
        <f>IF(AnnualExpenses[[#This Row],[Calendar Year]]&gt;=$C$8,AnnualExpenses[[#This Row],[Calendar Year]],NA())</f>
        <v>2101</v>
      </c>
      <c r="N97" s="215" t="e">
        <f>IF((AnnualExpenses[[#This Row],[Calendar Year]]&gt;=$C$8)*(AnnualExpenses[[#This Row],[Calendar Year]]&lt;=$C$10),AnnualExpenses[[#This Row],[Calendar Year]],NA())</f>
        <v>#N/A</v>
      </c>
      <c r="O97" s="214" t="e">
        <f>IF((AnnualExpenses[[#This Row],[Year (Range)]]&gt;=$C$8)*(AnnualExpenses[[#This Row],[Year (Range)]]&lt;=$C$10),Table65[[#This Row],[Buy, Instead of Rent]],NA())</f>
        <v>#N/A</v>
      </c>
      <c r="P97" s="214" t="e">
        <f>IF((AnnualExpenses[[#This Row],[Year (Range)]]&gt;=$C$8)*(AnnualExpenses[[#This Row],[Year (Range)]]&lt;=$C$10),Table65[[#This Row],[Rent, Instead of Buy]],NA())</f>
        <v>#N/A</v>
      </c>
      <c r="Q97" s="214" t="e">
        <f>IF((AnnualExpenses[[#This Row],[Year (Range)]]&gt;=$C$8)*(AnnualExpenses[[#This Row],[Year (Range)]]&lt;=$C$10),AnnualExpenses[[#This Row],[Total Annual Direct Housing Expenses]],NA())</f>
        <v>#N/A</v>
      </c>
      <c r="R97" s="214" t="e">
        <f>IF((AnnualExpenses[[#This Row],[Year (Range)]]&gt;=$C$8)*(AnnualExpenses[[#This Row],[Year (Range)]]&lt;=$C$10),AnnualExpenses[[#This Row],[Total Annual Indirect Housing Expenses]],NA())</f>
        <v>#N/A</v>
      </c>
      <c r="S97" s="214" t="e">
        <f>IF((AnnualExpenses[[#This Row],[Year (Range)]]&gt;=$C$8)*(AnnualExpenses[[#This Row],[Year (Range)]]&lt;=$C$10),AnnualExpenses[[#This Row],[Total Annual Rental Expenses]],NA())</f>
        <v>#N/A</v>
      </c>
      <c r="T97" s="214" t="e">
        <f>IF((AnnualExpenses[[#This Row],[Year (Range)]]&gt;=$C$8)*(AnnualExpenses[[#This Row],[Year (Range)]]&lt;=$C$10),AnnualExpenses[[#This Row],[Total Annual Housing Expenses]],NA())</f>
        <v>#N/A</v>
      </c>
      <c r="U97" s="214" t="e">
        <f>IF((AnnualExpenses[[#This Row],[Year (Range)]]&gt;=$C$8)*(AnnualExpenses[[#This Row],[Year (Range)]]&lt;=$C$10),AnnualExpenses[[#This Row],[Buying Average Monthly Cost]],NA())</f>
        <v>#N/A</v>
      </c>
      <c r="V97" s="214" t="e">
        <f>IF((AnnualExpenses[[#This Row],[Year (Range)]]&gt;=$C$8)*(AnnualExpenses[[#This Row],[Year (Range)]]&lt;=$C$10),AnnualExpenses[[#This Row],[Renting Average Monthly Cost]],NA())</f>
        <v>#N/A</v>
      </c>
      <c r="W97" s="4">
        <f>'Annual Amort. Sch.'!AL96</f>
        <v>0</v>
      </c>
      <c r="X97" s="4">
        <f>'Annual Amort. Sch.'!AM96</f>
        <v>155997.52174960804</v>
      </c>
      <c r="Y97" s="4">
        <f>(AnnualExpenses[[#This Row],[Total Annual Direct Housing Expenses]]+AnnualExpenses[[#This Row],[Total Annual Indirect Housing Expenses]])</f>
        <v>155997.52174960804</v>
      </c>
      <c r="Z97" s="4">
        <f>AnnualExpenses[[#This Row],[Total Annual Housing Expenses]]/12</f>
        <v>12999.793479134003</v>
      </c>
      <c r="AA97" s="164">
        <f t="shared" si="6"/>
        <v>797877.66011099855</v>
      </c>
      <c r="AB97" s="164">
        <f>AnnualExpenses[[#This Row],[Total Annual Rental Expenses]]/12</f>
        <v>66489.805009249874</v>
      </c>
      <c r="AC97" s="166"/>
      <c r="AD97" s="243">
        <v>80</v>
      </c>
      <c r="AE97" s="212">
        <f t="shared" si="7"/>
        <v>2101</v>
      </c>
      <c r="AF97" s="183">
        <f>IF(AnnualExpenses[[#This Row],[Total Annual Housing Expenses]]-AnnualExpenses[[#This Row],[Total Annual Rental Expenses]]&lt;0,AnnualExpenses[[#This Row],[Total Annual Rental Expenses]]-AnnualExpenses[[#This Row],[Total Annual Housing Expenses]],0)</f>
        <v>641880.13836139045</v>
      </c>
      <c r="AG97" s="183">
        <f>IF(AnnualExpenses[[#This Row],[Total Annual Housing Expenses]]-AnnualExpenses[[#This Row],[Total Annual Rental Expenses]]&gt;0,AnnualExpenses[[#This Row],[Total Annual Housing Expenses]]-AnnualExpenses[[#This Row],[Total Annual Rental Expenses]],0)</f>
        <v>0</v>
      </c>
    </row>
    <row r="98" spans="11:33" x14ac:dyDescent="0.25">
      <c r="K98" s="161">
        <v>81</v>
      </c>
      <c r="L98" s="161">
        <f t="shared" si="5"/>
        <v>2102</v>
      </c>
      <c r="M98" s="215">
        <f>IF(AnnualExpenses[[#This Row],[Calendar Year]]&gt;=$C$8,AnnualExpenses[[#This Row],[Calendar Year]],NA())</f>
        <v>2102</v>
      </c>
      <c r="N98" s="215" t="e">
        <f>IF((AnnualExpenses[[#This Row],[Calendar Year]]&gt;=$C$8)*(AnnualExpenses[[#This Row],[Calendar Year]]&lt;=$C$10),AnnualExpenses[[#This Row],[Calendar Year]],NA())</f>
        <v>#N/A</v>
      </c>
      <c r="O98" s="214" t="e">
        <f>IF((AnnualExpenses[[#This Row],[Year (Range)]]&gt;=$C$8)*(AnnualExpenses[[#This Row],[Year (Range)]]&lt;=$C$10),Table65[[#This Row],[Buy, Instead of Rent]],NA())</f>
        <v>#N/A</v>
      </c>
      <c r="P98" s="214" t="e">
        <f>IF((AnnualExpenses[[#This Row],[Year (Range)]]&gt;=$C$8)*(AnnualExpenses[[#This Row],[Year (Range)]]&lt;=$C$10),Table65[[#This Row],[Rent, Instead of Buy]],NA())</f>
        <v>#N/A</v>
      </c>
      <c r="Q98" s="214" t="e">
        <f>IF((AnnualExpenses[[#This Row],[Year (Range)]]&gt;=$C$8)*(AnnualExpenses[[#This Row],[Year (Range)]]&lt;=$C$10),AnnualExpenses[[#This Row],[Total Annual Direct Housing Expenses]],NA())</f>
        <v>#N/A</v>
      </c>
      <c r="R98" s="214" t="e">
        <f>IF((AnnualExpenses[[#This Row],[Year (Range)]]&gt;=$C$8)*(AnnualExpenses[[#This Row],[Year (Range)]]&lt;=$C$10),AnnualExpenses[[#This Row],[Total Annual Indirect Housing Expenses]],NA())</f>
        <v>#N/A</v>
      </c>
      <c r="S98" s="214" t="e">
        <f>IF((AnnualExpenses[[#This Row],[Year (Range)]]&gt;=$C$8)*(AnnualExpenses[[#This Row],[Year (Range)]]&lt;=$C$10),AnnualExpenses[[#This Row],[Total Annual Rental Expenses]],NA())</f>
        <v>#N/A</v>
      </c>
      <c r="T98" s="214" t="e">
        <f>IF((AnnualExpenses[[#This Row],[Year (Range)]]&gt;=$C$8)*(AnnualExpenses[[#This Row],[Year (Range)]]&lt;=$C$10),AnnualExpenses[[#This Row],[Total Annual Housing Expenses]],NA())</f>
        <v>#N/A</v>
      </c>
      <c r="U98" s="214" t="e">
        <f>IF((AnnualExpenses[[#This Row],[Year (Range)]]&gt;=$C$8)*(AnnualExpenses[[#This Row],[Year (Range)]]&lt;=$C$10),AnnualExpenses[[#This Row],[Buying Average Monthly Cost]],NA())</f>
        <v>#N/A</v>
      </c>
      <c r="V98" s="214" t="e">
        <f>IF((AnnualExpenses[[#This Row],[Year (Range)]]&gt;=$C$8)*(AnnualExpenses[[#This Row],[Year (Range)]]&lt;=$C$10),AnnualExpenses[[#This Row],[Renting Average Monthly Cost]],NA())</f>
        <v>#N/A</v>
      </c>
      <c r="W98" s="4">
        <f>'Annual Amort. Sch.'!AL97</f>
        <v>0</v>
      </c>
      <c r="X98" s="4">
        <f>'Annual Amort. Sch.'!AM97</f>
        <v>160677.4474020963</v>
      </c>
      <c r="Y98" s="4">
        <f>(AnnualExpenses[[#This Row],[Total Annual Direct Housing Expenses]]+AnnualExpenses[[#This Row],[Total Annual Indirect Housing Expenses]])</f>
        <v>160677.4474020963</v>
      </c>
      <c r="Z98" s="4">
        <f>AnnualExpenses[[#This Row],[Total Annual Housing Expenses]]/12</f>
        <v>13389.787283508025</v>
      </c>
      <c r="AA98" s="164">
        <f t="shared" si="6"/>
        <v>829792.76651543856</v>
      </c>
      <c r="AB98" s="164">
        <f>AnnualExpenses[[#This Row],[Total Annual Rental Expenses]]/12</f>
        <v>69149.397209619885</v>
      </c>
      <c r="AC98" s="166"/>
      <c r="AD98" s="243">
        <v>81</v>
      </c>
      <c r="AE98" s="212">
        <f t="shared" si="7"/>
        <v>2102</v>
      </c>
      <c r="AF98" s="183">
        <f>IF(AnnualExpenses[[#This Row],[Total Annual Housing Expenses]]-AnnualExpenses[[#This Row],[Total Annual Rental Expenses]]&lt;0,AnnualExpenses[[#This Row],[Total Annual Rental Expenses]]-AnnualExpenses[[#This Row],[Total Annual Housing Expenses]],0)</f>
        <v>669115.31911334232</v>
      </c>
      <c r="AG98" s="183">
        <f>IF(AnnualExpenses[[#This Row],[Total Annual Housing Expenses]]-AnnualExpenses[[#This Row],[Total Annual Rental Expenses]]&gt;0,AnnualExpenses[[#This Row],[Total Annual Housing Expenses]]-AnnualExpenses[[#This Row],[Total Annual Rental Expenses]],0)</f>
        <v>0</v>
      </c>
    </row>
    <row r="99" spans="11:33" x14ac:dyDescent="0.25">
      <c r="K99" s="161">
        <v>82</v>
      </c>
      <c r="L99" s="161">
        <f t="shared" si="5"/>
        <v>2103</v>
      </c>
      <c r="M99" s="215">
        <f>IF(AnnualExpenses[[#This Row],[Calendar Year]]&gt;=$C$8,AnnualExpenses[[#This Row],[Calendar Year]],NA())</f>
        <v>2103</v>
      </c>
      <c r="N99" s="215" t="e">
        <f>IF((AnnualExpenses[[#This Row],[Calendar Year]]&gt;=$C$8)*(AnnualExpenses[[#This Row],[Calendar Year]]&lt;=$C$10),AnnualExpenses[[#This Row],[Calendar Year]],NA())</f>
        <v>#N/A</v>
      </c>
      <c r="O99" s="214" t="e">
        <f>IF((AnnualExpenses[[#This Row],[Year (Range)]]&gt;=$C$8)*(AnnualExpenses[[#This Row],[Year (Range)]]&lt;=$C$10),Table65[[#This Row],[Buy, Instead of Rent]],NA())</f>
        <v>#N/A</v>
      </c>
      <c r="P99" s="214" t="e">
        <f>IF((AnnualExpenses[[#This Row],[Year (Range)]]&gt;=$C$8)*(AnnualExpenses[[#This Row],[Year (Range)]]&lt;=$C$10),Table65[[#This Row],[Rent, Instead of Buy]],NA())</f>
        <v>#N/A</v>
      </c>
      <c r="Q99" s="214" t="e">
        <f>IF((AnnualExpenses[[#This Row],[Year (Range)]]&gt;=$C$8)*(AnnualExpenses[[#This Row],[Year (Range)]]&lt;=$C$10),AnnualExpenses[[#This Row],[Total Annual Direct Housing Expenses]],NA())</f>
        <v>#N/A</v>
      </c>
      <c r="R99" s="214" t="e">
        <f>IF((AnnualExpenses[[#This Row],[Year (Range)]]&gt;=$C$8)*(AnnualExpenses[[#This Row],[Year (Range)]]&lt;=$C$10),AnnualExpenses[[#This Row],[Total Annual Indirect Housing Expenses]],NA())</f>
        <v>#N/A</v>
      </c>
      <c r="S99" s="214" t="e">
        <f>IF((AnnualExpenses[[#This Row],[Year (Range)]]&gt;=$C$8)*(AnnualExpenses[[#This Row],[Year (Range)]]&lt;=$C$10),AnnualExpenses[[#This Row],[Total Annual Rental Expenses]],NA())</f>
        <v>#N/A</v>
      </c>
      <c r="T99" s="214" t="e">
        <f>IF((AnnualExpenses[[#This Row],[Year (Range)]]&gt;=$C$8)*(AnnualExpenses[[#This Row],[Year (Range)]]&lt;=$C$10),AnnualExpenses[[#This Row],[Total Annual Housing Expenses]],NA())</f>
        <v>#N/A</v>
      </c>
      <c r="U99" s="214" t="e">
        <f>IF((AnnualExpenses[[#This Row],[Year (Range)]]&gt;=$C$8)*(AnnualExpenses[[#This Row],[Year (Range)]]&lt;=$C$10),AnnualExpenses[[#This Row],[Buying Average Monthly Cost]],NA())</f>
        <v>#N/A</v>
      </c>
      <c r="V99" s="214" t="e">
        <f>IF((AnnualExpenses[[#This Row],[Year (Range)]]&gt;=$C$8)*(AnnualExpenses[[#This Row],[Year (Range)]]&lt;=$C$10),AnnualExpenses[[#This Row],[Renting Average Monthly Cost]],NA())</f>
        <v>#N/A</v>
      </c>
      <c r="W99" s="4">
        <f>'Annual Amort. Sch.'!AL98</f>
        <v>0</v>
      </c>
      <c r="X99" s="4">
        <f>'Annual Amort. Sch.'!AM98</f>
        <v>165497.77082415918</v>
      </c>
      <c r="Y99" s="4">
        <f>(AnnualExpenses[[#This Row],[Total Annual Direct Housing Expenses]]+AnnualExpenses[[#This Row],[Total Annual Indirect Housing Expenses]])</f>
        <v>165497.77082415918</v>
      </c>
      <c r="Z99" s="4">
        <f>AnnualExpenses[[#This Row],[Total Annual Housing Expenses]]/12</f>
        <v>13791.480902013265</v>
      </c>
      <c r="AA99" s="164">
        <f t="shared" si="6"/>
        <v>862984.47717605613</v>
      </c>
      <c r="AB99" s="164">
        <f>AnnualExpenses[[#This Row],[Total Annual Rental Expenses]]/12</f>
        <v>71915.373098004682</v>
      </c>
      <c r="AC99" s="166"/>
      <c r="AD99" s="243">
        <v>82</v>
      </c>
      <c r="AE99" s="212">
        <f t="shared" si="7"/>
        <v>2103</v>
      </c>
      <c r="AF99" s="183">
        <f>IF(AnnualExpenses[[#This Row],[Total Annual Housing Expenses]]-AnnualExpenses[[#This Row],[Total Annual Rental Expenses]]&lt;0,AnnualExpenses[[#This Row],[Total Annual Rental Expenses]]-AnnualExpenses[[#This Row],[Total Annual Housing Expenses]],0)</f>
        <v>697486.70635189698</v>
      </c>
      <c r="AG99" s="183">
        <f>IF(AnnualExpenses[[#This Row],[Total Annual Housing Expenses]]-AnnualExpenses[[#This Row],[Total Annual Rental Expenses]]&gt;0,AnnualExpenses[[#This Row],[Total Annual Housing Expenses]]-AnnualExpenses[[#This Row],[Total Annual Rental Expenses]],0)</f>
        <v>0</v>
      </c>
    </row>
    <row r="100" spans="11:33" x14ac:dyDescent="0.25">
      <c r="K100" s="161">
        <v>83</v>
      </c>
      <c r="L100" s="161">
        <f t="shared" si="5"/>
        <v>2104</v>
      </c>
      <c r="M100" s="215">
        <f>IF(AnnualExpenses[[#This Row],[Calendar Year]]&gt;=$C$8,AnnualExpenses[[#This Row],[Calendar Year]],NA())</f>
        <v>2104</v>
      </c>
      <c r="N100" s="215" t="e">
        <f>IF((AnnualExpenses[[#This Row],[Calendar Year]]&gt;=$C$8)*(AnnualExpenses[[#This Row],[Calendar Year]]&lt;=$C$10),AnnualExpenses[[#This Row],[Calendar Year]],NA())</f>
        <v>#N/A</v>
      </c>
      <c r="O100" s="214" t="e">
        <f>IF((AnnualExpenses[[#This Row],[Year (Range)]]&gt;=$C$8)*(AnnualExpenses[[#This Row],[Year (Range)]]&lt;=$C$10),Table65[[#This Row],[Buy, Instead of Rent]],NA())</f>
        <v>#N/A</v>
      </c>
      <c r="P100" s="214" t="e">
        <f>IF((AnnualExpenses[[#This Row],[Year (Range)]]&gt;=$C$8)*(AnnualExpenses[[#This Row],[Year (Range)]]&lt;=$C$10),Table65[[#This Row],[Rent, Instead of Buy]],NA())</f>
        <v>#N/A</v>
      </c>
      <c r="Q100" s="214" t="e">
        <f>IF((AnnualExpenses[[#This Row],[Year (Range)]]&gt;=$C$8)*(AnnualExpenses[[#This Row],[Year (Range)]]&lt;=$C$10),AnnualExpenses[[#This Row],[Total Annual Direct Housing Expenses]],NA())</f>
        <v>#N/A</v>
      </c>
      <c r="R100" s="214" t="e">
        <f>IF((AnnualExpenses[[#This Row],[Year (Range)]]&gt;=$C$8)*(AnnualExpenses[[#This Row],[Year (Range)]]&lt;=$C$10),AnnualExpenses[[#This Row],[Total Annual Indirect Housing Expenses]],NA())</f>
        <v>#N/A</v>
      </c>
      <c r="S100" s="214" t="e">
        <f>IF((AnnualExpenses[[#This Row],[Year (Range)]]&gt;=$C$8)*(AnnualExpenses[[#This Row],[Year (Range)]]&lt;=$C$10),AnnualExpenses[[#This Row],[Total Annual Rental Expenses]],NA())</f>
        <v>#N/A</v>
      </c>
      <c r="T100" s="214" t="e">
        <f>IF((AnnualExpenses[[#This Row],[Year (Range)]]&gt;=$C$8)*(AnnualExpenses[[#This Row],[Year (Range)]]&lt;=$C$10),AnnualExpenses[[#This Row],[Total Annual Housing Expenses]],NA())</f>
        <v>#N/A</v>
      </c>
      <c r="U100" s="214" t="e">
        <f>IF((AnnualExpenses[[#This Row],[Year (Range)]]&gt;=$C$8)*(AnnualExpenses[[#This Row],[Year (Range)]]&lt;=$C$10),AnnualExpenses[[#This Row],[Buying Average Monthly Cost]],NA())</f>
        <v>#N/A</v>
      </c>
      <c r="V100" s="214" t="e">
        <f>IF((AnnualExpenses[[#This Row],[Year (Range)]]&gt;=$C$8)*(AnnualExpenses[[#This Row],[Year (Range)]]&lt;=$C$10),AnnualExpenses[[#This Row],[Renting Average Monthly Cost]],NA())</f>
        <v>#N/A</v>
      </c>
      <c r="W100" s="4">
        <f>'Annual Amort. Sch.'!AL99</f>
        <v>0</v>
      </c>
      <c r="X100" s="4">
        <f>'Annual Amort. Sch.'!AM99</f>
        <v>170462.70394888395</v>
      </c>
      <c r="Y100" s="4">
        <f>(AnnualExpenses[[#This Row],[Total Annual Direct Housing Expenses]]+AnnualExpenses[[#This Row],[Total Annual Indirect Housing Expenses]])</f>
        <v>170462.70394888395</v>
      </c>
      <c r="Z100" s="4">
        <f>AnnualExpenses[[#This Row],[Total Annual Housing Expenses]]/12</f>
        <v>14205.225329073663</v>
      </c>
      <c r="AA100" s="164">
        <f t="shared" si="6"/>
        <v>897503.85626309842</v>
      </c>
      <c r="AB100" s="164">
        <f>AnnualExpenses[[#This Row],[Total Annual Rental Expenses]]/12</f>
        <v>74791.988021924873</v>
      </c>
      <c r="AC100" s="166"/>
      <c r="AD100" s="243">
        <v>83</v>
      </c>
      <c r="AE100" s="212">
        <f t="shared" si="7"/>
        <v>2104</v>
      </c>
      <c r="AF100" s="183">
        <f>IF(AnnualExpenses[[#This Row],[Total Annual Housing Expenses]]-AnnualExpenses[[#This Row],[Total Annual Rental Expenses]]&lt;0,AnnualExpenses[[#This Row],[Total Annual Rental Expenses]]-AnnualExpenses[[#This Row],[Total Annual Housing Expenses]],0)</f>
        <v>727041.1523142145</v>
      </c>
      <c r="AG100" s="183">
        <f>IF(AnnualExpenses[[#This Row],[Total Annual Housing Expenses]]-AnnualExpenses[[#This Row],[Total Annual Rental Expenses]]&gt;0,AnnualExpenses[[#This Row],[Total Annual Housing Expenses]]-AnnualExpenses[[#This Row],[Total Annual Rental Expenses]],0)</f>
        <v>0</v>
      </c>
    </row>
    <row r="101" spans="11:33" x14ac:dyDescent="0.25">
      <c r="K101" s="161">
        <v>84</v>
      </c>
      <c r="L101" s="161">
        <f t="shared" si="5"/>
        <v>2105</v>
      </c>
      <c r="M101" s="215">
        <f>IF(AnnualExpenses[[#This Row],[Calendar Year]]&gt;=$C$8,AnnualExpenses[[#This Row],[Calendar Year]],NA())</f>
        <v>2105</v>
      </c>
      <c r="N101" s="215" t="e">
        <f>IF((AnnualExpenses[[#This Row],[Calendar Year]]&gt;=$C$8)*(AnnualExpenses[[#This Row],[Calendar Year]]&lt;=$C$10),AnnualExpenses[[#This Row],[Calendar Year]],NA())</f>
        <v>#N/A</v>
      </c>
      <c r="O101" s="214" t="e">
        <f>IF((AnnualExpenses[[#This Row],[Year (Range)]]&gt;=$C$8)*(AnnualExpenses[[#This Row],[Year (Range)]]&lt;=$C$10),Table65[[#This Row],[Buy, Instead of Rent]],NA())</f>
        <v>#N/A</v>
      </c>
      <c r="P101" s="214" t="e">
        <f>IF((AnnualExpenses[[#This Row],[Year (Range)]]&gt;=$C$8)*(AnnualExpenses[[#This Row],[Year (Range)]]&lt;=$C$10),Table65[[#This Row],[Rent, Instead of Buy]],NA())</f>
        <v>#N/A</v>
      </c>
      <c r="Q101" s="214" t="e">
        <f>IF((AnnualExpenses[[#This Row],[Year (Range)]]&gt;=$C$8)*(AnnualExpenses[[#This Row],[Year (Range)]]&lt;=$C$10),AnnualExpenses[[#This Row],[Total Annual Direct Housing Expenses]],NA())</f>
        <v>#N/A</v>
      </c>
      <c r="R101" s="214" t="e">
        <f>IF((AnnualExpenses[[#This Row],[Year (Range)]]&gt;=$C$8)*(AnnualExpenses[[#This Row],[Year (Range)]]&lt;=$C$10),AnnualExpenses[[#This Row],[Total Annual Indirect Housing Expenses]],NA())</f>
        <v>#N/A</v>
      </c>
      <c r="S101" s="214" t="e">
        <f>IF((AnnualExpenses[[#This Row],[Year (Range)]]&gt;=$C$8)*(AnnualExpenses[[#This Row],[Year (Range)]]&lt;=$C$10),AnnualExpenses[[#This Row],[Total Annual Rental Expenses]],NA())</f>
        <v>#N/A</v>
      </c>
      <c r="T101" s="214" t="e">
        <f>IF((AnnualExpenses[[#This Row],[Year (Range)]]&gt;=$C$8)*(AnnualExpenses[[#This Row],[Year (Range)]]&lt;=$C$10),AnnualExpenses[[#This Row],[Total Annual Housing Expenses]],NA())</f>
        <v>#N/A</v>
      </c>
      <c r="U101" s="214" t="e">
        <f>IF((AnnualExpenses[[#This Row],[Year (Range)]]&gt;=$C$8)*(AnnualExpenses[[#This Row],[Year (Range)]]&lt;=$C$10),AnnualExpenses[[#This Row],[Buying Average Monthly Cost]],NA())</f>
        <v>#N/A</v>
      </c>
      <c r="V101" s="214" t="e">
        <f>IF((AnnualExpenses[[#This Row],[Year (Range)]]&gt;=$C$8)*(AnnualExpenses[[#This Row],[Year (Range)]]&lt;=$C$10),AnnualExpenses[[#This Row],[Renting Average Monthly Cost]],NA())</f>
        <v>#N/A</v>
      </c>
      <c r="W101" s="4">
        <f>'Annual Amort. Sch.'!AL100</f>
        <v>0</v>
      </c>
      <c r="X101" s="4">
        <f>'Annual Amort. Sch.'!AM100</f>
        <v>175576.58506735048</v>
      </c>
      <c r="Y101" s="4">
        <f>(AnnualExpenses[[#This Row],[Total Annual Direct Housing Expenses]]+AnnualExpenses[[#This Row],[Total Annual Indirect Housing Expenses]])</f>
        <v>175576.58506735048</v>
      </c>
      <c r="Z101" s="4">
        <f>AnnualExpenses[[#This Row],[Total Annual Housing Expenses]]/12</f>
        <v>14631.382088945873</v>
      </c>
      <c r="AA101" s="164">
        <f t="shared" si="6"/>
        <v>933404.01051362243</v>
      </c>
      <c r="AB101" s="164">
        <f>AnnualExpenses[[#This Row],[Total Annual Rental Expenses]]/12</f>
        <v>77783.667542801864</v>
      </c>
      <c r="AC101" s="166"/>
      <c r="AD101" s="243">
        <v>84</v>
      </c>
      <c r="AE101" s="212">
        <f t="shared" si="7"/>
        <v>2105</v>
      </c>
      <c r="AF101" s="183">
        <f>IF(AnnualExpenses[[#This Row],[Total Annual Housing Expenses]]-AnnualExpenses[[#This Row],[Total Annual Rental Expenses]]&lt;0,AnnualExpenses[[#This Row],[Total Annual Rental Expenses]]-AnnualExpenses[[#This Row],[Total Annual Housing Expenses]],0)</f>
        <v>757827.4254462719</v>
      </c>
      <c r="AG101" s="183">
        <f>IF(AnnualExpenses[[#This Row],[Total Annual Housing Expenses]]-AnnualExpenses[[#This Row],[Total Annual Rental Expenses]]&gt;0,AnnualExpenses[[#This Row],[Total Annual Housing Expenses]]-AnnualExpenses[[#This Row],[Total Annual Rental Expenses]],0)</f>
        <v>0</v>
      </c>
    </row>
    <row r="102" spans="11:33" x14ac:dyDescent="0.25">
      <c r="K102" s="161">
        <v>85</v>
      </c>
      <c r="L102" s="161">
        <f t="shared" si="5"/>
        <v>2106</v>
      </c>
      <c r="M102" s="215">
        <f>IF(AnnualExpenses[[#This Row],[Calendar Year]]&gt;=$C$8,AnnualExpenses[[#This Row],[Calendar Year]],NA())</f>
        <v>2106</v>
      </c>
      <c r="N102" s="215" t="e">
        <f>IF((AnnualExpenses[[#This Row],[Calendar Year]]&gt;=$C$8)*(AnnualExpenses[[#This Row],[Calendar Year]]&lt;=$C$10),AnnualExpenses[[#This Row],[Calendar Year]],NA())</f>
        <v>#N/A</v>
      </c>
      <c r="O102" s="214" t="e">
        <f>IF((AnnualExpenses[[#This Row],[Year (Range)]]&gt;=$C$8)*(AnnualExpenses[[#This Row],[Year (Range)]]&lt;=$C$10),Table65[[#This Row],[Buy, Instead of Rent]],NA())</f>
        <v>#N/A</v>
      </c>
      <c r="P102" s="214" t="e">
        <f>IF((AnnualExpenses[[#This Row],[Year (Range)]]&gt;=$C$8)*(AnnualExpenses[[#This Row],[Year (Range)]]&lt;=$C$10),Table65[[#This Row],[Rent, Instead of Buy]],NA())</f>
        <v>#N/A</v>
      </c>
      <c r="Q102" s="214" t="e">
        <f>IF((AnnualExpenses[[#This Row],[Year (Range)]]&gt;=$C$8)*(AnnualExpenses[[#This Row],[Year (Range)]]&lt;=$C$10),AnnualExpenses[[#This Row],[Total Annual Direct Housing Expenses]],NA())</f>
        <v>#N/A</v>
      </c>
      <c r="R102" s="214" t="e">
        <f>IF((AnnualExpenses[[#This Row],[Year (Range)]]&gt;=$C$8)*(AnnualExpenses[[#This Row],[Year (Range)]]&lt;=$C$10),AnnualExpenses[[#This Row],[Total Annual Indirect Housing Expenses]],NA())</f>
        <v>#N/A</v>
      </c>
      <c r="S102" s="214" t="e">
        <f>IF((AnnualExpenses[[#This Row],[Year (Range)]]&gt;=$C$8)*(AnnualExpenses[[#This Row],[Year (Range)]]&lt;=$C$10),AnnualExpenses[[#This Row],[Total Annual Rental Expenses]],NA())</f>
        <v>#N/A</v>
      </c>
      <c r="T102" s="214" t="e">
        <f>IF((AnnualExpenses[[#This Row],[Year (Range)]]&gt;=$C$8)*(AnnualExpenses[[#This Row],[Year (Range)]]&lt;=$C$10),AnnualExpenses[[#This Row],[Total Annual Housing Expenses]],NA())</f>
        <v>#N/A</v>
      </c>
      <c r="U102" s="214" t="e">
        <f>IF((AnnualExpenses[[#This Row],[Year (Range)]]&gt;=$C$8)*(AnnualExpenses[[#This Row],[Year (Range)]]&lt;=$C$10),AnnualExpenses[[#This Row],[Buying Average Monthly Cost]],NA())</f>
        <v>#N/A</v>
      </c>
      <c r="V102" s="214" t="e">
        <f>IF((AnnualExpenses[[#This Row],[Year (Range)]]&gt;=$C$8)*(AnnualExpenses[[#This Row],[Year (Range)]]&lt;=$C$10),AnnualExpenses[[#This Row],[Renting Average Monthly Cost]],NA())</f>
        <v>#N/A</v>
      </c>
      <c r="W102" s="4">
        <f>'Annual Amort. Sch.'!AL101</f>
        <v>0</v>
      </c>
      <c r="X102" s="4">
        <f>'Annual Amort. Sch.'!AM101</f>
        <v>180843.882619371</v>
      </c>
      <c r="Y102" s="4">
        <f>(AnnualExpenses[[#This Row],[Total Annual Direct Housing Expenses]]+AnnualExpenses[[#This Row],[Total Annual Indirect Housing Expenses]])</f>
        <v>180843.882619371</v>
      </c>
      <c r="Z102" s="4">
        <f>AnnualExpenses[[#This Row],[Total Annual Housing Expenses]]/12</f>
        <v>15070.32355161425</v>
      </c>
      <c r="AA102" s="164">
        <f t="shared" si="6"/>
        <v>970740.17093416734</v>
      </c>
      <c r="AB102" s="164">
        <f>AnnualExpenses[[#This Row],[Total Annual Rental Expenses]]/12</f>
        <v>80895.01424451395</v>
      </c>
      <c r="AC102" s="166"/>
      <c r="AD102" s="243">
        <v>85</v>
      </c>
      <c r="AE102" s="212">
        <f t="shared" si="7"/>
        <v>2106</v>
      </c>
      <c r="AF102" s="183">
        <f>IF(AnnualExpenses[[#This Row],[Total Annual Housing Expenses]]-AnnualExpenses[[#This Row],[Total Annual Rental Expenses]]&lt;0,AnnualExpenses[[#This Row],[Total Annual Rental Expenses]]-AnnualExpenses[[#This Row],[Total Annual Housing Expenses]],0)</f>
        <v>789896.28831479629</v>
      </c>
      <c r="AG102" s="183">
        <f>IF(AnnualExpenses[[#This Row],[Total Annual Housing Expenses]]-AnnualExpenses[[#This Row],[Total Annual Rental Expenses]]&gt;0,AnnualExpenses[[#This Row],[Total Annual Housing Expenses]]-AnnualExpenses[[#This Row],[Total Annual Rental Expenses]],0)</f>
        <v>0</v>
      </c>
    </row>
    <row r="103" spans="11:33" x14ac:dyDescent="0.25">
      <c r="K103" s="161">
        <v>86</v>
      </c>
      <c r="L103" s="161">
        <f t="shared" si="5"/>
        <v>2107</v>
      </c>
      <c r="M103" s="215">
        <f>IF(AnnualExpenses[[#This Row],[Calendar Year]]&gt;=$C$8,AnnualExpenses[[#This Row],[Calendar Year]],NA())</f>
        <v>2107</v>
      </c>
      <c r="N103" s="215" t="e">
        <f>IF((AnnualExpenses[[#This Row],[Calendar Year]]&gt;=$C$8)*(AnnualExpenses[[#This Row],[Calendar Year]]&lt;=$C$10),AnnualExpenses[[#This Row],[Calendar Year]],NA())</f>
        <v>#N/A</v>
      </c>
      <c r="O103" s="214" t="e">
        <f>IF((AnnualExpenses[[#This Row],[Year (Range)]]&gt;=$C$8)*(AnnualExpenses[[#This Row],[Year (Range)]]&lt;=$C$10),Table65[[#This Row],[Buy, Instead of Rent]],NA())</f>
        <v>#N/A</v>
      </c>
      <c r="P103" s="214" t="e">
        <f>IF((AnnualExpenses[[#This Row],[Year (Range)]]&gt;=$C$8)*(AnnualExpenses[[#This Row],[Year (Range)]]&lt;=$C$10),Table65[[#This Row],[Rent, Instead of Buy]],NA())</f>
        <v>#N/A</v>
      </c>
      <c r="Q103" s="214" t="e">
        <f>IF((AnnualExpenses[[#This Row],[Year (Range)]]&gt;=$C$8)*(AnnualExpenses[[#This Row],[Year (Range)]]&lt;=$C$10),AnnualExpenses[[#This Row],[Total Annual Direct Housing Expenses]],NA())</f>
        <v>#N/A</v>
      </c>
      <c r="R103" s="214" t="e">
        <f>IF((AnnualExpenses[[#This Row],[Year (Range)]]&gt;=$C$8)*(AnnualExpenses[[#This Row],[Year (Range)]]&lt;=$C$10),AnnualExpenses[[#This Row],[Total Annual Indirect Housing Expenses]],NA())</f>
        <v>#N/A</v>
      </c>
      <c r="S103" s="214" t="e">
        <f>IF((AnnualExpenses[[#This Row],[Year (Range)]]&gt;=$C$8)*(AnnualExpenses[[#This Row],[Year (Range)]]&lt;=$C$10),AnnualExpenses[[#This Row],[Total Annual Rental Expenses]],NA())</f>
        <v>#N/A</v>
      </c>
      <c r="T103" s="214" t="e">
        <f>IF((AnnualExpenses[[#This Row],[Year (Range)]]&gt;=$C$8)*(AnnualExpenses[[#This Row],[Year (Range)]]&lt;=$C$10),AnnualExpenses[[#This Row],[Total Annual Housing Expenses]],NA())</f>
        <v>#N/A</v>
      </c>
      <c r="U103" s="214" t="e">
        <f>IF((AnnualExpenses[[#This Row],[Year (Range)]]&gt;=$C$8)*(AnnualExpenses[[#This Row],[Year (Range)]]&lt;=$C$10),AnnualExpenses[[#This Row],[Buying Average Monthly Cost]],NA())</f>
        <v>#N/A</v>
      </c>
      <c r="V103" s="214" t="e">
        <f>IF((AnnualExpenses[[#This Row],[Year (Range)]]&gt;=$C$8)*(AnnualExpenses[[#This Row],[Year (Range)]]&lt;=$C$10),AnnualExpenses[[#This Row],[Renting Average Monthly Cost]],NA())</f>
        <v>#N/A</v>
      </c>
      <c r="W103" s="4">
        <f>'Annual Amort. Sch.'!AL102</f>
        <v>0</v>
      </c>
      <c r="X103" s="4">
        <f>'Annual Amort. Sch.'!AM102</f>
        <v>186269.19909795211</v>
      </c>
      <c r="Y103" s="4">
        <f>(AnnualExpenses[[#This Row],[Total Annual Direct Housing Expenses]]+AnnualExpenses[[#This Row],[Total Annual Indirect Housing Expenses]])</f>
        <v>186269.19909795211</v>
      </c>
      <c r="Z103" s="4">
        <f>AnnualExpenses[[#This Row],[Total Annual Housing Expenses]]/12</f>
        <v>15522.433258162675</v>
      </c>
      <c r="AA103" s="164">
        <f t="shared" si="6"/>
        <v>1009569.777771534</v>
      </c>
      <c r="AB103" s="164">
        <f>AnnualExpenses[[#This Row],[Total Annual Rental Expenses]]/12</f>
        <v>84130.814814294499</v>
      </c>
      <c r="AC103" s="166"/>
      <c r="AD103" s="243">
        <v>86</v>
      </c>
      <c r="AE103" s="212">
        <f t="shared" si="7"/>
        <v>2107</v>
      </c>
      <c r="AF103" s="183">
        <f>IF(AnnualExpenses[[#This Row],[Total Annual Housing Expenses]]-AnnualExpenses[[#This Row],[Total Annual Rental Expenses]]&lt;0,AnnualExpenses[[#This Row],[Total Annual Rental Expenses]]-AnnualExpenses[[#This Row],[Total Annual Housing Expenses]],0)</f>
        <v>823300.57867358194</v>
      </c>
      <c r="AG103" s="183">
        <f>IF(AnnualExpenses[[#This Row],[Total Annual Housing Expenses]]-AnnualExpenses[[#This Row],[Total Annual Rental Expenses]]&gt;0,AnnualExpenses[[#This Row],[Total Annual Housing Expenses]]-AnnualExpenses[[#This Row],[Total Annual Rental Expenses]],0)</f>
        <v>0</v>
      </c>
    </row>
    <row r="104" spans="11:33" x14ac:dyDescent="0.25">
      <c r="K104" s="161">
        <v>87</v>
      </c>
      <c r="L104" s="161">
        <f t="shared" si="5"/>
        <v>2108</v>
      </c>
      <c r="M104" s="215">
        <f>IF(AnnualExpenses[[#This Row],[Calendar Year]]&gt;=$C$8,AnnualExpenses[[#This Row],[Calendar Year]],NA())</f>
        <v>2108</v>
      </c>
      <c r="N104" s="215" t="e">
        <f>IF((AnnualExpenses[[#This Row],[Calendar Year]]&gt;=$C$8)*(AnnualExpenses[[#This Row],[Calendar Year]]&lt;=$C$10),AnnualExpenses[[#This Row],[Calendar Year]],NA())</f>
        <v>#N/A</v>
      </c>
      <c r="O104" s="214" t="e">
        <f>IF((AnnualExpenses[[#This Row],[Year (Range)]]&gt;=$C$8)*(AnnualExpenses[[#This Row],[Year (Range)]]&lt;=$C$10),Table65[[#This Row],[Buy, Instead of Rent]],NA())</f>
        <v>#N/A</v>
      </c>
      <c r="P104" s="214" t="e">
        <f>IF((AnnualExpenses[[#This Row],[Year (Range)]]&gt;=$C$8)*(AnnualExpenses[[#This Row],[Year (Range)]]&lt;=$C$10),Table65[[#This Row],[Rent, Instead of Buy]],NA())</f>
        <v>#N/A</v>
      </c>
      <c r="Q104" s="214" t="e">
        <f>IF((AnnualExpenses[[#This Row],[Year (Range)]]&gt;=$C$8)*(AnnualExpenses[[#This Row],[Year (Range)]]&lt;=$C$10),AnnualExpenses[[#This Row],[Total Annual Direct Housing Expenses]],NA())</f>
        <v>#N/A</v>
      </c>
      <c r="R104" s="214" t="e">
        <f>IF((AnnualExpenses[[#This Row],[Year (Range)]]&gt;=$C$8)*(AnnualExpenses[[#This Row],[Year (Range)]]&lt;=$C$10),AnnualExpenses[[#This Row],[Total Annual Indirect Housing Expenses]],NA())</f>
        <v>#N/A</v>
      </c>
      <c r="S104" s="214" t="e">
        <f>IF((AnnualExpenses[[#This Row],[Year (Range)]]&gt;=$C$8)*(AnnualExpenses[[#This Row],[Year (Range)]]&lt;=$C$10),AnnualExpenses[[#This Row],[Total Annual Rental Expenses]],NA())</f>
        <v>#N/A</v>
      </c>
      <c r="T104" s="214" t="e">
        <f>IF((AnnualExpenses[[#This Row],[Year (Range)]]&gt;=$C$8)*(AnnualExpenses[[#This Row],[Year (Range)]]&lt;=$C$10),AnnualExpenses[[#This Row],[Total Annual Housing Expenses]],NA())</f>
        <v>#N/A</v>
      </c>
      <c r="U104" s="214" t="e">
        <f>IF((AnnualExpenses[[#This Row],[Year (Range)]]&gt;=$C$8)*(AnnualExpenses[[#This Row],[Year (Range)]]&lt;=$C$10),AnnualExpenses[[#This Row],[Buying Average Monthly Cost]],NA())</f>
        <v>#N/A</v>
      </c>
      <c r="V104" s="214" t="e">
        <f>IF((AnnualExpenses[[#This Row],[Year (Range)]]&gt;=$C$8)*(AnnualExpenses[[#This Row],[Year (Range)]]&lt;=$C$10),AnnualExpenses[[#This Row],[Renting Average Monthly Cost]],NA())</f>
        <v>#N/A</v>
      </c>
      <c r="W104" s="4">
        <f>'Annual Amort. Sch.'!AL103</f>
        <v>0</v>
      </c>
      <c r="X104" s="4">
        <f>'Annual Amort. Sch.'!AM103</f>
        <v>191857.2750708907</v>
      </c>
      <c r="Y104" s="4">
        <f>(AnnualExpenses[[#This Row],[Total Annual Direct Housing Expenses]]+AnnualExpenses[[#This Row],[Total Annual Indirect Housing Expenses]])</f>
        <v>191857.2750708907</v>
      </c>
      <c r="Z104" s="4">
        <f>AnnualExpenses[[#This Row],[Total Annual Housing Expenses]]/12</f>
        <v>15988.106255907558</v>
      </c>
      <c r="AA104" s="164">
        <f t="shared" si="6"/>
        <v>1049952.5688823955</v>
      </c>
      <c r="AB104" s="164">
        <f>AnnualExpenses[[#This Row],[Total Annual Rental Expenses]]/12</f>
        <v>87496.047406866288</v>
      </c>
      <c r="AC104" s="166"/>
      <c r="AD104" s="243">
        <v>87</v>
      </c>
      <c r="AE104" s="212">
        <f t="shared" si="7"/>
        <v>2108</v>
      </c>
      <c r="AF104" s="183">
        <f>IF(AnnualExpenses[[#This Row],[Total Annual Housing Expenses]]-AnnualExpenses[[#This Row],[Total Annual Rental Expenses]]&lt;0,AnnualExpenses[[#This Row],[Total Annual Rental Expenses]]-AnnualExpenses[[#This Row],[Total Annual Housing Expenses]],0)</f>
        <v>858095.29381150485</v>
      </c>
      <c r="AG104" s="183">
        <f>IF(AnnualExpenses[[#This Row],[Total Annual Housing Expenses]]-AnnualExpenses[[#This Row],[Total Annual Rental Expenses]]&gt;0,AnnualExpenses[[#This Row],[Total Annual Housing Expenses]]-AnnualExpenses[[#This Row],[Total Annual Rental Expenses]],0)</f>
        <v>0</v>
      </c>
    </row>
    <row r="105" spans="11:33" x14ac:dyDescent="0.25">
      <c r="K105" s="161">
        <v>88</v>
      </c>
      <c r="L105" s="161">
        <f t="shared" si="5"/>
        <v>2109</v>
      </c>
      <c r="M105" s="215">
        <f>IF(AnnualExpenses[[#This Row],[Calendar Year]]&gt;=$C$8,AnnualExpenses[[#This Row],[Calendar Year]],NA())</f>
        <v>2109</v>
      </c>
      <c r="N105" s="215" t="e">
        <f>IF((AnnualExpenses[[#This Row],[Calendar Year]]&gt;=$C$8)*(AnnualExpenses[[#This Row],[Calendar Year]]&lt;=$C$10),AnnualExpenses[[#This Row],[Calendar Year]],NA())</f>
        <v>#N/A</v>
      </c>
      <c r="O105" s="214" t="e">
        <f>IF((AnnualExpenses[[#This Row],[Year (Range)]]&gt;=$C$8)*(AnnualExpenses[[#This Row],[Year (Range)]]&lt;=$C$10),Table65[[#This Row],[Buy, Instead of Rent]],NA())</f>
        <v>#N/A</v>
      </c>
      <c r="P105" s="214" t="e">
        <f>IF((AnnualExpenses[[#This Row],[Year (Range)]]&gt;=$C$8)*(AnnualExpenses[[#This Row],[Year (Range)]]&lt;=$C$10),Table65[[#This Row],[Rent, Instead of Buy]],NA())</f>
        <v>#N/A</v>
      </c>
      <c r="Q105" s="214" t="e">
        <f>IF((AnnualExpenses[[#This Row],[Year (Range)]]&gt;=$C$8)*(AnnualExpenses[[#This Row],[Year (Range)]]&lt;=$C$10),AnnualExpenses[[#This Row],[Total Annual Direct Housing Expenses]],NA())</f>
        <v>#N/A</v>
      </c>
      <c r="R105" s="214" t="e">
        <f>IF((AnnualExpenses[[#This Row],[Year (Range)]]&gt;=$C$8)*(AnnualExpenses[[#This Row],[Year (Range)]]&lt;=$C$10),AnnualExpenses[[#This Row],[Total Annual Indirect Housing Expenses]],NA())</f>
        <v>#N/A</v>
      </c>
      <c r="S105" s="214" t="e">
        <f>IF((AnnualExpenses[[#This Row],[Year (Range)]]&gt;=$C$8)*(AnnualExpenses[[#This Row],[Year (Range)]]&lt;=$C$10),AnnualExpenses[[#This Row],[Total Annual Rental Expenses]],NA())</f>
        <v>#N/A</v>
      </c>
      <c r="T105" s="214" t="e">
        <f>IF((AnnualExpenses[[#This Row],[Year (Range)]]&gt;=$C$8)*(AnnualExpenses[[#This Row],[Year (Range)]]&lt;=$C$10),AnnualExpenses[[#This Row],[Total Annual Housing Expenses]],NA())</f>
        <v>#N/A</v>
      </c>
      <c r="U105" s="214" t="e">
        <f>IF((AnnualExpenses[[#This Row],[Year (Range)]]&gt;=$C$8)*(AnnualExpenses[[#This Row],[Year (Range)]]&lt;=$C$10),AnnualExpenses[[#This Row],[Buying Average Monthly Cost]],NA())</f>
        <v>#N/A</v>
      </c>
      <c r="V105" s="214" t="e">
        <f>IF((AnnualExpenses[[#This Row],[Year (Range)]]&gt;=$C$8)*(AnnualExpenses[[#This Row],[Year (Range)]]&lt;=$C$10),AnnualExpenses[[#This Row],[Renting Average Monthly Cost]],NA())</f>
        <v>#N/A</v>
      </c>
      <c r="W105" s="4">
        <f>'Annual Amort. Sch.'!AL104</f>
        <v>0</v>
      </c>
      <c r="X105" s="4">
        <f>'Annual Amort. Sch.'!AM104</f>
        <v>197612.99332301741</v>
      </c>
      <c r="Y105" s="4">
        <f>(AnnualExpenses[[#This Row],[Total Annual Direct Housing Expenses]]+AnnualExpenses[[#This Row],[Total Annual Indirect Housing Expenses]])</f>
        <v>197612.99332301741</v>
      </c>
      <c r="Z105" s="4">
        <f>AnnualExpenses[[#This Row],[Total Annual Housing Expenses]]/12</f>
        <v>16467.749443584784</v>
      </c>
      <c r="AA105" s="164">
        <f t="shared" si="6"/>
        <v>1091950.6716376913</v>
      </c>
      <c r="AB105" s="164">
        <f>AnnualExpenses[[#This Row],[Total Annual Rental Expenses]]/12</f>
        <v>90995.889303140939</v>
      </c>
      <c r="AC105" s="166"/>
      <c r="AD105" s="243">
        <v>88</v>
      </c>
      <c r="AE105" s="212">
        <f t="shared" si="7"/>
        <v>2109</v>
      </c>
      <c r="AF105" s="183">
        <f>IF(AnnualExpenses[[#This Row],[Total Annual Housing Expenses]]-AnnualExpenses[[#This Row],[Total Annual Rental Expenses]]&lt;0,AnnualExpenses[[#This Row],[Total Annual Rental Expenses]]-AnnualExpenses[[#This Row],[Total Annual Housing Expenses]],0)</f>
        <v>894337.67831467395</v>
      </c>
      <c r="AG105" s="183">
        <f>IF(AnnualExpenses[[#This Row],[Total Annual Housing Expenses]]-AnnualExpenses[[#This Row],[Total Annual Rental Expenses]]&gt;0,AnnualExpenses[[#This Row],[Total Annual Housing Expenses]]-AnnualExpenses[[#This Row],[Total Annual Rental Expenses]],0)</f>
        <v>0</v>
      </c>
    </row>
    <row r="106" spans="11:33" x14ac:dyDescent="0.25">
      <c r="K106" s="161">
        <v>89</v>
      </c>
      <c r="L106" s="161">
        <f t="shared" si="5"/>
        <v>2110</v>
      </c>
      <c r="M106" s="215">
        <f>IF(AnnualExpenses[[#This Row],[Calendar Year]]&gt;=$C$8,AnnualExpenses[[#This Row],[Calendar Year]],NA())</f>
        <v>2110</v>
      </c>
      <c r="N106" s="215" t="e">
        <f>IF((AnnualExpenses[[#This Row],[Calendar Year]]&gt;=$C$8)*(AnnualExpenses[[#This Row],[Calendar Year]]&lt;=$C$10),AnnualExpenses[[#This Row],[Calendar Year]],NA())</f>
        <v>#N/A</v>
      </c>
      <c r="O106" s="214" t="e">
        <f>IF((AnnualExpenses[[#This Row],[Year (Range)]]&gt;=$C$8)*(AnnualExpenses[[#This Row],[Year (Range)]]&lt;=$C$10),Table65[[#This Row],[Buy, Instead of Rent]],NA())</f>
        <v>#N/A</v>
      </c>
      <c r="P106" s="214" t="e">
        <f>IF((AnnualExpenses[[#This Row],[Year (Range)]]&gt;=$C$8)*(AnnualExpenses[[#This Row],[Year (Range)]]&lt;=$C$10),Table65[[#This Row],[Rent, Instead of Buy]],NA())</f>
        <v>#N/A</v>
      </c>
      <c r="Q106" s="214" t="e">
        <f>IF((AnnualExpenses[[#This Row],[Year (Range)]]&gt;=$C$8)*(AnnualExpenses[[#This Row],[Year (Range)]]&lt;=$C$10),AnnualExpenses[[#This Row],[Total Annual Direct Housing Expenses]],NA())</f>
        <v>#N/A</v>
      </c>
      <c r="R106" s="214" t="e">
        <f>IF((AnnualExpenses[[#This Row],[Year (Range)]]&gt;=$C$8)*(AnnualExpenses[[#This Row],[Year (Range)]]&lt;=$C$10),AnnualExpenses[[#This Row],[Total Annual Indirect Housing Expenses]],NA())</f>
        <v>#N/A</v>
      </c>
      <c r="S106" s="214" t="e">
        <f>IF((AnnualExpenses[[#This Row],[Year (Range)]]&gt;=$C$8)*(AnnualExpenses[[#This Row],[Year (Range)]]&lt;=$C$10),AnnualExpenses[[#This Row],[Total Annual Rental Expenses]],NA())</f>
        <v>#N/A</v>
      </c>
      <c r="T106" s="214" t="e">
        <f>IF((AnnualExpenses[[#This Row],[Year (Range)]]&gt;=$C$8)*(AnnualExpenses[[#This Row],[Year (Range)]]&lt;=$C$10),AnnualExpenses[[#This Row],[Total Annual Housing Expenses]],NA())</f>
        <v>#N/A</v>
      </c>
      <c r="U106" s="214" t="e">
        <f>IF((AnnualExpenses[[#This Row],[Year (Range)]]&gt;=$C$8)*(AnnualExpenses[[#This Row],[Year (Range)]]&lt;=$C$10),AnnualExpenses[[#This Row],[Buying Average Monthly Cost]],NA())</f>
        <v>#N/A</v>
      </c>
      <c r="V106" s="214" t="e">
        <f>IF((AnnualExpenses[[#This Row],[Year (Range)]]&gt;=$C$8)*(AnnualExpenses[[#This Row],[Year (Range)]]&lt;=$C$10),AnnualExpenses[[#This Row],[Renting Average Monthly Cost]],NA())</f>
        <v>#N/A</v>
      </c>
      <c r="W106" s="4">
        <f>'Annual Amort. Sch.'!AL105</f>
        <v>0</v>
      </c>
      <c r="X106" s="4">
        <f>'Annual Amort. Sch.'!AM105</f>
        <v>203541.38312270795</v>
      </c>
      <c r="Y106" s="4">
        <f>(AnnualExpenses[[#This Row],[Total Annual Direct Housing Expenses]]+AnnualExpenses[[#This Row],[Total Annual Indirect Housing Expenses]])</f>
        <v>203541.38312270795</v>
      </c>
      <c r="Z106" s="4">
        <f>AnnualExpenses[[#This Row],[Total Annual Housing Expenses]]/12</f>
        <v>16961.78192689233</v>
      </c>
      <c r="AA106" s="164">
        <f t="shared" si="6"/>
        <v>1135628.698503199</v>
      </c>
      <c r="AB106" s="164">
        <f>AnnualExpenses[[#This Row],[Total Annual Rental Expenses]]/12</f>
        <v>94635.724875266591</v>
      </c>
      <c r="AC106" s="166"/>
      <c r="AD106" s="243">
        <v>89</v>
      </c>
      <c r="AE106" s="212">
        <f t="shared" si="7"/>
        <v>2110</v>
      </c>
      <c r="AF106" s="183">
        <f>IF(AnnualExpenses[[#This Row],[Total Annual Housing Expenses]]-AnnualExpenses[[#This Row],[Total Annual Rental Expenses]]&lt;0,AnnualExpenses[[#This Row],[Total Annual Rental Expenses]]-AnnualExpenses[[#This Row],[Total Annual Housing Expenses]],0)</f>
        <v>932087.31538049108</v>
      </c>
      <c r="AG106" s="183">
        <f>IF(AnnualExpenses[[#This Row],[Total Annual Housing Expenses]]-AnnualExpenses[[#This Row],[Total Annual Rental Expenses]]&gt;0,AnnualExpenses[[#This Row],[Total Annual Housing Expenses]]-AnnualExpenses[[#This Row],[Total Annual Rental Expenses]],0)</f>
        <v>0</v>
      </c>
    </row>
    <row r="107" spans="11:33" x14ac:dyDescent="0.25">
      <c r="K107" s="161">
        <v>90</v>
      </c>
      <c r="L107" s="161">
        <f t="shared" si="5"/>
        <v>2111</v>
      </c>
      <c r="M107" s="215">
        <f>IF(AnnualExpenses[[#This Row],[Calendar Year]]&gt;=$C$8,AnnualExpenses[[#This Row],[Calendar Year]],NA())</f>
        <v>2111</v>
      </c>
      <c r="N107" s="215" t="e">
        <f>IF((AnnualExpenses[[#This Row],[Calendar Year]]&gt;=$C$8)*(AnnualExpenses[[#This Row],[Calendar Year]]&lt;=$C$10),AnnualExpenses[[#This Row],[Calendar Year]],NA())</f>
        <v>#N/A</v>
      </c>
      <c r="O107" s="214" t="e">
        <f>IF((AnnualExpenses[[#This Row],[Year (Range)]]&gt;=$C$8)*(AnnualExpenses[[#This Row],[Year (Range)]]&lt;=$C$10),Table65[[#This Row],[Buy, Instead of Rent]],NA())</f>
        <v>#N/A</v>
      </c>
      <c r="P107" s="214" t="e">
        <f>IF((AnnualExpenses[[#This Row],[Year (Range)]]&gt;=$C$8)*(AnnualExpenses[[#This Row],[Year (Range)]]&lt;=$C$10),Table65[[#This Row],[Rent, Instead of Buy]],NA())</f>
        <v>#N/A</v>
      </c>
      <c r="Q107" s="214" t="e">
        <f>IF((AnnualExpenses[[#This Row],[Year (Range)]]&gt;=$C$8)*(AnnualExpenses[[#This Row],[Year (Range)]]&lt;=$C$10),AnnualExpenses[[#This Row],[Total Annual Direct Housing Expenses]],NA())</f>
        <v>#N/A</v>
      </c>
      <c r="R107" s="214" t="e">
        <f>IF((AnnualExpenses[[#This Row],[Year (Range)]]&gt;=$C$8)*(AnnualExpenses[[#This Row],[Year (Range)]]&lt;=$C$10),AnnualExpenses[[#This Row],[Total Annual Indirect Housing Expenses]],NA())</f>
        <v>#N/A</v>
      </c>
      <c r="S107" s="214" t="e">
        <f>IF((AnnualExpenses[[#This Row],[Year (Range)]]&gt;=$C$8)*(AnnualExpenses[[#This Row],[Year (Range)]]&lt;=$C$10),AnnualExpenses[[#This Row],[Total Annual Rental Expenses]],NA())</f>
        <v>#N/A</v>
      </c>
      <c r="T107" s="214" t="e">
        <f>IF((AnnualExpenses[[#This Row],[Year (Range)]]&gt;=$C$8)*(AnnualExpenses[[#This Row],[Year (Range)]]&lt;=$C$10),AnnualExpenses[[#This Row],[Total Annual Housing Expenses]],NA())</f>
        <v>#N/A</v>
      </c>
      <c r="U107" s="214" t="e">
        <f>IF((AnnualExpenses[[#This Row],[Year (Range)]]&gt;=$C$8)*(AnnualExpenses[[#This Row],[Year (Range)]]&lt;=$C$10),AnnualExpenses[[#This Row],[Buying Average Monthly Cost]],NA())</f>
        <v>#N/A</v>
      </c>
      <c r="V107" s="214" t="e">
        <f>IF((AnnualExpenses[[#This Row],[Year (Range)]]&gt;=$C$8)*(AnnualExpenses[[#This Row],[Year (Range)]]&lt;=$C$10),AnnualExpenses[[#This Row],[Renting Average Monthly Cost]],NA())</f>
        <v>#N/A</v>
      </c>
      <c r="W107" s="4">
        <f>'Annual Amort. Sch.'!AL106</f>
        <v>0</v>
      </c>
      <c r="X107" s="4">
        <f>'Annual Amort. Sch.'!AM106</f>
        <v>209647.62461638916</v>
      </c>
      <c r="Y107" s="4">
        <f>(AnnualExpenses[[#This Row],[Total Annual Direct Housing Expenses]]+AnnualExpenses[[#This Row],[Total Annual Indirect Housing Expenses]])</f>
        <v>209647.62461638916</v>
      </c>
      <c r="Z107" s="4">
        <f>AnnualExpenses[[#This Row],[Total Annual Housing Expenses]]/12</f>
        <v>17470.635384699097</v>
      </c>
      <c r="AA107" s="164">
        <f t="shared" si="6"/>
        <v>1181053.8464433271</v>
      </c>
      <c r="AB107" s="164">
        <f>AnnualExpenses[[#This Row],[Total Annual Rental Expenses]]/12</f>
        <v>98421.153870277267</v>
      </c>
      <c r="AC107" s="166"/>
      <c r="AD107" s="243">
        <v>90</v>
      </c>
      <c r="AE107" s="212">
        <f t="shared" si="7"/>
        <v>2111</v>
      </c>
      <c r="AF107" s="183">
        <f>IF(AnnualExpenses[[#This Row],[Total Annual Housing Expenses]]-AnnualExpenses[[#This Row],[Total Annual Rental Expenses]]&lt;0,AnnualExpenses[[#This Row],[Total Annual Rental Expenses]]-AnnualExpenses[[#This Row],[Total Annual Housing Expenses]],0)</f>
        <v>971406.22182693798</v>
      </c>
      <c r="AG107" s="183">
        <f>IF(AnnualExpenses[[#This Row],[Total Annual Housing Expenses]]-AnnualExpenses[[#This Row],[Total Annual Rental Expenses]]&gt;0,AnnualExpenses[[#This Row],[Total Annual Housing Expenses]]-AnnualExpenses[[#This Row],[Total Annual Rental Expenses]],0)</f>
        <v>0</v>
      </c>
    </row>
    <row r="108" spans="11:33" x14ac:dyDescent="0.25">
      <c r="K108" s="161">
        <v>91</v>
      </c>
      <c r="L108" s="161">
        <f t="shared" si="5"/>
        <v>2112</v>
      </c>
      <c r="M108" s="215">
        <f>IF(AnnualExpenses[[#This Row],[Calendar Year]]&gt;=$C$8,AnnualExpenses[[#This Row],[Calendar Year]],NA())</f>
        <v>2112</v>
      </c>
      <c r="N108" s="215" t="e">
        <f>IF((AnnualExpenses[[#This Row],[Calendar Year]]&gt;=$C$8)*(AnnualExpenses[[#This Row],[Calendar Year]]&lt;=$C$10),AnnualExpenses[[#This Row],[Calendar Year]],NA())</f>
        <v>#N/A</v>
      </c>
      <c r="O108" s="214" t="e">
        <f>IF((AnnualExpenses[[#This Row],[Year (Range)]]&gt;=$C$8)*(AnnualExpenses[[#This Row],[Year (Range)]]&lt;=$C$10),Table65[[#This Row],[Buy, Instead of Rent]],NA())</f>
        <v>#N/A</v>
      </c>
      <c r="P108" s="214" t="e">
        <f>IF((AnnualExpenses[[#This Row],[Year (Range)]]&gt;=$C$8)*(AnnualExpenses[[#This Row],[Year (Range)]]&lt;=$C$10),Table65[[#This Row],[Rent, Instead of Buy]],NA())</f>
        <v>#N/A</v>
      </c>
      <c r="Q108" s="214" t="e">
        <f>IF((AnnualExpenses[[#This Row],[Year (Range)]]&gt;=$C$8)*(AnnualExpenses[[#This Row],[Year (Range)]]&lt;=$C$10),AnnualExpenses[[#This Row],[Total Annual Direct Housing Expenses]],NA())</f>
        <v>#N/A</v>
      </c>
      <c r="R108" s="214" t="e">
        <f>IF((AnnualExpenses[[#This Row],[Year (Range)]]&gt;=$C$8)*(AnnualExpenses[[#This Row],[Year (Range)]]&lt;=$C$10),AnnualExpenses[[#This Row],[Total Annual Indirect Housing Expenses]],NA())</f>
        <v>#N/A</v>
      </c>
      <c r="S108" s="214" t="e">
        <f>IF((AnnualExpenses[[#This Row],[Year (Range)]]&gt;=$C$8)*(AnnualExpenses[[#This Row],[Year (Range)]]&lt;=$C$10),AnnualExpenses[[#This Row],[Total Annual Rental Expenses]],NA())</f>
        <v>#N/A</v>
      </c>
      <c r="T108" s="214" t="e">
        <f>IF((AnnualExpenses[[#This Row],[Year (Range)]]&gt;=$C$8)*(AnnualExpenses[[#This Row],[Year (Range)]]&lt;=$C$10),AnnualExpenses[[#This Row],[Total Annual Housing Expenses]],NA())</f>
        <v>#N/A</v>
      </c>
      <c r="U108" s="214" t="e">
        <f>IF((AnnualExpenses[[#This Row],[Year (Range)]]&gt;=$C$8)*(AnnualExpenses[[#This Row],[Year (Range)]]&lt;=$C$10),AnnualExpenses[[#This Row],[Buying Average Monthly Cost]],NA())</f>
        <v>#N/A</v>
      </c>
      <c r="V108" s="214" t="e">
        <f>IF((AnnualExpenses[[#This Row],[Year (Range)]]&gt;=$C$8)*(AnnualExpenses[[#This Row],[Year (Range)]]&lt;=$C$10),AnnualExpenses[[#This Row],[Renting Average Monthly Cost]],NA())</f>
        <v>#N/A</v>
      </c>
      <c r="W108" s="4">
        <f>'Annual Amort. Sch.'!AL107</f>
        <v>0</v>
      </c>
      <c r="X108" s="4">
        <f>'Annual Amort. Sch.'!AM107</f>
        <v>215937.05335488086</v>
      </c>
      <c r="Y108" s="4">
        <f>(AnnualExpenses[[#This Row],[Total Annual Direct Housing Expenses]]+AnnualExpenses[[#This Row],[Total Annual Indirect Housing Expenses]])</f>
        <v>215937.05335488086</v>
      </c>
      <c r="Z108" s="4">
        <f>AnnualExpenses[[#This Row],[Total Annual Housing Expenses]]/12</f>
        <v>17994.754446240073</v>
      </c>
      <c r="AA108" s="164">
        <f t="shared" si="6"/>
        <v>1228296.0003010603</v>
      </c>
      <c r="AB108" s="164">
        <f>AnnualExpenses[[#This Row],[Total Annual Rental Expenses]]/12</f>
        <v>102358.00002508836</v>
      </c>
      <c r="AC108" s="166"/>
      <c r="AD108" s="243">
        <v>91</v>
      </c>
      <c r="AE108" s="212">
        <f t="shared" si="7"/>
        <v>2112</v>
      </c>
      <c r="AF108" s="183">
        <f>IF(AnnualExpenses[[#This Row],[Total Annual Housing Expenses]]-AnnualExpenses[[#This Row],[Total Annual Rental Expenses]]&lt;0,AnnualExpenses[[#This Row],[Total Annual Rental Expenses]]-AnnualExpenses[[#This Row],[Total Annual Housing Expenses]],0)</f>
        <v>1012358.9469461794</v>
      </c>
      <c r="AG108" s="183">
        <f>IF(AnnualExpenses[[#This Row],[Total Annual Housing Expenses]]-AnnualExpenses[[#This Row],[Total Annual Rental Expenses]]&gt;0,AnnualExpenses[[#This Row],[Total Annual Housing Expenses]]-AnnualExpenses[[#This Row],[Total Annual Rental Expenses]],0)</f>
        <v>0</v>
      </c>
    </row>
    <row r="109" spans="11:33" x14ac:dyDescent="0.25">
      <c r="K109" s="161">
        <v>92</v>
      </c>
      <c r="L109" s="161">
        <f t="shared" si="5"/>
        <v>2113</v>
      </c>
      <c r="M109" s="215">
        <f>IF(AnnualExpenses[[#This Row],[Calendar Year]]&gt;=$C$8,AnnualExpenses[[#This Row],[Calendar Year]],NA())</f>
        <v>2113</v>
      </c>
      <c r="N109" s="215" t="e">
        <f>IF((AnnualExpenses[[#This Row],[Calendar Year]]&gt;=$C$8)*(AnnualExpenses[[#This Row],[Calendar Year]]&lt;=$C$10),AnnualExpenses[[#This Row],[Calendar Year]],NA())</f>
        <v>#N/A</v>
      </c>
      <c r="O109" s="214" t="e">
        <f>IF((AnnualExpenses[[#This Row],[Year (Range)]]&gt;=$C$8)*(AnnualExpenses[[#This Row],[Year (Range)]]&lt;=$C$10),Table65[[#This Row],[Buy, Instead of Rent]],NA())</f>
        <v>#N/A</v>
      </c>
      <c r="P109" s="214" t="e">
        <f>IF((AnnualExpenses[[#This Row],[Year (Range)]]&gt;=$C$8)*(AnnualExpenses[[#This Row],[Year (Range)]]&lt;=$C$10),Table65[[#This Row],[Rent, Instead of Buy]],NA())</f>
        <v>#N/A</v>
      </c>
      <c r="Q109" s="214" t="e">
        <f>IF((AnnualExpenses[[#This Row],[Year (Range)]]&gt;=$C$8)*(AnnualExpenses[[#This Row],[Year (Range)]]&lt;=$C$10),AnnualExpenses[[#This Row],[Total Annual Direct Housing Expenses]],NA())</f>
        <v>#N/A</v>
      </c>
      <c r="R109" s="214" t="e">
        <f>IF((AnnualExpenses[[#This Row],[Year (Range)]]&gt;=$C$8)*(AnnualExpenses[[#This Row],[Year (Range)]]&lt;=$C$10),AnnualExpenses[[#This Row],[Total Annual Indirect Housing Expenses]],NA())</f>
        <v>#N/A</v>
      </c>
      <c r="S109" s="214" t="e">
        <f>IF((AnnualExpenses[[#This Row],[Year (Range)]]&gt;=$C$8)*(AnnualExpenses[[#This Row],[Year (Range)]]&lt;=$C$10),AnnualExpenses[[#This Row],[Total Annual Rental Expenses]],NA())</f>
        <v>#N/A</v>
      </c>
      <c r="T109" s="214" t="e">
        <f>IF((AnnualExpenses[[#This Row],[Year (Range)]]&gt;=$C$8)*(AnnualExpenses[[#This Row],[Year (Range)]]&lt;=$C$10),AnnualExpenses[[#This Row],[Total Annual Housing Expenses]],NA())</f>
        <v>#N/A</v>
      </c>
      <c r="U109" s="214" t="e">
        <f>IF((AnnualExpenses[[#This Row],[Year (Range)]]&gt;=$C$8)*(AnnualExpenses[[#This Row],[Year (Range)]]&lt;=$C$10),AnnualExpenses[[#This Row],[Buying Average Monthly Cost]],NA())</f>
        <v>#N/A</v>
      </c>
      <c r="V109" s="214" t="e">
        <f>IF((AnnualExpenses[[#This Row],[Year (Range)]]&gt;=$C$8)*(AnnualExpenses[[#This Row],[Year (Range)]]&lt;=$C$10),AnnualExpenses[[#This Row],[Renting Average Monthly Cost]],NA())</f>
        <v>#N/A</v>
      </c>
      <c r="W109" s="4">
        <f>'Annual Amort. Sch.'!AL108</f>
        <v>0</v>
      </c>
      <c r="X109" s="4">
        <f>'Annual Amort. Sch.'!AM108</f>
        <v>222415.16495552729</v>
      </c>
      <c r="Y109" s="4">
        <f>(AnnualExpenses[[#This Row],[Total Annual Direct Housing Expenses]]+AnnualExpenses[[#This Row],[Total Annual Indirect Housing Expenses]])</f>
        <v>222415.16495552729</v>
      </c>
      <c r="Z109" s="4">
        <f>AnnualExpenses[[#This Row],[Total Annual Housing Expenses]]/12</f>
        <v>18534.597079627274</v>
      </c>
      <c r="AA109" s="164">
        <f t="shared" si="6"/>
        <v>1277427.8403131028</v>
      </c>
      <c r="AB109" s="164">
        <f>AnnualExpenses[[#This Row],[Total Annual Rental Expenses]]/12</f>
        <v>106452.3200260919</v>
      </c>
      <c r="AC109" s="166"/>
      <c r="AD109" s="243">
        <v>92</v>
      </c>
      <c r="AE109" s="212">
        <f t="shared" si="7"/>
        <v>2113</v>
      </c>
      <c r="AF109" s="183">
        <f>IF(AnnualExpenses[[#This Row],[Total Annual Housing Expenses]]-AnnualExpenses[[#This Row],[Total Annual Rental Expenses]]&lt;0,AnnualExpenses[[#This Row],[Total Annual Rental Expenses]]-AnnualExpenses[[#This Row],[Total Annual Housing Expenses]],0)</f>
        <v>1055012.6753575755</v>
      </c>
      <c r="AG109" s="183">
        <f>IF(AnnualExpenses[[#This Row],[Total Annual Housing Expenses]]-AnnualExpenses[[#This Row],[Total Annual Rental Expenses]]&gt;0,AnnualExpenses[[#This Row],[Total Annual Housing Expenses]]-AnnualExpenses[[#This Row],[Total Annual Rental Expenses]],0)</f>
        <v>0</v>
      </c>
    </row>
    <row r="110" spans="11:33" x14ac:dyDescent="0.25">
      <c r="K110" s="161">
        <v>93</v>
      </c>
      <c r="L110" s="161">
        <f t="shared" si="5"/>
        <v>2114</v>
      </c>
      <c r="M110" s="215">
        <f>IF(AnnualExpenses[[#This Row],[Calendar Year]]&gt;=$C$8,AnnualExpenses[[#This Row],[Calendar Year]],NA())</f>
        <v>2114</v>
      </c>
      <c r="N110" s="215" t="e">
        <f>IF((AnnualExpenses[[#This Row],[Calendar Year]]&gt;=$C$8)*(AnnualExpenses[[#This Row],[Calendar Year]]&lt;=$C$10),AnnualExpenses[[#This Row],[Calendar Year]],NA())</f>
        <v>#N/A</v>
      </c>
      <c r="O110" s="214" t="e">
        <f>IF((AnnualExpenses[[#This Row],[Year (Range)]]&gt;=$C$8)*(AnnualExpenses[[#This Row],[Year (Range)]]&lt;=$C$10),Table65[[#This Row],[Buy, Instead of Rent]],NA())</f>
        <v>#N/A</v>
      </c>
      <c r="P110" s="214" t="e">
        <f>IF((AnnualExpenses[[#This Row],[Year (Range)]]&gt;=$C$8)*(AnnualExpenses[[#This Row],[Year (Range)]]&lt;=$C$10),Table65[[#This Row],[Rent, Instead of Buy]],NA())</f>
        <v>#N/A</v>
      </c>
      <c r="Q110" s="214" t="e">
        <f>IF((AnnualExpenses[[#This Row],[Year (Range)]]&gt;=$C$8)*(AnnualExpenses[[#This Row],[Year (Range)]]&lt;=$C$10),AnnualExpenses[[#This Row],[Total Annual Direct Housing Expenses]],NA())</f>
        <v>#N/A</v>
      </c>
      <c r="R110" s="214" t="e">
        <f>IF((AnnualExpenses[[#This Row],[Year (Range)]]&gt;=$C$8)*(AnnualExpenses[[#This Row],[Year (Range)]]&lt;=$C$10),AnnualExpenses[[#This Row],[Total Annual Indirect Housing Expenses]],NA())</f>
        <v>#N/A</v>
      </c>
      <c r="S110" s="214" t="e">
        <f>IF((AnnualExpenses[[#This Row],[Year (Range)]]&gt;=$C$8)*(AnnualExpenses[[#This Row],[Year (Range)]]&lt;=$C$10),AnnualExpenses[[#This Row],[Total Annual Rental Expenses]],NA())</f>
        <v>#N/A</v>
      </c>
      <c r="T110" s="214" t="e">
        <f>IF((AnnualExpenses[[#This Row],[Year (Range)]]&gt;=$C$8)*(AnnualExpenses[[#This Row],[Year (Range)]]&lt;=$C$10),AnnualExpenses[[#This Row],[Total Annual Housing Expenses]],NA())</f>
        <v>#N/A</v>
      </c>
      <c r="U110" s="214" t="e">
        <f>IF((AnnualExpenses[[#This Row],[Year (Range)]]&gt;=$C$8)*(AnnualExpenses[[#This Row],[Year (Range)]]&lt;=$C$10),AnnualExpenses[[#This Row],[Buying Average Monthly Cost]],NA())</f>
        <v>#N/A</v>
      </c>
      <c r="V110" s="214" t="e">
        <f>IF((AnnualExpenses[[#This Row],[Year (Range)]]&gt;=$C$8)*(AnnualExpenses[[#This Row],[Year (Range)]]&lt;=$C$10),AnnualExpenses[[#This Row],[Renting Average Monthly Cost]],NA())</f>
        <v>#N/A</v>
      </c>
      <c r="W110" s="4">
        <f>'Annual Amort. Sch.'!AL109</f>
        <v>0</v>
      </c>
      <c r="X110" s="4">
        <f>'Annual Amort. Sch.'!AM109</f>
        <v>229087.61990419315</v>
      </c>
      <c r="Y110" s="4">
        <f>(AnnualExpenses[[#This Row],[Total Annual Direct Housing Expenses]]+AnnualExpenses[[#This Row],[Total Annual Indirect Housing Expenses]])</f>
        <v>229087.61990419315</v>
      </c>
      <c r="Z110" s="4">
        <f>AnnualExpenses[[#This Row],[Total Annual Housing Expenses]]/12</f>
        <v>19090.634992016097</v>
      </c>
      <c r="AA110" s="164">
        <f t="shared" si="6"/>
        <v>1328524.9539256271</v>
      </c>
      <c r="AB110" s="164">
        <f>AnnualExpenses[[#This Row],[Total Annual Rental Expenses]]/12</f>
        <v>110710.41282713559</v>
      </c>
      <c r="AC110" s="166"/>
      <c r="AD110" s="243">
        <v>93</v>
      </c>
      <c r="AE110" s="212">
        <f t="shared" si="7"/>
        <v>2114</v>
      </c>
      <c r="AF110" s="183">
        <f>IF(AnnualExpenses[[#This Row],[Total Annual Housing Expenses]]-AnnualExpenses[[#This Row],[Total Annual Rental Expenses]]&lt;0,AnnualExpenses[[#This Row],[Total Annual Rental Expenses]]-AnnualExpenses[[#This Row],[Total Annual Housing Expenses]],0)</f>
        <v>1099437.334021434</v>
      </c>
      <c r="AG110" s="183">
        <f>IF(AnnualExpenses[[#This Row],[Total Annual Housing Expenses]]-AnnualExpenses[[#This Row],[Total Annual Rental Expenses]]&gt;0,AnnualExpenses[[#This Row],[Total Annual Housing Expenses]]-AnnualExpenses[[#This Row],[Total Annual Rental Expenses]],0)</f>
        <v>0</v>
      </c>
    </row>
    <row r="111" spans="11:33" x14ac:dyDescent="0.25">
      <c r="K111" s="161">
        <v>94</v>
      </c>
      <c r="L111" s="161">
        <f t="shared" si="5"/>
        <v>2115</v>
      </c>
      <c r="M111" s="215">
        <f>IF(AnnualExpenses[[#This Row],[Calendar Year]]&gt;=$C$8,AnnualExpenses[[#This Row],[Calendar Year]],NA())</f>
        <v>2115</v>
      </c>
      <c r="N111" s="215" t="e">
        <f>IF((AnnualExpenses[[#This Row],[Calendar Year]]&gt;=$C$8)*(AnnualExpenses[[#This Row],[Calendar Year]]&lt;=$C$10),AnnualExpenses[[#This Row],[Calendar Year]],NA())</f>
        <v>#N/A</v>
      </c>
      <c r="O111" s="214" t="e">
        <f>IF((AnnualExpenses[[#This Row],[Year (Range)]]&gt;=$C$8)*(AnnualExpenses[[#This Row],[Year (Range)]]&lt;=$C$10),Table65[[#This Row],[Buy, Instead of Rent]],NA())</f>
        <v>#N/A</v>
      </c>
      <c r="P111" s="214" t="e">
        <f>IF((AnnualExpenses[[#This Row],[Year (Range)]]&gt;=$C$8)*(AnnualExpenses[[#This Row],[Year (Range)]]&lt;=$C$10),Table65[[#This Row],[Rent, Instead of Buy]],NA())</f>
        <v>#N/A</v>
      </c>
      <c r="Q111" s="214" t="e">
        <f>IF((AnnualExpenses[[#This Row],[Year (Range)]]&gt;=$C$8)*(AnnualExpenses[[#This Row],[Year (Range)]]&lt;=$C$10),AnnualExpenses[[#This Row],[Total Annual Direct Housing Expenses]],NA())</f>
        <v>#N/A</v>
      </c>
      <c r="R111" s="214" t="e">
        <f>IF((AnnualExpenses[[#This Row],[Year (Range)]]&gt;=$C$8)*(AnnualExpenses[[#This Row],[Year (Range)]]&lt;=$C$10),AnnualExpenses[[#This Row],[Total Annual Indirect Housing Expenses]],NA())</f>
        <v>#N/A</v>
      </c>
      <c r="S111" s="214" t="e">
        <f>IF((AnnualExpenses[[#This Row],[Year (Range)]]&gt;=$C$8)*(AnnualExpenses[[#This Row],[Year (Range)]]&lt;=$C$10),AnnualExpenses[[#This Row],[Total Annual Rental Expenses]],NA())</f>
        <v>#N/A</v>
      </c>
      <c r="T111" s="214" t="e">
        <f>IF((AnnualExpenses[[#This Row],[Year (Range)]]&gt;=$C$8)*(AnnualExpenses[[#This Row],[Year (Range)]]&lt;=$C$10),AnnualExpenses[[#This Row],[Total Annual Housing Expenses]],NA())</f>
        <v>#N/A</v>
      </c>
      <c r="U111" s="214" t="e">
        <f>IF((AnnualExpenses[[#This Row],[Year (Range)]]&gt;=$C$8)*(AnnualExpenses[[#This Row],[Year (Range)]]&lt;=$C$10),AnnualExpenses[[#This Row],[Buying Average Monthly Cost]],NA())</f>
        <v>#N/A</v>
      </c>
      <c r="V111" s="214" t="e">
        <f>IF((AnnualExpenses[[#This Row],[Year (Range)]]&gt;=$C$8)*(AnnualExpenses[[#This Row],[Year (Range)]]&lt;=$C$10),AnnualExpenses[[#This Row],[Renting Average Monthly Cost]],NA())</f>
        <v>#N/A</v>
      </c>
      <c r="W111" s="4">
        <f>'Annual Amort. Sch.'!AL110</f>
        <v>0</v>
      </c>
      <c r="X111" s="4">
        <f>'Annual Amort. Sch.'!AM110</f>
        <v>235960.24850131891</v>
      </c>
      <c r="Y111" s="4">
        <f>(AnnualExpenses[[#This Row],[Total Annual Direct Housing Expenses]]+AnnualExpenses[[#This Row],[Total Annual Indirect Housing Expenses]])</f>
        <v>235960.24850131891</v>
      </c>
      <c r="Z111" s="4">
        <f>AnnualExpenses[[#This Row],[Total Annual Housing Expenses]]/12</f>
        <v>19663.354041776576</v>
      </c>
      <c r="AA111" s="164">
        <f t="shared" si="6"/>
        <v>1381665.9520826521</v>
      </c>
      <c r="AB111" s="164">
        <f>AnnualExpenses[[#This Row],[Total Annual Rental Expenses]]/12</f>
        <v>115138.82934022101</v>
      </c>
      <c r="AC111" s="166"/>
      <c r="AD111" s="243">
        <v>94</v>
      </c>
      <c r="AE111" s="212">
        <f t="shared" si="7"/>
        <v>2115</v>
      </c>
      <c r="AF111" s="183">
        <f>IF(AnnualExpenses[[#This Row],[Total Annual Housing Expenses]]-AnnualExpenses[[#This Row],[Total Annual Rental Expenses]]&lt;0,AnnualExpenses[[#This Row],[Total Annual Rental Expenses]]-AnnualExpenses[[#This Row],[Total Annual Housing Expenses]],0)</f>
        <v>1145705.7035813332</v>
      </c>
      <c r="AG111" s="183">
        <f>IF(AnnualExpenses[[#This Row],[Total Annual Housing Expenses]]-AnnualExpenses[[#This Row],[Total Annual Rental Expenses]]&gt;0,AnnualExpenses[[#This Row],[Total Annual Housing Expenses]]-AnnualExpenses[[#This Row],[Total Annual Rental Expenses]],0)</f>
        <v>0</v>
      </c>
    </row>
    <row r="112" spans="11:33" x14ac:dyDescent="0.25">
      <c r="K112" s="161">
        <v>95</v>
      </c>
      <c r="L112" s="161">
        <f t="shared" si="5"/>
        <v>2116</v>
      </c>
      <c r="M112" s="215">
        <f>IF(AnnualExpenses[[#This Row],[Calendar Year]]&gt;=$C$8,AnnualExpenses[[#This Row],[Calendar Year]],NA())</f>
        <v>2116</v>
      </c>
      <c r="N112" s="215" t="e">
        <f>IF((AnnualExpenses[[#This Row],[Calendar Year]]&gt;=$C$8)*(AnnualExpenses[[#This Row],[Calendar Year]]&lt;=$C$10),AnnualExpenses[[#This Row],[Calendar Year]],NA())</f>
        <v>#N/A</v>
      </c>
      <c r="O112" s="214" t="e">
        <f>IF((AnnualExpenses[[#This Row],[Year (Range)]]&gt;=$C$8)*(AnnualExpenses[[#This Row],[Year (Range)]]&lt;=$C$10),Table65[[#This Row],[Buy, Instead of Rent]],NA())</f>
        <v>#N/A</v>
      </c>
      <c r="P112" s="214" t="e">
        <f>IF((AnnualExpenses[[#This Row],[Year (Range)]]&gt;=$C$8)*(AnnualExpenses[[#This Row],[Year (Range)]]&lt;=$C$10),Table65[[#This Row],[Rent, Instead of Buy]],NA())</f>
        <v>#N/A</v>
      </c>
      <c r="Q112" s="214" t="e">
        <f>IF((AnnualExpenses[[#This Row],[Year (Range)]]&gt;=$C$8)*(AnnualExpenses[[#This Row],[Year (Range)]]&lt;=$C$10),AnnualExpenses[[#This Row],[Total Annual Direct Housing Expenses]],NA())</f>
        <v>#N/A</v>
      </c>
      <c r="R112" s="214" t="e">
        <f>IF((AnnualExpenses[[#This Row],[Year (Range)]]&gt;=$C$8)*(AnnualExpenses[[#This Row],[Year (Range)]]&lt;=$C$10),AnnualExpenses[[#This Row],[Total Annual Indirect Housing Expenses]],NA())</f>
        <v>#N/A</v>
      </c>
      <c r="S112" s="214" t="e">
        <f>IF((AnnualExpenses[[#This Row],[Year (Range)]]&gt;=$C$8)*(AnnualExpenses[[#This Row],[Year (Range)]]&lt;=$C$10),AnnualExpenses[[#This Row],[Total Annual Rental Expenses]],NA())</f>
        <v>#N/A</v>
      </c>
      <c r="T112" s="214" t="e">
        <f>IF((AnnualExpenses[[#This Row],[Year (Range)]]&gt;=$C$8)*(AnnualExpenses[[#This Row],[Year (Range)]]&lt;=$C$10),AnnualExpenses[[#This Row],[Total Annual Housing Expenses]],NA())</f>
        <v>#N/A</v>
      </c>
      <c r="U112" s="214" t="e">
        <f>IF((AnnualExpenses[[#This Row],[Year (Range)]]&gt;=$C$8)*(AnnualExpenses[[#This Row],[Year (Range)]]&lt;=$C$10),AnnualExpenses[[#This Row],[Buying Average Monthly Cost]],NA())</f>
        <v>#N/A</v>
      </c>
      <c r="V112" s="214" t="e">
        <f>IF((AnnualExpenses[[#This Row],[Year (Range)]]&gt;=$C$8)*(AnnualExpenses[[#This Row],[Year (Range)]]&lt;=$C$10),AnnualExpenses[[#This Row],[Renting Average Monthly Cost]],NA())</f>
        <v>#N/A</v>
      </c>
      <c r="W112" s="4">
        <f>'Annual Amort. Sch.'!AL111</f>
        <v>0</v>
      </c>
      <c r="X112" s="4">
        <f>'Annual Amort. Sch.'!AM111</f>
        <v>243039.0559563585</v>
      </c>
      <c r="Y112" s="4">
        <f>(AnnualExpenses[[#This Row],[Total Annual Direct Housing Expenses]]+AnnualExpenses[[#This Row],[Total Annual Indirect Housing Expenses]])</f>
        <v>243039.0559563585</v>
      </c>
      <c r="Z112" s="4">
        <f>AnnualExpenses[[#This Row],[Total Annual Housing Expenses]]/12</f>
        <v>20253.254663029875</v>
      </c>
      <c r="AA112" s="164">
        <f t="shared" si="6"/>
        <v>1436932.5901659583</v>
      </c>
      <c r="AB112" s="164">
        <f>AnnualExpenses[[#This Row],[Total Annual Rental Expenses]]/12</f>
        <v>119744.38251382986</v>
      </c>
      <c r="AC112" s="166"/>
      <c r="AD112" s="243">
        <v>95</v>
      </c>
      <c r="AE112" s="212">
        <f t="shared" si="7"/>
        <v>2116</v>
      </c>
      <c r="AF112" s="183">
        <f>IF(AnnualExpenses[[#This Row],[Total Annual Housing Expenses]]-AnnualExpenses[[#This Row],[Total Annual Rental Expenses]]&lt;0,AnnualExpenses[[#This Row],[Total Annual Rental Expenses]]-AnnualExpenses[[#This Row],[Total Annual Housing Expenses]],0)</f>
        <v>1193893.5342095997</v>
      </c>
      <c r="AG112" s="183">
        <f>IF(AnnualExpenses[[#This Row],[Total Annual Housing Expenses]]-AnnualExpenses[[#This Row],[Total Annual Rental Expenses]]&gt;0,AnnualExpenses[[#This Row],[Total Annual Housing Expenses]]-AnnualExpenses[[#This Row],[Total Annual Rental Expenses]],0)</f>
        <v>0</v>
      </c>
    </row>
    <row r="113" spans="11:33" x14ac:dyDescent="0.25">
      <c r="K113" s="161">
        <v>96</v>
      </c>
      <c r="L113" s="161">
        <f t="shared" si="5"/>
        <v>2117</v>
      </c>
      <c r="M113" s="215">
        <f>IF(AnnualExpenses[[#This Row],[Calendar Year]]&gt;=$C$8,AnnualExpenses[[#This Row],[Calendar Year]],NA())</f>
        <v>2117</v>
      </c>
      <c r="N113" s="215" t="e">
        <f>IF((AnnualExpenses[[#This Row],[Calendar Year]]&gt;=$C$8)*(AnnualExpenses[[#This Row],[Calendar Year]]&lt;=$C$10),AnnualExpenses[[#This Row],[Calendar Year]],NA())</f>
        <v>#N/A</v>
      </c>
      <c r="O113" s="214" t="e">
        <f>IF((AnnualExpenses[[#This Row],[Year (Range)]]&gt;=$C$8)*(AnnualExpenses[[#This Row],[Year (Range)]]&lt;=$C$10),Table65[[#This Row],[Buy, Instead of Rent]],NA())</f>
        <v>#N/A</v>
      </c>
      <c r="P113" s="214" t="e">
        <f>IF((AnnualExpenses[[#This Row],[Year (Range)]]&gt;=$C$8)*(AnnualExpenses[[#This Row],[Year (Range)]]&lt;=$C$10),Table65[[#This Row],[Rent, Instead of Buy]],NA())</f>
        <v>#N/A</v>
      </c>
      <c r="Q113" s="214" t="e">
        <f>IF((AnnualExpenses[[#This Row],[Year (Range)]]&gt;=$C$8)*(AnnualExpenses[[#This Row],[Year (Range)]]&lt;=$C$10),AnnualExpenses[[#This Row],[Total Annual Direct Housing Expenses]],NA())</f>
        <v>#N/A</v>
      </c>
      <c r="R113" s="214" t="e">
        <f>IF((AnnualExpenses[[#This Row],[Year (Range)]]&gt;=$C$8)*(AnnualExpenses[[#This Row],[Year (Range)]]&lt;=$C$10),AnnualExpenses[[#This Row],[Total Annual Indirect Housing Expenses]],NA())</f>
        <v>#N/A</v>
      </c>
      <c r="S113" s="214" t="e">
        <f>IF((AnnualExpenses[[#This Row],[Year (Range)]]&gt;=$C$8)*(AnnualExpenses[[#This Row],[Year (Range)]]&lt;=$C$10),AnnualExpenses[[#This Row],[Total Annual Rental Expenses]],NA())</f>
        <v>#N/A</v>
      </c>
      <c r="T113" s="214" t="e">
        <f>IF((AnnualExpenses[[#This Row],[Year (Range)]]&gt;=$C$8)*(AnnualExpenses[[#This Row],[Year (Range)]]&lt;=$C$10),AnnualExpenses[[#This Row],[Total Annual Housing Expenses]],NA())</f>
        <v>#N/A</v>
      </c>
      <c r="U113" s="214" t="e">
        <f>IF((AnnualExpenses[[#This Row],[Year (Range)]]&gt;=$C$8)*(AnnualExpenses[[#This Row],[Year (Range)]]&lt;=$C$10),AnnualExpenses[[#This Row],[Buying Average Monthly Cost]],NA())</f>
        <v>#N/A</v>
      </c>
      <c r="V113" s="214" t="e">
        <f>IF((AnnualExpenses[[#This Row],[Year (Range)]]&gt;=$C$8)*(AnnualExpenses[[#This Row],[Year (Range)]]&lt;=$C$10),AnnualExpenses[[#This Row],[Renting Average Monthly Cost]],NA())</f>
        <v>#N/A</v>
      </c>
      <c r="W113" s="4">
        <f>'Annual Amort. Sch.'!AL112</f>
        <v>0</v>
      </c>
      <c r="X113" s="4">
        <f>'Annual Amort. Sch.'!AM112</f>
        <v>250330.22763504923</v>
      </c>
      <c r="Y113" s="4">
        <f>(AnnualExpenses[[#This Row],[Total Annual Direct Housing Expenses]]+AnnualExpenses[[#This Row],[Total Annual Indirect Housing Expenses]])</f>
        <v>250330.22763504923</v>
      </c>
      <c r="Z113" s="4">
        <f>AnnualExpenses[[#This Row],[Total Annual Housing Expenses]]/12</f>
        <v>20860.852302920768</v>
      </c>
      <c r="AA113" s="164">
        <f t="shared" si="6"/>
        <v>1494409.8937725967</v>
      </c>
      <c r="AB113" s="164">
        <f>AnnualExpenses[[#This Row],[Total Annual Rental Expenses]]/12</f>
        <v>124534.15781438306</v>
      </c>
      <c r="AC113" s="166"/>
      <c r="AD113" s="243">
        <v>96</v>
      </c>
      <c r="AE113" s="212">
        <f t="shared" si="7"/>
        <v>2117</v>
      </c>
      <c r="AF113" s="183">
        <f>IF(AnnualExpenses[[#This Row],[Total Annual Housing Expenses]]-AnnualExpenses[[#This Row],[Total Annual Rental Expenses]]&lt;0,AnnualExpenses[[#This Row],[Total Annual Rental Expenses]]-AnnualExpenses[[#This Row],[Total Annual Housing Expenses]],0)</f>
        <v>1244079.6661375475</v>
      </c>
      <c r="AG113" s="183">
        <f>IF(AnnualExpenses[[#This Row],[Total Annual Housing Expenses]]-AnnualExpenses[[#This Row],[Total Annual Rental Expenses]]&gt;0,AnnualExpenses[[#This Row],[Total Annual Housing Expenses]]-AnnualExpenses[[#This Row],[Total Annual Rental Expenses]],0)</f>
        <v>0</v>
      </c>
    </row>
    <row r="114" spans="11:33" x14ac:dyDescent="0.25">
      <c r="K114" s="161">
        <v>97</v>
      </c>
      <c r="L114" s="161">
        <f t="shared" si="5"/>
        <v>2118</v>
      </c>
      <c r="M114" s="215">
        <f>IF(AnnualExpenses[[#This Row],[Calendar Year]]&gt;=$C$8,AnnualExpenses[[#This Row],[Calendar Year]],NA())</f>
        <v>2118</v>
      </c>
      <c r="N114" s="215" t="e">
        <f>IF((AnnualExpenses[[#This Row],[Calendar Year]]&gt;=$C$8)*(AnnualExpenses[[#This Row],[Calendar Year]]&lt;=$C$10),AnnualExpenses[[#This Row],[Calendar Year]],NA())</f>
        <v>#N/A</v>
      </c>
      <c r="O114" s="214" t="e">
        <f>IF((AnnualExpenses[[#This Row],[Year (Range)]]&gt;=$C$8)*(AnnualExpenses[[#This Row],[Year (Range)]]&lt;=$C$10),Table65[[#This Row],[Buy, Instead of Rent]],NA())</f>
        <v>#N/A</v>
      </c>
      <c r="P114" s="214" t="e">
        <f>IF((AnnualExpenses[[#This Row],[Year (Range)]]&gt;=$C$8)*(AnnualExpenses[[#This Row],[Year (Range)]]&lt;=$C$10),Table65[[#This Row],[Rent, Instead of Buy]],NA())</f>
        <v>#N/A</v>
      </c>
      <c r="Q114" s="214" t="e">
        <f>IF((AnnualExpenses[[#This Row],[Year (Range)]]&gt;=$C$8)*(AnnualExpenses[[#This Row],[Year (Range)]]&lt;=$C$10),AnnualExpenses[[#This Row],[Total Annual Direct Housing Expenses]],NA())</f>
        <v>#N/A</v>
      </c>
      <c r="R114" s="214" t="e">
        <f>IF((AnnualExpenses[[#This Row],[Year (Range)]]&gt;=$C$8)*(AnnualExpenses[[#This Row],[Year (Range)]]&lt;=$C$10),AnnualExpenses[[#This Row],[Total Annual Indirect Housing Expenses]],NA())</f>
        <v>#N/A</v>
      </c>
      <c r="S114" s="214" t="e">
        <f>IF((AnnualExpenses[[#This Row],[Year (Range)]]&gt;=$C$8)*(AnnualExpenses[[#This Row],[Year (Range)]]&lt;=$C$10),AnnualExpenses[[#This Row],[Total Annual Rental Expenses]],NA())</f>
        <v>#N/A</v>
      </c>
      <c r="T114" s="214" t="e">
        <f>IF((AnnualExpenses[[#This Row],[Year (Range)]]&gt;=$C$8)*(AnnualExpenses[[#This Row],[Year (Range)]]&lt;=$C$10),AnnualExpenses[[#This Row],[Total Annual Housing Expenses]],NA())</f>
        <v>#N/A</v>
      </c>
      <c r="U114" s="214" t="e">
        <f>IF((AnnualExpenses[[#This Row],[Year (Range)]]&gt;=$C$8)*(AnnualExpenses[[#This Row],[Year (Range)]]&lt;=$C$10),AnnualExpenses[[#This Row],[Buying Average Monthly Cost]],NA())</f>
        <v>#N/A</v>
      </c>
      <c r="V114" s="214" t="e">
        <f>IF((AnnualExpenses[[#This Row],[Year (Range)]]&gt;=$C$8)*(AnnualExpenses[[#This Row],[Year (Range)]]&lt;=$C$10),AnnualExpenses[[#This Row],[Renting Average Monthly Cost]],NA())</f>
        <v>#N/A</v>
      </c>
      <c r="W114" s="4">
        <f>'Annual Amort. Sch.'!AL113</f>
        <v>0</v>
      </c>
      <c r="X114" s="4">
        <f>'Annual Amort. Sch.'!AM113</f>
        <v>257840.13446410076</v>
      </c>
      <c r="Y114" s="4">
        <f>(AnnualExpenses[[#This Row],[Total Annual Direct Housing Expenses]]+AnnualExpenses[[#This Row],[Total Annual Indirect Housing Expenses]])</f>
        <v>257840.13446410076</v>
      </c>
      <c r="Z114" s="4">
        <f>AnnualExpenses[[#This Row],[Total Annual Housing Expenses]]/12</f>
        <v>21486.677872008397</v>
      </c>
      <c r="AA114" s="164">
        <f t="shared" si="6"/>
        <v>1554186.2895235007</v>
      </c>
      <c r="AB114" s="164">
        <f>AnnualExpenses[[#This Row],[Total Annual Rental Expenses]]/12</f>
        <v>129515.52412695839</v>
      </c>
      <c r="AC114" s="166"/>
      <c r="AD114" s="243">
        <v>97</v>
      </c>
      <c r="AE114" s="212">
        <f t="shared" si="7"/>
        <v>2118</v>
      </c>
      <c r="AF114" s="183">
        <f>IF(AnnualExpenses[[#This Row],[Total Annual Housing Expenses]]-AnnualExpenses[[#This Row],[Total Annual Rental Expenses]]&lt;0,AnnualExpenses[[#This Row],[Total Annual Rental Expenses]]-AnnualExpenses[[#This Row],[Total Annual Housing Expenses]],0)</f>
        <v>1296346.1550594</v>
      </c>
      <c r="AG114" s="183">
        <f>IF(AnnualExpenses[[#This Row],[Total Annual Housing Expenses]]-AnnualExpenses[[#This Row],[Total Annual Rental Expenses]]&gt;0,AnnualExpenses[[#This Row],[Total Annual Housing Expenses]]-AnnualExpenses[[#This Row],[Total Annual Rental Expenses]],0)</f>
        <v>0</v>
      </c>
    </row>
    <row r="115" spans="11:33" x14ac:dyDescent="0.25">
      <c r="K115" s="161">
        <v>98</v>
      </c>
      <c r="L115" s="161">
        <f t="shared" si="5"/>
        <v>2119</v>
      </c>
      <c r="M115" s="215">
        <f>IF(AnnualExpenses[[#This Row],[Calendar Year]]&gt;=$C$8,AnnualExpenses[[#This Row],[Calendar Year]],NA())</f>
        <v>2119</v>
      </c>
      <c r="N115" s="215" t="e">
        <f>IF((AnnualExpenses[[#This Row],[Calendar Year]]&gt;=$C$8)*(AnnualExpenses[[#This Row],[Calendar Year]]&lt;=$C$10),AnnualExpenses[[#This Row],[Calendar Year]],NA())</f>
        <v>#N/A</v>
      </c>
      <c r="O115" s="214" t="e">
        <f>IF((AnnualExpenses[[#This Row],[Year (Range)]]&gt;=$C$8)*(AnnualExpenses[[#This Row],[Year (Range)]]&lt;=$C$10),Table65[[#This Row],[Buy, Instead of Rent]],NA())</f>
        <v>#N/A</v>
      </c>
      <c r="P115" s="214" t="e">
        <f>IF((AnnualExpenses[[#This Row],[Year (Range)]]&gt;=$C$8)*(AnnualExpenses[[#This Row],[Year (Range)]]&lt;=$C$10),Table65[[#This Row],[Rent, Instead of Buy]],NA())</f>
        <v>#N/A</v>
      </c>
      <c r="Q115" s="214" t="e">
        <f>IF((AnnualExpenses[[#This Row],[Year (Range)]]&gt;=$C$8)*(AnnualExpenses[[#This Row],[Year (Range)]]&lt;=$C$10),AnnualExpenses[[#This Row],[Total Annual Direct Housing Expenses]],NA())</f>
        <v>#N/A</v>
      </c>
      <c r="R115" s="214" t="e">
        <f>IF((AnnualExpenses[[#This Row],[Year (Range)]]&gt;=$C$8)*(AnnualExpenses[[#This Row],[Year (Range)]]&lt;=$C$10),AnnualExpenses[[#This Row],[Total Annual Indirect Housing Expenses]],NA())</f>
        <v>#N/A</v>
      </c>
      <c r="S115" s="214" t="e">
        <f>IF((AnnualExpenses[[#This Row],[Year (Range)]]&gt;=$C$8)*(AnnualExpenses[[#This Row],[Year (Range)]]&lt;=$C$10),AnnualExpenses[[#This Row],[Total Annual Rental Expenses]],NA())</f>
        <v>#N/A</v>
      </c>
      <c r="T115" s="214" t="e">
        <f>IF((AnnualExpenses[[#This Row],[Year (Range)]]&gt;=$C$8)*(AnnualExpenses[[#This Row],[Year (Range)]]&lt;=$C$10),AnnualExpenses[[#This Row],[Total Annual Housing Expenses]],NA())</f>
        <v>#N/A</v>
      </c>
      <c r="U115" s="214" t="e">
        <f>IF((AnnualExpenses[[#This Row],[Year (Range)]]&gt;=$C$8)*(AnnualExpenses[[#This Row],[Year (Range)]]&lt;=$C$10),AnnualExpenses[[#This Row],[Buying Average Monthly Cost]],NA())</f>
        <v>#N/A</v>
      </c>
      <c r="V115" s="214" t="e">
        <f>IF((AnnualExpenses[[#This Row],[Year (Range)]]&gt;=$C$8)*(AnnualExpenses[[#This Row],[Year (Range)]]&lt;=$C$10),AnnualExpenses[[#This Row],[Renting Average Monthly Cost]],NA())</f>
        <v>#N/A</v>
      </c>
      <c r="W115" s="4">
        <f>'Annual Amort. Sch.'!AL114</f>
        <v>0</v>
      </c>
      <c r="X115" s="4">
        <f>'Annual Amort. Sch.'!AM114</f>
        <v>265575.3384980238</v>
      </c>
      <c r="Y115" s="4">
        <f>(AnnualExpenses[[#This Row],[Total Annual Direct Housing Expenses]]+AnnualExpenses[[#This Row],[Total Annual Indirect Housing Expenses]])</f>
        <v>265575.3384980238</v>
      </c>
      <c r="Z115" s="4">
        <f>AnnualExpenses[[#This Row],[Total Annual Housing Expenses]]/12</f>
        <v>22131.278208168649</v>
      </c>
      <c r="AA115" s="164">
        <f t="shared" si="6"/>
        <v>1616353.7411044408</v>
      </c>
      <c r="AB115" s="164">
        <f>AnnualExpenses[[#This Row],[Total Annual Rental Expenses]]/12</f>
        <v>134696.14509203672</v>
      </c>
      <c r="AC115" s="166"/>
      <c r="AD115" s="243">
        <v>98</v>
      </c>
      <c r="AE115" s="212">
        <f t="shared" si="7"/>
        <v>2119</v>
      </c>
      <c r="AF115" s="183">
        <f>IF(AnnualExpenses[[#This Row],[Total Annual Housing Expenses]]-AnnualExpenses[[#This Row],[Total Annual Rental Expenses]]&lt;0,AnnualExpenses[[#This Row],[Total Annual Rental Expenses]]-AnnualExpenses[[#This Row],[Total Annual Housing Expenses]],0)</f>
        <v>1350778.402606417</v>
      </c>
      <c r="AG115" s="183">
        <f>IF(AnnualExpenses[[#This Row],[Total Annual Housing Expenses]]-AnnualExpenses[[#This Row],[Total Annual Rental Expenses]]&gt;0,AnnualExpenses[[#This Row],[Total Annual Housing Expenses]]-AnnualExpenses[[#This Row],[Total Annual Rental Expenses]],0)</f>
        <v>0</v>
      </c>
    </row>
    <row r="116" spans="11:33" x14ac:dyDescent="0.25">
      <c r="K116" s="161">
        <v>99</v>
      </c>
      <c r="L116" s="161">
        <f t="shared" si="5"/>
        <v>2120</v>
      </c>
      <c r="M116" s="215">
        <f>IF(AnnualExpenses[[#This Row],[Calendar Year]]&gt;=$C$8,AnnualExpenses[[#This Row],[Calendar Year]],NA())</f>
        <v>2120</v>
      </c>
      <c r="N116" s="215" t="e">
        <f>IF((AnnualExpenses[[#This Row],[Calendar Year]]&gt;=$C$8)*(AnnualExpenses[[#This Row],[Calendar Year]]&lt;=$C$10),AnnualExpenses[[#This Row],[Calendar Year]],NA())</f>
        <v>#N/A</v>
      </c>
      <c r="O116" s="214" t="e">
        <f>IF((AnnualExpenses[[#This Row],[Year (Range)]]&gt;=$C$8)*(AnnualExpenses[[#This Row],[Year (Range)]]&lt;=$C$10),Table65[[#This Row],[Buy, Instead of Rent]],NA())</f>
        <v>#N/A</v>
      </c>
      <c r="P116" s="214" t="e">
        <f>IF((AnnualExpenses[[#This Row],[Year (Range)]]&gt;=$C$8)*(AnnualExpenses[[#This Row],[Year (Range)]]&lt;=$C$10),Table65[[#This Row],[Rent, Instead of Buy]],NA())</f>
        <v>#N/A</v>
      </c>
      <c r="Q116" s="214" t="e">
        <f>IF((AnnualExpenses[[#This Row],[Year (Range)]]&gt;=$C$8)*(AnnualExpenses[[#This Row],[Year (Range)]]&lt;=$C$10),AnnualExpenses[[#This Row],[Total Annual Direct Housing Expenses]],NA())</f>
        <v>#N/A</v>
      </c>
      <c r="R116" s="214" t="e">
        <f>IF((AnnualExpenses[[#This Row],[Year (Range)]]&gt;=$C$8)*(AnnualExpenses[[#This Row],[Year (Range)]]&lt;=$C$10),AnnualExpenses[[#This Row],[Total Annual Indirect Housing Expenses]],NA())</f>
        <v>#N/A</v>
      </c>
      <c r="S116" s="214" t="e">
        <f>IF((AnnualExpenses[[#This Row],[Year (Range)]]&gt;=$C$8)*(AnnualExpenses[[#This Row],[Year (Range)]]&lt;=$C$10),AnnualExpenses[[#This Row],[Total Annual Rental Expenses]],NA())</f>
        <v>#N/A</v>
      </c>
      <c r="T116" s="214" t="e">
        <f>IF((AnnualExpenses[[#This Row],[Year (Range)]]&gt;=$C$8)*(AnnualExpenses[[#This Row],[Year (Range)]]&lt;=$C$10),AnnualExpenses[[#This Row],[Total Annual Housing Expenses]],NA())</f>
        <v>#N/A</v>
      </c>
      <c r="U116" s="214" t="e">
        <f>IF((AnnualExpenses[[#This Row],[Year (Range)]]&gt;=$C$8)*(AnnualExpenses[[#This Row],[Year (Range)]]&lt;=$C$10),AnnualExpenses[[#This Row],[Buying Average Monthly Cost]],NA())</f>
        <v>#N/A</v>
      </c>
      <c r="V116" s="214" t="e">
        <f>IF((AnnualExpenses[[#This Row],[Year (Range)]]&gt;=$C$8)*(AnnualExpenses[[#This Row],[Year (Range)]]&lt;=$C$10),AnnualExpenses[[#This Row],[Renting Average Monthly Cost]],NA())</f>
        <v>#N/A</v>
      </c>
      <c r="W116" s="4">
        <f>'Annual Amort. Sch.'!AL115</f>
        <v>0</v>
      </c>
      <c r="X116" s="4">
        <f>'Annual Amort. Sch.'!AM115</f>
        <v>273542.59865296446</v>
      </c>
      <c r="Y116" s="4">
        <f>(AnnualExpenses[[#This Row],[Total Annual Direct Housing Expenses]]+AnnualExpenses[[#This Row],[Total Annual Indirect Housing Expenses]])</f>
        <v>273542.59865296446</v>
      </c>
      <c r="Z116" s="4">
        <f>AnnualExpenses[[#This Row],[Total Annual Housing Expenses]]/12</f>
        <v>22795.216554413706</v>
      </c>
      <c r="AA116" s="164">
        <f t="shared" si="6"/>
        <v>1681007.8907486184</v>
      </c>
      <c r="AB116" s="164">
        <f>AnnualExpenses[[#This Row],[Total Annual Rental Expenses]]/12</f>
        <v>140083.99089571819</v>
      </c>
      <c r="AC116" s="166"/>
      <c r="AD116" s="243">
        <v>99</v>
      </c>
      <c r="AE116" s="212">
        <f t="shared" si="7"/>
        <v>2120</v>
      </c>
      <c r="AF116" s="183">
        <f>IF(AnnualExpenses[[#This Row],[Total Annual Housing Expenses]]-AnnualExpenses[[#This Row],[Total Annual Rental Expenses]]&lt;0,AnnualExpenses[[#This Row],[Total Annual Rental Expenses]]-AnnualExpenses[[#This Row],[Total Annual Housing Expenses]],0)</f>
        <v>1407465.2920956539</v>
      </c>
      <c r="AG116" s="183">
        <f>IF(AnnualExpenses[[#This Row],[Total Annual Housing Expenses]]-AnnualExpenses[[#This Row],[Total Annual Rental Expenses]]&gt;0,AnnualExpenses[[#This Row],[Total Annual Housing Expenses]]-AnnualExpenses[[#This Row],[Total Annual Rental Expenses]],0)</f>
        <v>0</v>
      </c>
    </row>
    <row r="117" spans="11:33" x14ac:dyDescent="0.25">
      <c r="K117" s="161">
        <v>100</v>
      </c>
      <c r="L117" s="161">
        <f t="shared" si="5"/>
        <v>2121</v>
      </c>
      <c r="M117" s="215">
        <f>IF(AnnualExpenses[[#This Row],[Calendar Year]]&gt;=$C$8,AnnualExpenses[[#This Row],[Calendar Year]],NA())</f>
        <v>2121</v>
      </c>
      <c r="N117" s="215" t="e">
        <f>IF((AnnualExpenses[[#This Row],[Calendar Year]]&gt;=$C$8)*(AnnualExpenses[[#This Row],[Calendar Year]]&lt;=$C$10),AnnualExpenses[[#This Row],[Calendar Year]],NA())</f>
        <v>#N/A</v>
      </c>
      <c r="O117" s="214" t="e">
        <f>IF((AnnualExpenses[[#This Row],[Year (Range)]]&gt;=$C$8)*(AnnualExpenses[[#This Row],[Year (Range)]]&lt;=$C$10),Table65[[#This Row],[Buy, Instead of Rent]],NA())</f>
        <v>#N/A</v>
      </c>
      <c r="P117" s="214" t="e">
        <f>IF((AnnualExpenses[[#This Row],[Year (Range)]]&gt;=$C$8)*(AnnualExpenses[[#This Row],[Year (Range)]]&lt;=$C$10),Table65[[#This Row],[Rent, Instead of Buy]],NA())</f>
        <v>#N/A</v>
      </c>
      <c r="Q117" s="214" t="e">
        <f>IF((AnnualExpenses[[#This Row],[Year (Range)]]&gt;=$C$8)*(AnnualExpenses[[#This Row],[Year (Range)]]&lt;=$C$10),AnnualExpenses[[#This Row],[Total Annual Direct Housing Expenses]],NA())</f>
        <v>#N/A</v>
      </c>
      <c r="R117" s="214" t="e">
        <f>IF((AnnualExpenses[[#This Row],[Year (Range)]]&gt;=$C$8)*(AnnualExpenses[[#This Row],[Year (Range)]]&lt;=$C$10),AnnualExpenses[[#This Row],[Total Annual Indirect Housing Expenses]],NA())</f>
        <v>#N/A</v>
      </c>
      <c r="S117" s="214" t="e">
        <f>IF((AnnualExpenses[[#This Row],[Year (Range)]]&gt;=$C$8)*(AnnualExpenses[[#This Row],[Year (Range)]]&lt;=$C$10),AnnualExpenses[[#This Row],[Total Annual Rental Expenses]],NA())</f>
        <v>#N/A</v>
      </c>
      <c r="T117" s="214" t="e">
        <f>IF((AnnualExpenses[[#This Row],[Year (Range)]]&gt;=$C$8)*(AnnualExpenses[[#This Row],[Year (Range)]]&lt;=$C$10),AnnualExpenses[[#This Row],[Total Annual Housing Expenses]],NA())</f>
        <v>#N/A</v>
      </c>
      <c r="U117" s="214" t="e">
        <f>IF((AnnualExpenses[[#This Row],[Year (Range)]]&gt;=$C$8)*(AnnualExpenses[[#This Row],[Year (Range)]]&lt;=$C$10),AnnualExpenses[[#This Row],[Buying Average Monthly Cost]],NA())</f>
        <v>#N/A</v>
      </c>
      <c r="V117" s="214" t="e">
        <f>IF((AnnualExpenses[[#This Row],[Year (Range)]]&gt;=$C$8)*(AnnualExpenses[[#This Row],[Year (Range)]]&lt;=$C$10),AnnualExpenses[[#This Row],[Renting Average Monthly Cost]],NA())</f>
        <v>#N/A</v>
      </c>
      <c r="W117" s="4">
        <f>'Annual Amort. Sch.'!AL116</f>
        <v>0</v>
      </c>
      <c r="X117" s="4">
        <f>'Annual Amort. Sch.'!AM116</f>
        <v>281748.87661255343</v>
      </c>
      <c r="Y117" s="4">
        <f>(AnnualExpenses[[#This Row],[Total Annual Direct Housing Expenses]]+AnnualExpenses[[#This Row],[Total Annual Indirect Housing Expenses]])</f>
        <v>281748.87661255343</v>
      </c>
      <c r="Z117" s="4">
        <f>AnnualExpenses[[#This Row],[Total Annual Housing Expenses]]/12</f>
        <v>23479.073051046118</v>
      </c>
      <c r="AA117" s="164">
        <f t="shared" si="6"/>
        <v>1748248.2063785633</v>
      </c>
      <c r="AB117" s="164">
        <f>AnnualExpenses[[#This Row],[Total Annual Rental Expenses]]/12</f>
        <v>145687.35053154695</v>
      </c>
      <c r="AC117" s="166"/>
      <c r="AD117" s="243">
        <v>100</v>
      </c>
      <c r="AE117" s="212">
        <f t="shared" si="7"/>
        <v>2121</v>
      </c>
      <c r="AF117" s="183">
        <f>IF(AnnualExpenses[[#This Row],[Total Annual Housing Expenses]]-AnnualExpenses[[#This Row],[Total Annual Rental Expenses]]&lt;0,AnnualExpenses[[#This Row],[Total Annual Rental Expenses]]-AnnualExpenses[[#This Row],[Total Annual Housing Expenses]],0)</f>
        <v>1466499.3297660099</v>
      </c>
      <c r="AG117" s="183">
        <f>IF(AnnualExpenses[[#This Row],[Total Annual Housing Expenses]]-AnnualExpenses[[#This Row],[Total Annual Rental Expenses]]&gt;0,AnnualExpenses[[#This Row],[Total Annual Housing Expenses]]-AnnualExpenses[[#This Row],[Total Annual Rental Expenses]],0)</f>
        <v>0</v>
      </c>
    </row>
  </sheetData>
  <sheetProtection algorithmName="SHA-512" hashValue="8UToiCDCu4tPc/IhinB4QpvEKVDezyJbhJTiB8+WrR0KWghm7vu0YM7jJR0JYSTDebHKnIKr+AQUraCYjGrFYw==" saltValue="JkVPlqlxOAw5S1aO4KU1Ug==" spinCount="100000" sheet="1" objects="1" scenarios="1"/>
  <mergeCells count="8">
    <mergeCell ref="AA16:AB16"/>
    <mergeCell ref="W16:Z16"/>
    <mergeCell ref="AF16:AG16"/>
    <mergeCell ref="B7:C7"/>
    <mergeCell ref="B8:B9"/>
    <mergeCell ref="C8:C9"/>
    <mergeCell ref="B10:B11"/>
    <mergeCell ref="C10:C11"/>
  </mergeCells>
  <phoneticPr fontId="14" type="noConversion"/>
  <pageMargins left="0.25" right="0.25" top="0.75" bottom="0.75" header="0.3" footer="0.3"/>
  <pageSetup scale="39"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8609" r:id="rId4" name="Spinner 1">
              <controlPr defaultSize="0" autoPict="0">
                <anchor moveWithCells="1" sizeWithCells="1">
                  <from>
                    <xdr:col>3</xdr:col>
                    <xdr:colOff>15240</xdr:colOff>
                    <xdr:row>6</xdr:row>
                    <xdr:rowOff>167640</xdr:rowOff>
                  </from>
                  <to>
                    <xdr:col>3</xdr:col>
                    <xdr:colOff>281940</xdr:colOff>
                    <xdr:row>8</xdr:row>
                    <xdr:rowOff>167640</xdr:rowOff>
                  </to>
                </anchor>
              </controlPr>
            </control>
          </mc:Choice>
        </mc:AlternateContent>
        <mc:AlternateContent xmlns:mc="http://schemas.openxmlformats.org/markup-compatibility/2006">
          <mc:Choice Requires="x14">
            <control shapeId="68610" r:id="rId5" name="Spinner 2">
              <controlPr defaultSize="0" autoPict="0">
                <anchor moveWithCells="1" sizeWithCells="1">
                  <from>
                    <xdr:col>3</xdr:col>
                    <xdr:colOff>22860</xdr:colOff>
                    <xdr:row>9</xdr:row>
                    <xdr:rowOff>7620</xdr:rowOff>
                  </from>
                  <to>
                    <xdr:col>3</xdr:col>
                    <xdr:colOff>281940</xdr:colOff>
                    <xdr:row>11</xdr:row>
                    <xdr:rowOff>0</xdr:rowOff>
                  </to>
                </anchor>
              </controlPr>
            </control>
          </mc:Choice>
        </mc:AlternateContent>
      </controls>
    </mc:Choice>
  </mc:AlternateContent>
  <tableParts count="2">
    <tablePart r:id="rId6"/>
    <tablePart r:id="rId7"/>
  </tablePart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C3DDD-FACC-479F-A373-DC6C1F03E739}">
  <sheetPr>
    <tabColor theme="4" tint="0.79998168889431442"/>
    <pageSetUpPr fitToPage="1"/>
  </sheetPr>
  <dimension ref="B4:AN121"/>
  <sheetViews>
    <sheetView zoomScaleNormal="100" workbookViewId="0"/>
  </sheetViews>
  <sheetFormatPr defaultRowHeight="13.2" x14ac:dyDescent="0.25"/>
  <cols>
    <col min="1" max="10" width="8.88671875" style="11"/>
    <col min="11" max="11" width="20.109375" style="11" customWidth="1"/>
    <col min="12" max="12" width="15.5546875" style="11" bestFit="1" customWidth="1"/>
    <col min="13" max="14" width="15.5546875" style="11" hidden="1" customWidth="1"/>
    <col min="15" max="18" width="30.77734375" style="11" hidden="1" customWidth="1"/>
    <col min="19" max="19" width="15" style="11" customWidth="1"/>
    <col min="20" max="20" width="14.109375" style="11" customWidth="1"/>
    <col min="21" max="21" width="8.88671875" style="11"/>
    <col min="22" max="22" width="16.44140625" style="11" bestFit="1" customWidth="1"/>
    <col min="23" max="23" width="15.109375" style="11" bestFit="1" customWidth="1"/>
    <col min="24" max="24" width="18.88671875" style="11" bestFit="1" customWidth="1"/>
    <col min="25" max="25" width="13.33203125" style="11" bestFit="1" customWidth="1"/>
    <col min="26" max="26" width="22.33203125" style="11" bestFit="1" customWidth="1"/>
    <col min="27" max="27" width="16.77734375" style="11" bestFit="1" customWidth="1"/>
    <col min="28" max="28" width="19.5546875" style="11" bestFit="1" customWidth="1"/>
    <col min="29" max="29" width="14.33203125" style="11" bestFit="1" customWidth="1"/>
    <col min="30" max="30" width="25.21875" style="11" customWidth="1"/>
    <col min="31" max="31" width="9.44140625" style="11" bestFit="1" customWidth="1"/>
    <col min="32" max="32" width="16.44140625" style="11" bestFit="1" customWidth="1"/>
    <col min="33" max="33" width="15.109375" style="11" bestFit="1" customWidth="1"/>
    <col min="34" max="34" width="18.88671875" style="11" customWidth="1"/>
    <col min="35" max="35" width="16.21875" style="11" bestFit="1" customWidth="1"/>
    <col min="36" max="36" width="22.33203125" style="11" bestFit="1" customWidth="1"/>
    <col min="37" max="37" width="17.44140625" style="11" bestFit="1" customWidth="1"/>
    <col min="38" max="38" width="21.33203125" style="11" bestFit="1" customWidth="1"/>
    <col min="39" max="39" width="14.33203125" style="11" bestFit="1" customWidth="1"/>
    <col min="40" max="40" width="26.88671875" style="11" bestFit="1" customWidth="1"/>
    <col min="41" max="16384" width="8.88671875" style="11"/>
  </cols>
  <sheetData>
    <row r="4" spans="2:38" x14ac:dyDescent="0.25">
      <c r="K4" s="333" t="s">
        <v>568</v>
      </c>
      <c r="L4" s="333"/>
      <c r="M4" s="204"/>
      <c r="N4" s="204"/>
      <c r="O4" s="204"/>
      <c r="P4" s="204"/>
      <c r="Q4" s="204"/>
      <c r="R4" s="204"/>
    </row>
    <row r="5" spans="2:38" ht="26.4" x14ac:dyDescent="0.25">
      <c r="K5" s="220" t="s">
        <v>566</v>
      </c>
      <c r="L5" s="221">
        <f>annual_stock_market_return</f>
        <v>0.08</v>
      </c>
      <c r="M5" s="170"/>
      <c r="N5" s="170"/>
      <c r="O5" s="170"/>
      <c r="P5" s="170"/>
      <c r="Q5" s="170"/>
      <c r="R5" s="170"/>
    </row>
    <row r="7" spans="2:38" x14ac:dyDescent="0.25">
      <c r="B7" s="317" t="s">
        <v>500</v>
      </c>
      <c r="C7" s="317"/>
      <c r="K7" s="331"/>
      <c r="L7" s="331"/>
      <c r="M7" s="204"/>
      <c r="N7" s="204"/>
      <c r="O7" s="204"/>
      <c r="P7" s="204"/>
      <c r="Q7" s="204"/>
      <c r="R7" s="204"/>
    </row>
    <row r="8" spans="2:38" x14ac:dyDescent="0.25">
      <c r="B8" s="318" t="s">
        <v>466</v>
      </c>
      <c r="C8" s="320">
        <v>2022</v>
      </c>
      <c r="D8" s="260"/>
      <c r="K8" s="117" t="s">
        <v>533</v>
      </c>
      <c r="L8" s="211">
        <f>simulation_stock_market_mean_return</f>
        <v>0.08</v>
      </c>
      <c r="M8" s="210"/>
      <c r="N8" s="210"/>
      <c r="O8" s="210"/>
      <c r="P8" s="210"/>
      <c r="Q8" s="210"/>
      <c r="R8" s="210"/>
    </row>
    <row r="9" spans="2:38" ht="26.4" x14ac:dyDescent="0.25">
      <c r="B9" s="319"/>
      <c r="C9" s="321"/>
      <c r="D9" s="260"/>
      <c r="K9" s="117" t="s">
        <v>534</v>
      </c>
      <c r="L9" s="211">
        <f>simulation_stock_market_standarddev_return</f>
        <v>0.15</v>
      </c>
      <c r="M9" s="210"/>
      <c r="N9" s="210"/>
      <c r="O9" s="210"/>
      <c r="P9" s="210"/>
      <c r="Q9" s="210"/>
      <c r="R9" s="210"/>
      <c r="AK9" s="58"/>
      <c r="AL9" s="58"/>
    </row>
    <row r="10" spans="2:38" x14ac:dyDescent="0.25">
      <c r="B10" s="318" t="s">
        <v>467</v>
      </c>
      <c r="C10" s="322">
        <v>2049</v>
      </c>
      <c r="D10" s="260"/>
      <c r="AK10" s="58"/>
      <c r="AL10" s="58"/>
    </row>
    <row r="11" spans="2:38" x14ac:dyDescent="0.25">
      <c r="B11" s="319"/>
      <c r="C11" s="323"/>
      <c r="D11" s="260"/>
    </row>
    <row r="12" spans="2:38" x14ac:dyDescent="0.25">
      <c r="K12" s="40" t="s">
        <v>528</v>
      </c>
      <c r="L12"/>
    </row>
    <row r="13" spans="2:38" x14ac:dyDescent="0.25">
      <c r="K13" s="31" t="s">
        <v>526</v>
      </c>
      <c r="L13" s="98">
        <f ca="1">AVERAGE($S$22:$S$31)</f>
        <v>6.2083867957770954E-2</v>
      </c>
      <c r="M13" s="206"/>
      <c r="N13" s="206"/>
      <c r="O13" s="206"/>
      <c r="P13" s="206"/>
      <c r="Q13" s="206"/>
      <c r="R13" s="206"/>
      <c r="V13" s="58"/>
      <c r="W13" s="205"/>
      <c r="X13" s="206"/>
      <c r="AF13" s="58"/>
      <c r="AG13" s="58"/>
      <c r="AH13" s="205"/>
      <c r="AI13" s="206"/>
      <c r="AJ13" s="206"/>
      <c r="AK13" s="177"/>
      <c r="AL13" s="177"/>
    </row>
    <row r="14" spans="2:38" x14ac:dyDescent="0.25">
      <c r="K14" s="31" t="s">
        <v>527</v>
      </c>
      <c r="L14" s="98">
        <f ca="1">AVERAGE($S$22:$S$41)</f>
        <v>7.1660555828317804E-2</v>
      </c>
      <c r="M14" s="206"/>
      <c r="N14" s="206"/>
      <c r="O14" s="206"/>
      <c r="P14" s="206"/>
      <c r="Q14" s="206"/>
      <c r="R14" s="206"/>
      <c r="V14" s="58"/>
      <c r="W14" s="58"/>
      <c r="X14" s="207"/>
      <c r="AF14" s="58"/>
      <c r="AG14" s="58"/>
      <c r="AH14" s="58"/>
      <c r="AI14" s="207"/>
      <c r="AJ14" s="207"/>
    </row>
    <row r="15" spans="2:38" x14ac:dyDescent="0.25">
      <c r="K15" s="31" t="s">
        <v>529</v>
      </c>
      <c r="L15" s="98">
        <f ca="1">AVERAGE($S$22:$S$51)</f>
        <v>7.4610623783142288E-2</v>
      </c>
      <c r="M15" s="206"/>
      <c r="N15" s="206"/>
      <c r="O15" s="206"/>
      <c r="P15" s="206"/>
      <c r="Q15" s="206"/>
      <c r="R15" s="206"/>
      <c r="X15" s="58"/>
      <c r="AI15" s="58"/>
      <c r="AJ15" s="58"/>
    </row>
    <row r="16" spans="2:38" x14ac:dyDescent="0.25">
      <c r="K16" s="31" t="s">
        <v>530</v>
      </c>
      <c r="L16" s="98">
        <f ca="1">AVERAGE($S$22:$S$61)</f>
        <v>9.8693944279595575E-2</v>
      </c>
      <c r="M16" s="206"/>
      <c r="N16" s="206"/>
      <c r="O16" s="206"/>
      <c r="P16" s="206"/>
      <c r="Q16" s="206"/>
      <c r="R16" s="206"/>
    </row>
    <row r="17" spans="11:40" x14ac:dyDescent="0.25">
      <c r="K17" s="31" t="s">
        <v>531</v>
      </c>
      <c r="L17" s="98">
        <f ca="1">AVERAGE($S$22:$S$71)</f>
        <v>9.1119379312426946E-2</v>
      </c>
      <c r="M17" s="206"/>
      <c r="N17" s="206"/>
      <c r="O17" s="206"/>
      <c r="P17" s="206"/>
      <c r="Q17" s="206"/>
      <c r="R17" s="206"/>
      <c r="V17" s="58"/>
    </row>
    <row r="18" spans="11:40" x14ac:dyDescent="0.25">
      <c r="K18" s="31" t="s">
        <v>532</v>
      </c>
      <c r="L18" s="98">
        <f ca="1">AVERAGE($S$22:$S$81)</f>
        <v>8.8643448975262024E-2</v>
      </c>
      <c r="M18" s="206"/>
      <c r="N18" s="206"/>
      <c r="O18" s="206"/>
      <c r="P18" s="206"/>
      <c r="Q18" s="206"/>
      <c r="R18" s="206"/>
      <c r="V18" s="58"/>
    </row>
    <row r="19" spans="11:40" ht="15" x14ac:dyDescent="0.25">
      <c r="W19" s="338" t="s">
        <v>457</v>
      </c>
      <c r="X19" s="338"/>
      <c r="Y19" s="338"/>
      <c r="Z19" s="338"/>
      <c r="AA19" s="338"/>
      <c r="AB19" s="338"/>
      <c r="AC19" s="338"/>
      <c r="AD19" s="338"/>
      <c r="AG19" s="339" t="s">
        <v>458</v>
      </c>
      <c r="AH19" s="339"/>
      <c r="AI19" s="339"/>
      <c r="AJ19" s="339"/>
      <c r="AK19" s="339"/>
      <c r="AL19" s="339"/>
      <c r="AM19" s="339"/>
      <c r="AN19" s="339"/>
    </row>
    <row r="20" spans="11:40" ht="13.8" x14ac:dyDescent="0.25">
      <c r="K20" s="332" t="s">
        <v>535</v>
      </c>
      <c r="L20" s="332"/>
      <c r="M20" s="332"/>
      <c r="N20" s="332"/>
      <c r="O20" s="332"/>
      <c r="P20" s="332"/>
      <c r="Q20" s="332"/>
      <c r="R20" s="332"/>
      <c r="S20" s="332"/>
      <c r="T20" s="202"/>
      <c r="W20" s="336" t="s">
        <v>610</v>
      </c>
      <c r="X20" s="336"/>
      <c r="Y20" s="336"/>
      <c r="Z20" s="336"/>
      <c r="AA20" s="335" t="s">
        <v>611</v>
      </c>
      <c r="AB20" s="335"/>
      <c r="AC20" s="335"/>
      <c r="AD20" s="337"/>
      <c r="AG20" s="334" t="s">
        <v>610</v>
      </c>
      <c r="AH20" s="334"/>
      <c r="AI20" s="334"/>
      <c r="AJ20" s="334"/>
      <c r="AK20" s="335" t="s">
        <v>611</v>
      </c>
      <c r="AL20" s="335"/>
      <c r="AM20" s="335"/>
      <c r="AN20" s="335"/>
    </row>
    <row r="21" spans="11:40" ht="37.799999999999997" customHeight="1" x14ac:dyDescent="0.25">
      <c r="K21" s="40" t="s">
        <v>3</v>
      </c>
      <c r="L21" s="40" t="s">
        <v>117</v>
      </c>
      <c r="M21" s="197" t="s">
        <v>468</v>
      </c>
      <c r="N21" s="197" t="s">
        <v>472</v>
      </c>
      <c r="O21" s="197" t="s">
        <v>581</v>
      </c>
      <c r="P21" s="197" t="s">
        <v>580</v>
      </c>
      <c r="Q21" s="197" t="s">
        <v>582</v>
      </c>
      <c r="R21" s="197" t="s">
        <v>583</v>
      </c>
      <c r="S21" s="117" t="s">
        <v>119</v>
      </c>
      <c r="T21" s="117" t="s">
        <v>569</v>
      </c>
      <c r="V21" s="117" t="s">
        <v>118</v>
      </c>
      <c r="W21" s="117" t="s">
        <v>577</v>
      </c>
      <c r="X21" s="117" t="s">
        <v>575</v>
      </c>
      <c r="Y21" s="117" t="s">
        <v>120</v>
      </c>
      <c r="Z21" s="117" t="s">
        <v>573</v>
      </c>
      <c r="AA21" s="117" t="s">
        <v>578</v>
      </c>
      <c r="AB21" s="117" t="s">
        <v>579</v>
      </c>
      <c r="AC21" s="117" t="s">
        <v>574</v>
      </c>
      <c r="AD21" s="117" t="s">
        <v>570</v>
      </c>
      <c r="AF21" s="117" t="s">
        <v>118</v>
      </c>
      <c r="AG21" s="117" t="s">
        <v>577</v>
      </c>
      <c r="AH21" s="117" t="s">
        <v>575</v>
      </c>
      <c r="AI21" s="117" t="s">
        <v>120</v>
      </c>
      <c r="AJ21" s="117" t="s">
        <v>572</v>
      </c>
      <c r="AK21" s="117" t="s">
        <v>578</v>
      </c>
      <c r="AL21" s="117" t="s">
        <v>576</v>
      </c>
      <c r="AM21" s="117" t="s">
        <v>574</v>
      </c>
      <c r="AN21" s="117" t="s">
        <v>571</v>
      </c>
    </row>
    <row r="22" spans="11:40" x14ac:dyDescent="0.25">
      <c r="K22">
        <v>0</v>
      </c>
      <c r="L22">
        <f>purchase_year</f>
        <v>2022</v>
      </c>
      <c r="M22" s="198">
        <f>IF(Table53[[#This Row],[Calendar Year]]&gt;=$C$8,Table53[[#This Row],[Calendar Year]],NA())</f>
        <v>2022</v>
      </c>
      <c r="N22" s="198">
        <f>IF((Table53[[#This Row],[Calendar Year]]&gt;=$C$8)*(Table53[[#This Row],[Calendar Year]]&lt;=$C$10),Table53[[#This Row],[Calendar Year]],NA())</f>
        <v>2022</v>
      </c>
      <c r="O22" s="214">
        <f ca="1">IF((Table53[[#This Row],[Year (Range)]]&gt;=$C$8)*(Table53[[#This Row],[Year (Range)]]&lt;=$C$10),BrokerageStocks4546[[#This Row],[Buy: Simulated EOY Investment Balance ($)]],NA())</f>
        <v>0</v>
      </c>
      <c r="P22" s="214">
        <f ca="1">IF((Table53[[#This Row],[Year (Range)]]&gt;=$C$8)*(Table53[[#This Row],[Year (Range)]]&lt;=$C$10),BrokerageStocks45[[#This Row],[Rent: Simulated EOY Investment Balance ($)]],NA())</f>
        <v>90252.426817340442</v>
      </c>
      <c r="Q22" s="214">
        <f>IF((Table53[[#This Row],[Year (Range)]]&gt;=$C$8)*(Table53[[#This Row],[Year (Range)]]&lt;=$C$10),BrokerageStocks4546[[#This Row],[Buy: Fixed Average Return EOY Investment Balance ($)]],NA())</f>
        <v>0</v>
      </c>
      <c r="R22" s="214">
        <f>IF((Table53[[#This Row],[Year (Range)]]&gt;=$C$8)*(Table53[[#This Row],[Year (Range)]]&lt;=$C$10),BrokerageStocks45[[#This Row],[Rent: Fixed Average Return EOY Investment Balance ($)]],NA())</f>
        <v>92253.530663383339</v>
      </c>
      <c r="S22" s="223">
        <f t="shared" ref="S22:S53" ca="1" si="0">NORMINV(RAND(),simulation_stock_market_mean_return,simulation_stock_market_standarddev_return)</f>
        <v>3.4881986956610843E-2</v>
      </c>
      <c r="T22" s="222">
        <f>$L$5</f>
        <v>0.08</v>
      </c>
      <c r="V22" s="208">
        <f>IF('Difference in Expenses'!AF18="N/A",0,0)</f>
        <v>0</v>
      </c>
      <c r="W22" s="164"/>
      <c r="X22" s="209">
        <f>BrokerageStocks4546[[#This Row],[Simulation BOY Balance ($)]]+(BrokerageStocks4546[[#This Row],[Contributions ($)]]/2)</f>
        <v>0</v>
      </c>
      <c r="Y22" s="160">
        <f ca="1">BrokerageStocks4546[[#This Row],[Simulation Average Annual Balance ($)]]*Table53[[#This Row],[Simulated Return (%)]]</f>
        <v>0</v>
      </c>
      <c r="Z22" s="160">
        <f ca="1">BrokerageStocks4546[[#This Row],[Simulation BOY Balance ($)]]+BrokerageStocks4546[[#This Row],[Contributions ($)]]+BrokerageStocks4546[[#This Row],[Simulated Return ($)]]</f>
        <v>0</v>
      </c>
      <c r="AA22" s="160"/>
      <c r="AB22" s="160">
        <f>BrokerageStocks4546[[#This Row],[Fixed Return BOY Balance ($)]]+BrokerageStocks4546[[#This Row],[Contributions ($)]]</f>
        <v>0</v>
      </c>
      <c r="AC22" s="160">
        <f>BrokerageStocks4546[[#This Row],[Fixed Return Average Balance ($)]]*annual_stock_market_return</f>
        <v>0</v>
      </c>
      <c r="AD22" s="160">
        <f>BrokerageStocks4546[[#This Row],[Fixed Return BOY Balance ($)]]+BrokerageStocks4546[[#This Row],[Contributions ($)]]+BrokerageStocks4546[[#This Row],[Fixed Average Return ($)]]</f>
        <v>0</v>
      </c>
      <c r="AF22" s="208">
        <f>'Difference in Expenses'!AG18</f>
        <v>88705.317945560906</v>
      </c>
      <c r="AG22" s="164"/>
      <c r="AH22" s="209">
        <f>BrokerageStocks45[[#This Row],[Simulation BOY Balance ($)]]+(BrokerageStocks45[[#This Row],[Contributions ($)]]/2)</f>
        <v>44352.658972780453</v>
      </c>
      <c r="AI22" s="160">
        <f ca="1">BrokerageStocks45[[#This Row],[Simulation Average Annual Balance ($)]]*Table53[[#This Row],[Simulated Return (%)]]</f>
        <v>1547.1088717795367</v>
      </c>
      <c r="AJ22" s="160">
        <f ca="1">BrokerageStocks45[[#This Row],[Simulation BOY Balance ($)]]+BrokerageStocks45[[#This Row],[Contributions ($)]]+BrokerageStocks45[[#This Row],[Simulated Return ($)]]</f>
        <v>90252.426817340442</v>
      </c>
      <c r="AK22" s="164"/>
      <c r="AL22" s="209">
        <f>BrokerageStocks45[[#This Row],[Fixed Return BOY Balance ($)]]+(BrokerageStocks45[[#This Row],[Contributions ($)]]/2)</f>
        <v>44352.658972780453</v>
      </c>
      <c r="AM22" s="160">
        <f>BrokerageStocks45[[#This Row],[Fixed Return Average Annual Balance]]*annual_stock_market_return</f>
        <v>3548.2127178224364</v>
      </c>
      <c r="AN22" s="160">
        <f>BrokerageStocks45[[#This Row],[Fixed Return BOY Balance ($)]]+BrokerageStocks45[[#This Row],[Contributions ($)]]+BrokerageStocks45[[#This Row],[Fixed Average Return ($)]]</f>
        <v>92253.530663383339</v>
      </c>
    </row>
    <row r="23" spans="11:40" x14ac:dyDescent="0.25">
      <c r="K23">
        <v>1</v>
      </c>
      <c r="L23">
        <f t="shared" ref="L23:L54" si="1">purchase_year+K23</f>
        <v>2023</v>
      </c>
      <c r="M23" s="198">
        <f>IF(Table53[[#This Row],[Calendar Year]]&gt;=$C$8,Table53[[#This Row],[Calendar Year]],NA())</f>
        <v>2023</v>
      </c>
      <c r="N23" s="198">
        <f>IF((Table53[[#This Row],[Calendar Year]]&gt;=$C$8)*(Table53[[#This Row],[Calendar Year]]&lt;=$C$10),Table53[[#This Row],[Calendar Year]],NA())</f>
        <v>2023</v>
      </c>
      <c r="O23" s="214">
        <f ca="1">IF((Table53[[#This Row],[Year (Range)]]&gt;=$C$8)*(Table53[[#This Row],[Year (Range)]]&lt;=$C$10),BrokerageStocks4546[[#This Row],[Buy: Simulated EOY Investment Balance ($)]],NA())</f>
        <v>0</v>
      </c>
      <c r="P23" s="214">
        <f ca="1">IF((Table53[[#This Row],[Year (Range)]]&gt;=$C$8)*(Table53[[#This Row],[Year (Range)]]&lt;=$C$10),BrokerageStocks45[[#This Row],[Rent: Simulated EOY Investment Balance ($)]],NA())</f>
        <v>113531.44977059828</v>
      </c>
      <c r="Q23" s="214">
        <f>IF((Table53[[#This Row],[Year (Range)]]&gt;=$C$8)*(Table53[[#This Row],[Year (Range)]]&lt;=$C$10),BrokerageStocks4546[[#This Row],[Buy: Fixed Average Return EOY Investment Balance ($)]],NA())</f>
        <v>0</v>
      </c>
      <c r="R23" s="214">
        <f>IF((Table53[[#This Row],[Year (Range)]]&gt;=$C$8)*(Table53[[#This Row],[Year (Range)]]&lt;=$C$10),BrokerageStocks45[[#This Row],[Rent: Fixed Average Return EOY Investment Balance ($)]],NA())</f>
        <v>120738.86377983735</v>
      </c>
      <c r="S23" s="224">
        <f t="shared" ca="1" si="0"/>
        <v>2.973836847417529E-2</v>
      </c>
      <c r="T23" s="222">
        <f t="shared" ref="T23:T86" si="2">$L$5</f>
        <v>0.08</v>
      </c>
      <c r="V23" s="208">
        <f>'Difference in Expenses'!AF19</f>
        <v>0</v>
      </c>
      <c r="W23" s="164">
        <f t="shared" ref="W23:W54" ca="1" si="3">Z22</f>
        <v>0</v>
      </c>
      <c r="X23" s="209">
        <f ca="1">BrokerageStocks4546[[#This Row],[Simulation BOY Balance ($)]]+(BrokerageStocks4546[[#This Row],[Contributions ($)]]/2)</f>
        <v>0</v>
      </c>
      <c r="Y23" s="160">
        <f ca="1">BrokerageStocks4546[[#This Row],[Simulation Average Annual Balance ($)]]*Table53[[#This Row],[Simulated Return (%)]]</f>
        <v>0</v>
      </c>
      <c r="Z23" s="160">
        <f ca="1">BrokerageStocks4546[[#This Row],[Simulation BOY Balance ($)]]+BrokerageStocks4546[[#This Row],[Contributions ($)]]+BrokerageStocks4546[[#This Row],[Simulated Return ($)]]</f>
        <v>0</v>
      </c>
      <c r="AA23" s="160">
        <f>AD22</f>
        <v>0</v>
      </c>
      <c r="AB23" s="160">
        <f>BrokerageStocks4546[[#This Row],[Fixed Return BOY Balance ($)]]+BrokerageStocks4546[[#This Row],[Contributions ($)]]</f>
        <v>0</v>
      </c>
      <c r="AC23" s="160">
        <f>BrokerageStocks4546[[#This Row],[Fixed Return Average Balance ($)]]*annual_stock_market_return</f>
        <v>0</v>
      </c>
      <c r="AD23" s="160">
        <f>BrokerageStocks4546[[#This Row],[Fixed Return BOY Balance ($)]]+BrokerageStocks4546[[#This Row],[Contributions ($)]]+BrokerageStocks4546[[#This Row],[Fixed Average Return ($)]]</f>
        <v>0</v>
      </c>
      <c r="AF23" s="208">
        <f>'Difference in Expenses'!AG19</f>
        <v>20293.317945560899</v>
      </c>
      <c r="AG23" s="164">
        <f t="shared" ref="AG23:AG54" ca="1" si="4">AJ22</f>
        <v>90252.426817340442</v>
      </c>
      <c r="AH23" s="209">
        <f ca="1">BrokerageStocks45[[#This Row],[Simulation BOY Balance ($)]]+(BrokerageStocks45[[#This Row],[Contributions ($)]]/2)</f>
        <v>100399.08579012089</v>
      </c>
      <c r="AI23" s="160">
        <f ca="1">BrokerageStocks45[[#This Row],[Simulation Average Annual Balance ($)]]*Table53[[#This Row],[Simulated Return (%)]]</f>
        <v>2985.7050076969517</v>
      </c>
      <c r="AJ23" s="160">
        <f ca="1">BrokerageStocks45[[#This Row],[Simulation BOY Balance ($)]]+BrokerageStocks45[[#This Row],[Contributions ($)]]+BrokerageStocks45[[#This Row],[Simulated Return ($)]]</f>
        <v>113531.44977059828</v>
      </c>
      <c r="AK23" s="164">
        <f>AN22</f>
        <v>92253.530663383339</v>
      </c>
      <c r="AL23" s="209">
        <f>BrokerageStocks45[[#This Row],[Fixed Return BOY Balance ($)]]+(BrokerageStocks45[[#This Row],[Contributions ($)]]/2)</f>
        <v>102400.18963616379</v>
      </c>
      <c r="AM23" s="160">
        <f>BrokerageStocks45[[#This Row],[Fixed Return Average Annual Balance]]*annual_stock_market_return</f>
        <v>8192.0151708931044</v>
      </c>
      <c r="AN23" s="160">
        <f>BrokerageStocks45[[#This Row],[Fixed Return BOY Balance ($)]]+BrokerageStocks45[[#This Row],[Contributions ($)]]+BrokerageStocks45[[#This Row],[Fixed Average Return ($)]]</f>
        <v>120738.86377983735</v>
      </c>
    </row>
    <row r="24" spans="11:40" x14ac:dyDescent="0.25">
      <c r="K24">
        <v>2</v>
      </c>
      <c r="L24">
        <f t="shared" si="1"/>
        <v>2024</v>
      </c>
      <c r="M24" s="198">
        <f>IF(Table53[[#This Row],[Calendar Year]]&gt;=$C$8,Table53[[#This Row],[Calendar Year]],NA())</f>
        <v>2024</v>
      </c>
      <c r="N24" s="198">
        <f>IF((Table53[[#This Row],[Calendar Year]]&gt;=$C$8)*(Table53[[#This Row],[Calendar Year]]&lt;=$C$10),Table53[[#This Row],[Calendar Year]],NA())</f>
        <v>2024</v>
      </c>
      <c r="O24" s="214">
        <f ca="1">IF((Table53[[#This Row],[Year (Range)]]&gt;=$C$8)*(Table53[[#This Row],[Year (Range)]]&lt;=$C$10),BrokerageStocks4546[[#This Row],[Buy: Simulated EOY Investment Balance ($)]],NA())</f>
        <v>0</v>
      </c>
      <c r="P24" s="214">
        <f ca="1">IF((Table53[[#This Row],[Year (Range)]]&gt;=$C$8)*(Table53[[#This Row],[Year (Range)]]&lt;=$C$10),BrokerageStocks45[[#This Row],[Rent: Simulated EOY Investment Balance ($)]],NA())</f>
        <v>146052.57501020347</v>
      </c>
      <c r="Q24" s="214">
        <f>IF((Table53[[#This Row],[Year (Range)]]&gt;=$C$8)*(Table53[[#This Row],[Year (Range)]]&lt;=$C$10),BrokerageStocks4546[[#This Row],[Buy: Fixed Average Return EOY Investment Balance ($)]],NA())</f>
        <v>0</v>
      </c>
      <c r="R24" s="214">
        <f>IF((Table53[[#This Row],[Year (Range)]]&gt;=$C$8)*(Table53[[#This Row],[Year (Range)]]&lt;=$C$10),BrokerageStocks45[[#This Row],[Rent: Fixed Average Return EOY Investment Balance ($)]],NA())</f>
        <v>146374.77314560767</v>
      </c>
      <c r="S24" s="224">
        <f t="shared" ca="1" si="0"/>
        <v>0.1415596791433632</v>
      </c>
      <c r="T24" s="222">
        <f t="shared" si="2"/>
        <v>0.08</v>
      </c>
      <c r="V24" s="208">
        <f>'Difference in Expenses'!AF20</f>
        <v>0</v>
      </c>
      <c r="W24" s="164">
        <f t="shared" ca="1" si="3"/>
        <v>0</v>
      </c>
      <c r="X24" s="209">
        <f ca="1">BrokerageStocks4546[[#This Row],[Simulation BOY Balance ($)]]+(BrokerageStocks4546[[#This Row],[Contributions ($)]]/2)</f>
        <v>0</v>
      </c>
      <c r="Y24" s="160">
        <f ca="1">BrokerageStocks4546[[#This Row],[Simulation Average Annual Balance ($)]]*Table53[[#This Row],[Simulated Return (%)]]</f>
        <v>0</v>
      </c>
      <c r="Z24" s="160">
        <f ca="1">BrokerageStocks4546[[#This Row],[Simulation BOY Balance ($)]]+BrokerageStocks4546[[#This Row],[Contributions ($)]]+BrokerageStocks4546[[#This Row],[Simulated Return ($)]]</f>
        <v>0</v>
      </c>
      <c r="AA24" s="160">
        <f t="shared" ref="AA24:AA87" si="5">AD23</f>
        <v>0</v>
      </c>
      <c r="AB24" s="160">
        <f>BrokerageStocks4546[[#This Row],[Fixed Return BOY Balance ($)]]+BrokerageStocks4546[[#This Row],[Contributions ($)]]</f>
        <v>0</v>
      </c>
      <c r="AC24" s="160">
        <f>BrokerageStocks4546[[#This Row],[Fixed Return Average Balance ($)]]*annual_stock_market_return</f>
        <v>0</v>
      </c>
      <c r="AD24" s="160">
        <f>BrokerageStocks4546[[#This Row],[Fixed Return BOY Balance ($)]]+BrokerageStocks4546[[#This Row],[Contributions ($)]]+BrokerageStocks4546[[#This Row],[Fixed Average Return ($)]]</f>
        <v>0</v>
      </c>
      <c r="AF24" s="208">
        <f>'Difference in Expenses'!AG20</f>
        <v>15362.307945560889</v>
      </c>
      <c r="AG24" s="164">
        <f t="shared" ca="1" si="4"/>
        <v>113531.44977059828</v>
      </c>
      <c r="AH24" s="209">
        <f ca="1">BrokerageStocks45[[#This Row],[Simulation BOY Balance ($)]]+(BrokerageStocks45[[#This Row],[Contributions ($)]]/2)</f>
        <v>121212.60374337873</v>
      </c>
      <c r="AI24" s="160">
        <f ca="1">BrokerageStocks45[[#This Row],[Simulation Average Annual Balance ($)]]*Table53[[#This Row],[Simulated Return (%)]]</f>
        <v>17158.817294044318</v>
      </c>
      <c r="AJ24" s="160">
        <f ca="1">BrokerageStocks45[[#This Row],[Simulation BOY Balance ($)]]+BrokerageStocks45[[#This Row],[Contributions ($)]]+BrokerageStocks45[[#This Row],[Simulated Return ($)]]</f>
        <v>146052.57501020347</v>
      </c>
      <c r="AK24" s="164">
        <f>AN23</f>
        <v>120738.86377983735</v>
      </c>
      <c r="AL24" s="209">
        <f>BrokerageStocks45[[#This Row],[Fixed Return BOY Balance ($)]]+(BrokerageStocks45[[#This Row],[Contributions ($)]]/2)</f>
        <v>128420.0177526178</v>
      </c>
      <c r="AM24" s="160">
        <f>BrokerageStocks45[[#This Row],[Fixed Return Average Annual Balance]]*annual_stock_market_return</f>
        <v>10273.601420209425</v>
      </c>
      <c r="AN24" s="160">
        <f>BrokerageStocks45[[#This Row],[Fixed Return BOY Balance ($)]]+BrokerageStocks45[[#This Row],[Contributions ($)]]+BrokerageStocks45[[#This Row],[Fixed Average Return ($)]]</f>
        <v>146374.77314560767</v>
      </c>
    </row>
    <row r="25" spans="11:40" x14ac:dyDescent="0.25">
      <c r="K25">
        <v>3</v>
      </c>
      <c r="L25">
        <f t="shared" si="1"/>
        <v>2025</v>
      </c>
      <c r="M25" s="198">
        <f>IF(Table53[[#This Row],[Calendar Year]]&gt;=$C$8,Table53[[#This Row],[Calendar Year]],NA())</f>
        <v>2025</v>
      </c>
      <c r="N25" s="198">
        <f>IF((Table53[[#This Row],[Calendar Year]]&gt;=$C$8)*(Table53[[#This Row],[Calendar Year]]&lt;=$C$10),Table53[[#This Row],[Calendar Year]],NA())</f>
        <v>2025</v>
      </c>
      <c r="O25" s="214">
        <f ca="1">IF((Table53[[#This Row],[Year (Range)]]&gt;=$C$8)*(Table53[[#This Row],[Year (Range)]]&lt;=$C$10),BrokerageStocks4546[[#This Row],[Buy: Simulated EOY Investment Balance ($)]],NA())</f>
        <v>0</v>
      </c>
      <c r="P25" s="214">
        <f ca="1">IF((Table53[[#This Row],[Year (Range)]]&gt;=$C$8)*(Table53[[#This Row],[Year (Range)]]&lt;=$C$10),BrokerageStocks45[[#This Row],[Rent: Simulated EOY Investment Balance ($)]],NA())</f>
        <v>202455.02846165275</v>
      </c>
      <c r="Q25" s="214">
        <f>IF((Table53[[#This Row],[Year (Range)]]&gt;=$C$8)*(Table53[[#This Row],[Year (Range)]]&lt;=$C$10),BrokerageStocks4546[[#This Row],[Buy: Fixed Average Return EOY Investment Balance ($)]],NA())</f>
        <v>0</v>
      </c>
      <c r="R25" s="214">
        <f>IF((Table53[[#This Row],[Year (Range)]]&gt;=$C$8)*(Table53[[#This Row],[Year (Range)]]&lt;=$C$10),BrokerageStocks45[[#This Row],[Rent: Fixed Average Return EOY Investment Balance ($)]],NA())</f>
        <v>172941.56230863964</v>
      </c>
      <c r="S25" s="224">
        <f t="shared" ca="1" si="0"/>
        <v>0.27492403373081348</v>
      </c>
      <c r="T25" s="222">
        <f t="shared" si="2"/>
        <v>0.08</v>
      </c>
      <c r="V25" s="208">
        <f>'Difference in Expenses'!AF21</f>
        <v>0</v>
      </c>
      <c r="W25" s="164">
        <f t="shared" ca="1" si="3"/>
        <v>0</v>
      </c>
      <c r="X25" s="209">
        <f ca="1">BrokerageStocks4546[[#This Row],[Simulation BOY Balance ($)]]+(BrokerageStocks4546[[#This Row],[Contributions ($)]]/2)</f>
        <v>0</v>
      </c>
      <c r="Y25" s="160">
        <f ca="1">BrokerageStocks4546[[#This Row],[Simulation Average Annual Balance ($)]]*Table53[[#This Row],[Simulated Return (%)]]</f>
        <v>0</v>
      </c>
      <c r="Z25" s="160">
        <f ca="1">BrokerageStocks4546[[#This Row],[Simulation BOY Balance ($)]]+BrokerageStocks4546[[#This Row],[Contributions ($)]]+BrokerageStocks4546[[#This Row],[Simulated Return ($)]]</f>
        <v>0</v>
      </c>
      <c r="AA25" s="160">
        <f t="shared" si="5"/>
        <v>0</v>
      </c>
      <c r="AB25" s="160">
        <f>BrokerageStocks4546[[#This Row],[Fixed Return BOY Balance ($)]]+BrokerageStocks4546[[#This Row],[Contributions ($)]]</f>
        <v>0</v>
      </c>
      <c r="AC25" s="160">
        <f>BrokerageStocks4546[[#This Row],[Fixed Return Average Balance ($)]]*annual_stock_market_return</f>
        <v>0</v>
      </c>
      <c r="AD25" s="160">
        <f>BrokerageStocks4546[[#This Row],[Fixed Return BOY Balance ($)]]+BrokerageStocks4546[[#This Row],[Contributions ($)]]+BrokerageStocks4546[[#This Row],[Fixed Average Return ($)]]</f>
        <v>0</v>
      </c>
      <c r="AF25" s="208">
        <f>'Difference in Expenses'!AG21</f>
        <v>14285.3916455609</v>
      </c>
      <c r="AG25" s="164">
        <f t="shared" ca="1" si="4"/>
        <v>146052.57501020347</v>
      </c>
      <c r="AH25" s="209">
        <f ca="1">BrokerageStocks45[[#This Row],[Simulation BOY Balance ($)]]+(BrokerageStocks45[[#This Row],[Contributions ($)]]/2)</f>
        <v>153195.27083298392</v>
      </c>
      <c r="AI25" s="160">
        <f ca="1">BrokerageStocks45[[#This Row],[Simulation Average Annual Balance ($)]]*Table53[[#This Row],[Simulated Return (%)]]</f>
        <v>42117.061805888377</v>
      </c>
      <c r="AJ25" s="160">
        <f ca="1">BrokerageStocks45[[#This Row],[Simulation BOY Balance ($)]]+BrokerageStocks45[[#This Row],[Contributions ($)]]+BrokerageStocks45[[#This Row],[Simulated Return ($)]]</f>
        <v>202455.02846165275</v>
      </c>
      <c r="AK25" s="164">
        <f t="shared" ref="AK25:AK87" si="6">AN24</f>
        <v>146374.77314560767</v>
      </c>
      <c r="AL25" s="209">
        <f>BrokerageStocks45[[#This Row],[Fixed Return BOY Balance ($)]]+(BrokerageStocks45[[#This Row],[Contributions ($)]]/2)</f>
        <v>153517.46896838813</v>
      </c>
      <c r="AM25" s="160">
        <f>BrokerageStocks45[[#This Row],[Fixed Return Average Annual Balance]]*annual_stock_market_return</f>
        <v>12281.39751747105</v>
      </c>
      <c r="AN25" s="160">
        <f>BrokerageStocks45[[#This Row],[Fixed Return BOY Balance ($)]]+BrokerageStocks45[[#This Row],[Contributions ($)]]+BrokerageStocks45[[#This Row],[Fixed Average Return ($)]]</f>
        <v>172941.56230863964</v>
      </c>
    </row>
    <row r="26" spans="11:40" x14ac:dyDescent="0.25">
      <c r="K26">
        <v>4</v>
      </c>
      <c r="L26">
        <f t="shared" si="1"/>
        <v>2026</v>
      </c>
      <c r="M26" s="198">
        <f>IF(Table53[[#This Row],[Calendar Year]]&gt;=$C$8,Table53[[#This Row],[Calendar Year]],NA())</f>
        <v>2026</v>
      </c>
      <c r="N26" s="198">
        <f>IF((Table53[[#This Row],[Calendar Year]]&gt;=$C$8)*(Table53[[#This Row],[Calendar Year]]&lt;=$C$10),Table53[[#This Row],[Calendar Year]],NA())</f>
        <v>2026</v>
      </c>
      <c r="O26" s="214">
        <f ca="1">IF((Table53[[#This Row],[Year (Range)]]&gt;=$C$8)*(Table53[[#This Row],[Year (Range)]]&lt;=$C$10),BrokerageStocks4546[[#This Row],[Buy: Simulated EOY Investment Balance ($)]],NA())</f>
        <v>0</v>
      </c>
      <c r="P26" s="214">
        <f ca="1">IF((Table53[[#This Row],[Year (Range)]]&gt;=$C$8)*(Table53[[#This Row],[Year (Range)]]&lt;=$C$10),BrokerageStocks45[[#This Row],[Rent: Simulated EOY Investment Balance ($)]],NA())</f>
        <v>240329.92799976165</v>
      </c>
      <c r="Q26" s="214">
        <f>IF((Table53[[#This Row],[Year (Range)]]&gt;=$C$8)*(Table53[[#This Row],[Year (Range)]]&lt;=$C$10),BrokerageStocks4546[[#This Row],[Buy: Fixed Average Return EOY Investment Balance ($)]],NA())</f>
        <v>0</v>
      </c>
      <c r="R26" s="214">
        <f>IF((Table53[[#This Row],[Year (Range)]]&gt;=$C$8)*(Table53[[#This Row],[Year (Range)]]&lt;=$C$10),BrokerageStocks45[[#This Row],[Rent: Fixed Average Return EOY Investment Balance ($)]],NA())</f>
        <v>200463.90382255413</v>
      </c>
      <c r="S26" s="224">
        <f t="shared" ca="1" si="0"/>
        <v>0.11823028828704357</v>
      </c>
      <c r="T26" s="222">
        <f t="shared" si="2"/>
        <v>0.08</v>
      </c>
      <c r="V26" s="208">
        <f>'Difference in Expenses'!AF22</f>
        <v>0</v>
      </c>
      <c r="W26" s="164">
        <f t="shared" ca="1" si="3"/>
        <v>0</v>
      </c>
      <c r="X26" s="209">
        <f ca="1">BrokerageStocks4546[[#This Row],[Simulation BOY Balance ($)]]+(BrokerageStocks4546[[#This Row],[Contributions ($)]]/2)</f>
        <v>0</v>
      </c>
      <c r="Y26" s="160">
        <f ca="1">BrokerageStocks4546[[#This Row],[Simulation Average Annual Balance ($)]]*Table53[[#This Row],[Simulated Return (%)]]</f>
        <v>0</v>
      </c>
      <c r="Z26" s="160">
        <f ca="1">BrokerageStocks4546[[#This Row],[Simulation BOY Balance ($)]]+BrokerageStocks4546[[#This Row],[Contributions ($)]]+BrokerageStocks4546[[#This Row],[Simulated Return ($)]]</f>
        <v>0</v>
      </c>
      <c r="AA26" s="160">
        <f t="shared" si="5"/>
        <v>0</v>
      </c>
      <c r="AB26" s="160">
        <f>BrokerageStocks4546[[#This Row],[Fixed Return BOY Balance ($)]]+BrokerageStocks4546[[#This Row],[Contributions ($)]]</f>
        <v>0</v>
      </c>
      <c r="AC26" s="160">
        <f>BrokerageStocks4546[[#This Row],[Fixed Return Average Balance ($)]]*annual_stock_market_return</f>
        <v>0</v>
      </c>
      <c r="AD26" s="160">
        <f>BrokerageStocks4546[[#This Row],[Fixed Return BOY Balance ($)]]+BrokerageStocks4546[[#This Row],[Contributions ($)]]+BrokerageStocks4546[[#This Row],[Fixed Average Return ($)]]</f>
        <v>0</v>
      </c>
      <c r="AF26" s="208">
        <f>'Difference in Expenses'!AG22</f>
        <v>13160.592816560893</v>
      </c>
      <c r="AG26" s="164">
        <f t="shared" ca="1" si="4"/>
        <v>202455.02846165275</v>
      </c>
      <c r="AH26" s="209">
        <f ca="1">BrokerageStocks45[[#This Row],[Simulation BOY Balance ($)]]+(BrokerageStocks45[[#This Row],[Contributions ($)]]/2)</f>
        <v>209035.32486993319</v>
      </c>
      <c r="AI26" s="160">
        <f ca="1">BrokerageStocks45[[#This Row],[Simulation Average Annual Balance ($)]]*Table53[[#This Row],[Simulated Return (%)]]</f>
        <v>24714.306721548011</v>
      </c>
      <c r="AJ26" s="160">
        <f ca="1">BrokerageStocks45[[#This Row],[Simulation BOY Balance ($)]]+BrokerageStocks45[[#This Row],[Contributions ($)]]+BrokerageStocks45[[#This Row],[Simulated Return ($)]]</f>
        <v>240329.92799976165</v>
      </c>
      <c r="AK26" s="164">
        <f t="shared" si="6"/>
        <v>172941.56230863964</v>
      </c>
      <c r="AL26" s="209">
        <f>BrokerageStocks45[[#This Row],[Fixed Return BOY Balance ($)]]+(BrokerageStocks45[[#This Row],[Contributions ($)]]/2)</f>
        <v>179521.85871692008</v>
      </c>
      <c r="AM26" s="160">
        <f>BrokerageStocks45[[#This Row],[Fixed Return Average Annual Balance]]*annual_stock_market_return</f>
        <v>14361.748697353607</v>
      </c>
      <c r="AN26" s="160">
        <f>BrokerageStocks45[[#This Row],[Fixed Return BOY Balance ($)]]+BrokerageStocks45[[#This Row],[Contributions ($)]]+BrokerageStocks45[[#This Row],[Fixed Average Return ($)]]</f>
        <v>200463.90382255413</v>
      </c>
    </row>
    <row r="27" spans="11:40" x14ac:dyDescent="0.25">
      <c r="K27">
        <v>5</v>
      </c>
      <c r="L27">
        <f t="shared" si="1"/>
        <v>2027</v>
      </c>
      <c r="M27" s="198">
        <f>IF(Table53[[#This Row],[Calendar Year]]&gt;=$C$8,Table53[[#This Row],[Calendar Year]],NA())</f>
        <v>2027</v>
      </c>
      <c r="N27" s="198">
        <f>IF((Table53[[#This Row],[Calendar Year]]&gt;=$C$8)*(Table53[[#This Row],[Calendar Year]]&lt;=$C$10),Table53[[#This Row],[Calendar Year]],NA())</f>
        <v>2027</v>
      </c>
      <c r="O27" s="214">
        <f ca="1">IF((Table53[[#This Row],[Year (Range)]]&gt;=$C$8)*(Table53[[#This Row],[Year (Range)]]&lt;=$C$10),BrokerageStocks4546[[#This Row],[Buy: Simulated EOY Investment Balance ($)]],NA())</f>
        <v>0</v>
      </c>
      <c r="P27" s="214">
        <f ca="1">IF((Table53[[#This Row],[Year (Range)]]&gt;=$C$8)*(Table53[[#This Row],[Year (Range)]]&lt;=$C$10),BrokerageStocks45[[#This Row],[Rent: Simulated EOY Investment Balance ($)]],NA())</f>
        <v>262760.51595829939</v>
      </c>
      <c r="Q27" s="214">
        <f>IF((Table53[[#This Row],[Year (Range)]]&gt;=$C$8)*(Table53[[#This Row],[Year (Range)]]&lt;=$C$10),BrokerageStocks4546[[#This Row],[Buy: Fixed Average Return EOY Investment Balance ($)]],NA())</f>
        <v>0</v>
      </c>
      <c r="R27" s="214">
        <f>IF((Table53[[#This Row],[Year (Range)]]&gt;=$C$8)*(Table53[[#This Row],[Year (Range)]]&lt;=$C$10),BrokerageStocks45[[#This Row],[Rent: Fixed Average Return EOY Investment Balance ($)]],NA())</f>
        <v>228966.30218869299</v>
      </c>
      <c r="S27" s="224">
        <f t="shared" ca="1" si="0"/>
        <v>4.2402626505203676E-2</v>
      </c>
      <c r="T27" s="222">
        <f t="shared" si="2"/>
        <v>0.08</v>
      </c>
      <c r="V27" s="208">
        <f>'Difference in Expenses'!AF23</f>
        <v>0</v>
      </c>
      <c r="W27" s="164">
        <f t="shared" ca="1" si="3"/>
        <v>0</v>
      </c>
      <c r="X27" s="209">
        <f ca="1">BrokerageStocks4546[[#This Row],[Simulation BOY Balance ($)]]+(BrokerageStocks4546[[#This Row],[Contributions ($)]]/2)</f>
        <v>0</v>
      </c>
      <c r="Y27" s="160">
        <f ca="1">BrokerageStocks4546[[#This Row],[Simulation Average Annual Balance ($)]]*Table53[[#This Row],[Simulated Return (%)]]</f>
        <v>0</v>
      </c>
      <c r="Z27" s="160">
        <f ca="1">BrokerageStocks4546[[#This Row],[Simulation BOY Balance ($)]]+BrokerageStocks4546[[#This Row],[Contributions ($)]]+BrokerageStocks4546[[#This Row],[Simulated Return ($)]]</f>
        <v>0</v>
      </c>
      <c r="AA27" s="160">
        <f t="shared" si="5"/>
        <v>0</v>
      </c>
      <c r="AB27" s="160">
        <f>BrokerageStocks4546[[#This Row],[Fixed Return BOY Balance ($)]]+BrokerageStocks4546[[#This Row],[Contributions ($)]]</f>
        <v>0</v>
      </c>
      <c r="AC27" s="160">
        <f>BrokerageStocks4546[[#This Row],[Fixed Return Average Balance ($)]]*annual_stock_market_return</f>
        <v>0</v>
      </c>
      <c r="AD27" s="160">
        <f>BrokerageStocks4546[[#This Row],[Fixed Return BOY Balance ($)]]+BrokerageStocks4546[[#This Row],[Contributions ($)]]+BrokerageStocks4546[[#This Row],[Fixed Average Return ($)]]</f>
        <v>0</v>
      </c>
      <c r="AF27" s="208">
        <f>'Difference in Expenses'!AG23</f>
        <v>11985.851981090898</v>
      </c>
      <c r="AG27" s="164">
        <f t="shared" ca="1" si="4"/>
        <v>240329.92799976165</v>
      </c>
      <c r="AH27" s="209">
        <f ca="1">BrokerageStocks45[[#This Row],[Simulation BOY Balance ($)]]+(BrokerageStocks45[[#This Row],[Contributions ($)]]/2)</f>
        <v>246322.85399030711</v>
      </c>
      <c r="AI27" s="160">
        <f ca="1">BrokerageStocks45[[#This Row],[Simulation Average Annual Balance ($)]]*Table53[[#This Row],[Simulated Return (%)]]</f>
        <v>10444.735977446811</v>
      </c>
      <c r="AJ27" s="160">
        <f ca="1">BrokerageStocks45[[#This Row],[Simulation BOY Balance ($)]]+BrokerageStocks45[[#This Row],[Contributions ($)]]+BrokerageStocks45[[#This Row],[Simulated Return ($)]]</f>
        <v>262760.51595829939</v>
      </c>
      <c r="AK27" s="164">
        <f t="shared" si="6"/>
        <v>200463.90382255413</v>
      </c>
      <c r="AL27" s="209">
        <f>BrokerageStocks45[[#This Row],[Fixed Return BOY Balance ($)]]+(BrokerageStocks45[[#This Row],[Contributions ($)]]/2)</f>
        <v>206456.82981309958</v>
      </c>
      <c r="AM27" s="160">
        <f>BrokerageStocks45[[#This Row],[Fixed Return Average Annual Balance]]*annual_stock_market_return</f>
        <v>16516.546385047968</v>
      </c>
      <c r="AN27" s="160">
        <f>BrokerageStocks45[[#This Row],[Fixed Return BOY Balance ($)]]+BrokerageStocks45[[#This Row],[Contributions ($)]]+BrokerageStocks45[[#This Row],[Fixed Average Return ($)]]</f>
        <v>228966.30218869299</v>
      </c>
    </row>
    <row r="28" spans="11:40" x14ac:dyDescent="0.25">
      <c r="K28">
        <v>6</v>
      </c>
      <c r="L28">
        <f t="shared" si="1"/>
        <v>2028</v>
      </c>
      <c r="M28" s="198">
        <f>IF(Table53[[#This Row],[Calendar Year]]&gt;=$C$8,Table53[[#This Row],[Calendar Year]],NA())</f>
        <v>2028</v>
      </c>
      <c r="N28" s="198">
        <f>IF((Table53[[#This Row],[Calendar Year]]&gt;=$C$8)*(Table53[[#This Row],[Calendar Year]]&lt;=$C$10),Table53[[#This Row],[Calendar Year]],NA())</f>
        <v>2028</v>
      </c>
      <c r="O28" s="214">
        <f ca="1">IF((Table53[[#This Row],[Year (Range)]]&gt;=$C$8)*(Table53[[#This Row],[Year (Range)]]&lt;=$C$10),BrokerageStocks4546[[#This Row],[Buy: Simulated EOY Investment Balance ($)]],NA())</f>
        <v>0</v>
      </c>
      <c r="P28" s="214">
        <f ca="1">IF((Table53[[#This Row],[Year (Range)]]&gt;=$C$8)*(Table53[[#This Row],[Year (Range)]]&lt;=$C$10),BrokerageStocks45[[#This Row],[Rent: Simulated EOY Investment Balance ($)]],NA())</f>
        <v>249276.07230801781</v>
      </c>
      <c r="Q28" s="214">
        <f>IF((Table53[[#This Row],[Year (Range)]]&gt;=$C$8)*(Table53[[#This Row],[Year (Range)]]&lt;=$C$10),BrokerageStocks4546[[#This Row],[Buy: Fixed Average Return EOY Investment Balance ($)]],NA())</f>
        <v>0</v>
      </c>
      <c r="R28" s="214">
        <f>IF((Table53[[#This Row],[Year (Range)]]&gt;=$C$8)*(Table53[[#This Row],[Year (Range)]]&lt;=$C$10),BrokerageStocks45[[#This Row],[Rent: Fixed Average Return EOY Investment Balance ($)]],NA())</f>
        <v>257443.39023937294</v>
      </c>
      <c r="S28" s="224">
        <f t="shared" ca="1" si="0"/>
        <v>-8.688174344301107E-2</v>
      </c>
      <c r="T28" s="222">
        <f t="shared" si="2"/>
        <v>0.08</v>
      </c>
      <c r="V28" s="208">
        <f>'Difference in Expenses'!AF24</f>
        <v>0</v>
      </c>
      <c r="W28" s="164">
        <f t="shared" ca="1" si="3"/>
        <v>0</v>
      </c>
      <c r="X28" s="209">
        <f ca="1">BrokerageStocks4546[[#This Row],[Simulation BOY Balance ($)]]+(BrokerageStocks4546[[#This Row],[Contributions ($)]]/2)</f>
        <v>0</v>
      </c>
      <c r="Y28" s="160">
        <f ca="1">BrokerageStocks4546[[#This Row],[Simulation Average Annual Balance ($)]]*Table53[[#This Row],[Simulated Return (%)]]</f>
        <v>0</v>
      </c>
      <c r="Z28" s="160">
        <f ca="1">BrokerageStocks4546[[#This Row],[Simulation BOY Balance ($)]]+BrokerageStocks4546[[#This Row],[Contributions ($)]]+BrokerageStocks4546[[#This Row],[Simulated Return ($)]]</f>
        <v>0</v>
      </c>
      <c r="AA28" s="160">
        <f t="shared" si="5"/>
        <v>0</v>
      </c>
      <c r="AB28" s="160">
        <f>BrokerageStocks4546[[#This Row],[Fixed Return BOY Balance ($)]]+BrokerageStocks4546[[#This Row],[Contributions ($)]]</f>
        <v>0</v>
      </c>
      <c r="AC28" s="160">
        <f>BrokerageStocks4546[[#This Row],[Fixed Return Average Balance ($)]]*annual_stock_market_return</f>
        <v>0</v>
      </c>
      <c r="AD28" s="160">
        <f>BrokerageStocks4546[[#This Row],[Fixed Return BOY Balance ($)]]+BrokerageStocks4546[[#This Row],[Contributions ($)]]+BrokerageStocks4546[[#This Row],[Fixed Average Return ($)]]</f>
        <v>0</v>
      </c>
      <c r="AF28" s="208">
        <f>'Difference in Expenses'!AG24</f>
        <v>9769.0229572928001</v>
      </c>
      <c r="AG28" s="164">
        <f t="shared" ca="1" si="4"/>
        <v>262760.51595829939</v>
      </c>
      <c r="AH28" s="209">
        <f ca="1">BrokerageStocks45[[#This Row],[Simulation BOY Balance ($)]]+(BrokerageStocks45[[#This Row],[Contributions ($)]]/2)</f>
        <v>267645.02743694582</v>
      </c>
      <c r="AI28" s="160">
        <f ca="1">BrokerageStocks45[[#This Row],[Simulation Average Annual Balance ($)]]*Table53[[#This Row],[Simulated Return (%)]]</f>
        <v>-23253.466607574384</v>
      </c>
      <c r="AJ28" s="160">
        <f ca="1">BrokerageStocks45[[#This Row],[Simulation BOY Balance ($)]]+BrokerageStocks45[[#This Row],[Contributions ($)]]+BrokerageStocks45[[#This Row],[Simulated Return ($)]]</f>
        <v>249276.07230801781</v>
      </c>
      <c r="AK28" s="164">
        <f t="shared" si="6"/>
        <v>228966.30218869299</v>
      </c>
      <c r="AL28" s="209">
        <f>BrokerageStocks45[[#This Row],[Fixed Return BOY Balance ($)]]+(BrokerageStocks45[[#This Row],[Contributions ($)]]/2)</f>
        <v>233850.81366733939</v>
      </c>
      <c r="AM28" s="160">
        <f>BrokerageStocks45[[#This Row],[Fixed Return Average Annual Balance]]*annual_stock_market_return</f>
        <v>18708.065093387151</v>
      </c>
      <c r="AN28" s="160">
        <f>BrokerageStocks45[[#This Row],[Fixed Return BOY Balance ($)]]+BrokerageStocks45[[#This Row],[Contributions ($)]]+BrokerageStocks45[[#This Row],[Fixed Average Return ($)]]</f>
        <v>257443.39023937294</v>
      </c>
    </row>
    <row r="29" spans="11:40" x14ac:dyDescent="0.25">
      <c r="K29">
        <v>7</v>
      </c>
      <c r="L29">
        <f t="shared" si="1"/>
        <v>2029</v>
      </c>
      <c r="M29" s="198">
        <f>IF(Table53[[#This Row],[Calendar Year]]&gt;=$C$8,Table53[[#This Row],[Calendar Year]],NA())</f>
        <v>2029</v>
      </c>
      <c r="N29" s="198">
        <f>IF((Table53[[#This Row],[Calendar Year]]&gt;=$C$8)*(Table53[[#This Row],[Calendar Year]]&lt;=$C$10),Table53[[#This Row],[Calendar Year]],NA())</f>
        <v>2029</v>
      </c>
      <c r="O29" s="214">
        <f ca="1">IF((Table53[[#This Row],[Year (Range)]]&gt;=$C$8)*(Table53[[#This Row],[Year (Range)]]&lt;=$C$10),BrokerageStocks4546[[#This Row],[Buy: Simulated EOY Investment Balance ($)]],NA())</f>
        <v>0</v>
      </c>
      <c r="P29" s="214">
        <f ca="1">IF((Table53[[#This Row],[Year (Range)]]&gt;=$C$8)*(Table53[[#This Row],[Year (Range)]]&lt;=$C$10),BrokerageStocks45[[#This Row],[Rent: Simulated EOY Investment Balance ($)]],NA())</f>
        <v>254554.18050398459</v>
      </c>
      <c r="Q29" s="214">
        <f>IF((Table53[[#This Row],[Year (Range)]]&gt;=$C$8)*(Table53[[#This Row],[Year (Range)]]&lt;=$C$10),BrokerageStocks4546[[#This Row],[Buy: Fixed Average Return EOY Investment Balance ($)]],NA())</f>
        <v>0</v>
      </c>
      <c r="R29" s="214">
        <f>IF((Table53[[#This Row],[Year (Range)]]&gt;=$C$8)*(Table53[[#This Row],[Year (Range)]]&lt;=$C$10),BrokerageStocks45[[#This Row],[Rent: Fixed Average Return EOY Investment Balance ($)]],NA())</f>
        <v>299252.64548994839</v>
      </c>
      <c r="S29" s="224">
        <f t="shared" ca="1" si="0"/>
        <v>-5.8270587381089825E-2</v>
      </c>
      <c r="T29" s="222">
        <f t="shared" si="2"/>
        <v>0.08</v>
      </c>
      <c r="V29" s="208">
        <f>'Difference in Expenses'!AF25</f>
        <v>0</v>
      </c>
      <c r="W29" s="164">
        <f t="shared" ca="1" si="3"/>
        <v>0</v>
      </c>
      <c r="X29" s="209">
        <f ca="1">BrokerageStocks4546[[#This Row],[Simulation BOY Balance ($)]]+(BrokerageStocks4546[[#This Row],[Contributions ($)]]/2)</f>
        <v>0</v>
      </c>
      <c r="Y29" s="160">
        <f ca="1">BrokerageStocks4546[[#This Row],[Simulation Average Annual Balance ($)]]*Table53[[#This Row],[Simulated Return (%)]]</f>
        <v>0</v>
      </c>
      <c r="Z29" s="160">
        <f ca="1">BrokerageStocks4546[[#This Row],[Simulation BOY Balance ($)]]+BrokerageStocks4546[[#This Row],[Contributions ($)]]+BrokerageStocks4546[[#This Row],[Simulated Return ($)]]</f>
        <v>0</v>
      </c>
      <c r="AA29" s="160">
        <f t="shared" si="5"/>
        <v>0</v>
      </c>
      <c r="AB29" s="160">
        <f>BrokerageStocks4546[[#This Row],[Fixed Return BOY Balance ($)]]+BrokerageStocks4546[[#This Row],[Contributions ($)]]</f>
        <v>0</v>
      </c>
      <c r="AC29" s="160">
        <f>BrokerageStocks4546[[#This Row],[Fixed Return Average Balance ($)]]*annual_stock_market_return</f>
        <v>0</v>
      </c>
      <c r="AD29" s="160">
        <f>BrokerageStocks4546[[#This Row],[Fixed Return BOY Balance ($)]]+BrokerageStocks4546[[#This Row],[Contributions ($)]]+BrokerageStocks4546[[#This Row],[Fixed Average Return ($)]]</f>
        <v>0</v>
      </c>
      <c r="AF29" s="208">
        <f>'Difference in Expenses'!AG25</f>
        <v>20397.869260986183</v>
      </c>
      <c r="AG29" s="164">
        <f t="shared" ca="1" si="4"/>
        <v>249276.07230801781</v>
      </c>
      <c r="AH29" s="209">
        <f ca="1">BrokerageStocks45[[#This Row],[Simulation BOY Balance ($)]]+(BrokerageStocks45[[#This Row],[Contributions ($)]]/2)</f>
        <v>259475.00693851089</v>
      </c>
      <c r="AI29" s="160">
        <f ca="1">BrokerageStocks45[[#This Row],[Simulation Average Annual Balance ($)]]*Table53[[#This Row],[Simulated Return (%)]]</f>
        <v>-15119.761065019387</v>
      </c>
      <c r="AJ29" s="160">
        <f ca="1">BrokerageStocks45[[#This Row],[Simulation BOY Balance ($)]]+BrokerageStocks45[[#This Row],[Contributions ($)]]+BrokerageStocks45[[#This Row],[Simulated Return ($)]]</f>
        <v>254554.18050398459</v>
      </c>
      <c r="AK29" s="164">
        <f t="shared" si="6"/>
        <v>257443.39023937294</v>
      </c>
      <c r="AL29" s="209">
        <f>BrokerageStocks45[[#This Row],[Fixed Return BOY Balance ($)]]+(BrokerageStocks45[[#This Row],[Contributions ($)]]/2)</f>
        <v>267642.32486986602</v>
      </c>
      <c r="AM29" s="160">
        <f>BrokerageStocks45[[#This Row],[Fixed Return Average Annual Balance]]*annual_stock_market_return</f>
        <v>21411.385989589282</v>
      </c>
      <c r="AN29" s="160">
        <f>BrokerageStocks45[[#This Row],[Fixed Return BOY Balance ($)]]+BrokerageStocks45[[#This Row],[Contributions ($)]]+BrokerageStocks45[[#This Row],[Fixed Average Return ($)]]</f>
        <v>299252.64548994839</v>
      </c>
    </row>
    <row r="30" spans="11:40" x14ac:dyDescent="0.25">
      <c r="K30">
        <v>8</v>
      </c>
      <c r="L30">
        <f t="shared" si="1"/>
        <v>2030</v>
      </c>
      <c r="M30" s="198">
        <f>IF(Table53[[#This Row],[Calendar Year]]&gt;=$C$8,Table53[[#This Row],[Calendar Year]],NA())</f>
        <v>2030</v>
      </c>
      <c r="N30" s="198">
        <f>IF((Table53[[#This Row],[Calendar Year]]&gt;=$C$8)*(Table53[[#This Row],[Calendar Year]]&lt;=$C$10),Table53[[#This Row],[Calendar Year]],NA())</f>
        <v>2030</v>
      </c>
      <c r="O30" s="214">
        <f ca="1">IF((Table53[[#This Row],[Year (Range)]]&gt;=$C$8)*(Table53[[#This Row],[Year (Range)]]&lt;=$C$10),BrokerageStocks4546[[#This Row],[Buy: Simulated EOY Investment Balance ($)]],NA())</f>
        <v>0</v>
      </c>
      <c r="P30" s="214">
        <f ca="1">IF((Table53[[#This Row],[Year (Range)]]&gt;=$C$8)*(Table53[[#This Row],[Year (Range)]]&lt;=$C$10),BrokerageStocks45[[#This Row],[Rent: Simulated EOY Investment Balance ($)]],NA())</f>
        <v>328568.71159153676</v>
      </c>
      <c r="Q30" s="214">
        <f>IF((Table53[[#This Row],[Year (Range)]]&gt;=$C$8)*(Table53[[#This Row],[Year (Range)]]&lt;=$C$10),BrokerageStocks4546[[#This Row],[Buy: Fixed Average Return EOY Investment Balance ($)]],NA())</f>
        <v>0</v>
      </c>
      <c r="R30" s="214">
        <f>IF((Table53[[#This Row],[Year (Range)]]&gt;=$C$8)*(Table53[[#This Row],[Year (Range)]]&lt;=$C$10),BrokerageStocks45[[#This Row],[Rent: Fixed Average Return EOY Investment Balance ($)]],NA())</f>
        <v>333655.31990346528</v>
      </c>
      <c r="S30" s="224">
        <f t="shared" ca="1" si="0"/>
        <v>0.24637273029481388</v>
      </c>
      <c r="T30" s="222">
        <f t="shared" si="2"/>
        <v>0.08</v>
      </c>
      <c r="V30" s="208">
        <f>'Difference in Expenses'!AF26</f>
        <v>0</v>
      </c>
      <c r="W30" s="164">
        <f t="shared" ca="1" si="3"/>
        <v>0</v>
      </c>
      <c r="X30" s="209">
        <f ca="1">BrokerageStocks4546[[#This Row],[Simulation BOY Balance ($)]]+(BrokerageStocks4546[[#This Row],[Contributions ($)]]/2)</f>
        <v>0</v>
      </c>
      <c r="Y30" s="160">
        <f ca="1">BrokerageStocks4546[[#This Row],[Simulation Average Annual Balance ($)]]*Table53[[#This Row],[Simulated Return (%)]]</f>
        <v>0</v>
      </c>
      <c r="Z30" s="160">
        <f ca="1">BrokerageStocks4546[[#This Row],[Simulation BOY Balance ($)]]+BrokerageStocks4546[[#This Row],[Contributions ($)]]+BrokerageStocks4546[[#This Row],[Simulated Return ($)]]</f>
        <v>0</v>
      </c>
      <c r="AA30" s="160">
        <f t="shared" si="5"/>
        <v>0</v>
      </c>
      <c r="AB30" s="160">
        <f>BrokerageStocks4546[[#This Row],[Fixed Return BOY Balance ($)]]+BrokerageStocks4546[[#This Row],[Contributions ($)]]</f>
        <v>0</v>
      </c>
      <c r="AC30" s="160">
        <f>BrokerageStocks4546[[#This Row],[Fixed Return Average Balance ($)]]*annual_stock_market_return</f>
        <v>0</v>
      </c>
      <c r="AD30" s="160">
        <f>BrokerageStocks4546[[#This Row],[Fixed Return BOY Balance ($)]]+BrokerageStocks4546[[#This Row],[Contributions ($)]]+BrokerageStocks4546[[#This Row],[Fixed Average Return ($)]]</f>
        <v>0</v>
      </c>
      <c r="AF30" s="208">
        <f>'Difference in Expenses'!AG26</f>
        <v>10060.060359924049</v>
      </c>
      <c r="AG30" s="164">
        <f t="shared" ca="1" si="4"/>
        <v>254554.18050398459</v>
      </c>
      <c r="AH30" s="209">
        <f ca="1">BrokerageStocks45[[#This Row],[Simulation BOY Balance ($)]]+(BrokerageStocks45[[#This Row],[Contributions ($)]]/2)</f>
        <v>259584.21068394661</v>
      </c>
      <c r="AI30" s="160">
        <f ca="1">BrokerageStocks45[[#This Row],[Simulation Average Annual Balance ($)]]*Table53[[#This Row],[Simulated Return (%)]]</f>
        <v>63954.470727628126</v>
      </c>
      <c r="AJ30" s="160">
        <f ca="1">BrokerageStocks45[[#This Row],[Simulation BOY Balance ($)]]+BrokerageStocks45[[#This Row],[Contributions ($)]]+BrokerageStocks45[[#This Row],[Simulated Return ($)]]</f>
        <v>328568.71159153676</v>
      </c>
      <c r="AK30" s="164">
        <f t="shared" si="6"/>
        <v>299252.64548994839</v>
      </c>
      <c r="AL30" s="209">
        <f>BrokerageStocks45[[#This Row],[Fixed Return BOY Balance ($)]]+(BrokerageStocks45[[#This Row],[Contributions ($)]]/2)</f>
        <v>304282.67566991044</v>
      </c>
      <c r="AM30" s="160">
        <f>BrokerageStocks45[[#This Row],[Fixed Return Average Annual Balance]]*annual_stock_market_return</f>
        <v>24342.614053592835</v>
      </c>
      <c r="AN30" s="160">
        <f>BrokerageStocks45[[#This Row],[Fixed Return BOY Balance ($)]]+BrokerageStocks45[[#This Row],[Contributions ($)]]+BrokerageStocks45[[#This Row],[Fixed Average Return ($)]]</f>
        <v>333655.31990346528</v>
      </c>
    </row>
    <row r="31" spans="11:40" x14ac:dyDescent="0.25">
      <c r="K31">
        <v>9</v>
      </c>
      <c r="L31">
        <f t="shared" si="1"/>
        <v>2031</v>
      </c>
      <c r="M31" s="198">
        <f>IF(Table53[[#This Row],[Calendar Year]]&gt;=$C$8,Table53[[#This Row],[Calendar Year]],NA())</f>
        <v>2031</v>
      </c>
      <c r="N31" s="198">
        <f>IF((Table53[[#This Row],[Calendar Year]]&gt;=$C$8)*(Table53[[#This Row],[Calendar Year]]&lt;=$C$10),Table53[[#This Row],[Calendar Year]],NA())</f>
        <v>2031</v>
      </c>
      <c r="O31" s="214">
        <f ca="1">IF((Table53[[#This Row],[Year (Range)]]&gt;=$C$8)*(Table53[[#This Row],[Year (Range)]]&lt;=$C$10),BrokerageStocks4546[[#This Row],[Buy: Simulated EOY Investment Balance ($)]],NA())</f>
        <v>0</v>
      </c>
      <c r="P31" s="214">
        <f ca="1">IF((Table53[[#This Row],[Year (Range)]]&gt;=$C$8)*(Table53[[#This Row],[Year (Range)]]&lt;=$C$10),BrokerageStocks45[[#This Row],[Rent: Simulated EOY Investment Balance ($)]],NA())</f>
        <v>321929.92456646741</v>
      </c>
      <c r="Q31" s="214">
        <f>IF((Table53[[#This Row],[Year (Range)]]&gt;=$C$8)*(Table53[[#This Row],[Year (Range)]]&lt;=$C$10),BrokerageStocks4546[[#This Row],[Buy: Fixed Average Return EOY Investment Balance ($)]],NA())</f>
        <v>0</v>
      </c>
      <c r="R31" s="214">
        <f>IF((Table53[[#This Row],[Year (Range)]]&gt;=$C$8)*(Table53[[#This Row],[Year (Range)]]&lt;=$C$10),BrokerageStocks45[[#This Row],[Rent: Fixed Average Return EOY Investment Balance ($)]],NA())</f>
        <v>397437.43998091994</v>
      </c>
      <c r="S31" s="224">
        <f t="shared" ca="1" si="0"/>
        <v>-0.12211870299021353</v>
      </c>
      <c r="T31" s="222">
        <f t="shared" si="2"/>
        <v>0.08</v>
      </c>
      <c r="V31" s="208">
        <f>'Difference in Expenses'!AF27</f>
        <v>0</v>
      </c>
      <c r="W31" s="164">
        <f t="shared" ca="1" si="3"/>
        <v>0</v>
      </c>
      <c r="X31" s="209">
        <f ca="1">BrokerageStocks4546[[#This Row],[Simulation BOY Balance ($)]]+(BrokerageStocks4546[[#This Row],[Contributions ($)]]/2)</f>
        <v>0</v>
      </c>
      <c r="Y31" s="160">
        <f ca="1">BrokerageStocks4546[[#This Row],[Simulation Average Annual Balance ($)]]*Table53[[#This Row],[Simulated Return (%)]]</f>
        <v>0</v>
      </c>
      <c r="Z31" s="160">
        <f ca="1">BrokerageStocks4546[[#This Row],[Simulation BOY Balance ($)]]+BrokerageStocks4546[[#This Row],[Contributions ($)]]+BrokerageStocks4546[[#This Row],[Simulated Return ($)]]</f>
        <v>0</v>
      </c>
      <c r="AA31" s="160">
        <f t="shared" si="5"/>
        <v>0</v>
      </c>
      <c r="AB31" s="160">
        <f>BrokerageStocks4546[[#This Row],[Fixed Return BOY Balance ($)]]+BrokerageStocks4546[[#This Row],[Contributions ($)]]</f>
        <v>0</v>
      </c>
      <c r="AC31" s="160">
        <f>BrokerageStocks4546[[#This Row],[Fixed Return Average Balance ($)]]*annual_stock_market_return</f>
        <v>0</v>
      </c>
      <c r="AD31" s="160">
        <f>BrokerageStocks4546[[#This Row],[Fixed Return BOY Balance ($)]]+BrokerageStocks4546[[#This Row],[Contributions ($)]]+BrokerageStocks4546[[#This Row],[Fixed Average Return ($)]]</f>
        <v>0</v>
      </c>
      <c r="AF31" s="208">
        <f>'Difference in Expenses'!AG27</f>
        <v>35663.167774209054</v>
      </c>
      <c r="AG31" s="164">
        <f t="shared" ca="1" si="4"/>
        <v>328568.71159153676</v>
      </c>
      <c r="AH31" s="209">
        <f ca="1">BrokerageStocks45[[#This Row],[Simulation BOY Balance ($)]]+(BrokerageStocks45[[#This Row],[Contributions ($)]]/2)</f>
        <v>346400.29547864129</v>
      </c>
      <c r="AI31" s="160">
        <f ca="1">BrokerageStocks45[[#This Row],[Simulation Average Annual Balance ($)]]*Table53[[#This Row],[Simulated Return (%)]]</f>
        <v>-42301.954799278406</v>
      </c>
      <c r="AJ31" s="160">
        <f ca="1">BrokerageStocks45[[#This Row],[Simulation BOY Balance ($)]]+BrokerageStocks45[[#This Row],[Contributions ($)]]+BrokerageStocks45[[#This Row],[Simulated Return ($)]]</f>
        <v>321929.92456646741</v>
      </c>
      <c r="AK31" s="164">
        <f t="shared" si="6"/>
        <v>333655.31990346528</v>
      </c>
      <c r="AL31" s="209">
        <f>BrokerageStocks45[[#This Row],[Fixed Return BOY Balance ($)]]+(BrokerageStocks45[[#This Row],[Contributions ($)]]/2)</f>
        <v>351486.90379056981</v>
      </c>
      <c r="AM31" s="160">
        <f>BrokerageStocks45[[#This Row],[Fixed Return Average Annual Balance]]*annual_stock_market_return</f>
        <v>28118.952303245584</v>
      </c>
      <c r="AN31" s="160">
        <f>BrokerageStocks45[[#This Row],[Fixed Return BOY Balance ($)]]+BrokerageStocks45[[#This Row],[Contributions ($)]]+BrokerageStocks45[[#This Row],[Fixed Average Return ($)]]</f>
        <v>397437.43998091994</v>
      </c>
    </row>
    <row r="32" spans="11:40" x14ac:dyDescent="0.25">
      <c r="K32">
        <v>10</v>
      </c>
      <c r="L32">
        <f t="shared" si="1"/>
        <v>2032</v>
      </c>
      <c r="M32" s="198">
        <f>IF(Table53[[#This Row],[Calendar Year]]&gt;=$C$8,Table53[[#This Row],[Calendar Year]],NA())</f>
        <v>2032</v>
      </c>
      <c r="N32" s="198">
        <f>IF((Table53[[#This Row],[Calendar Year]]&gt;=$C$8)*(Table53[[#This Row],[Calendar Year]]&lt;=$C$10),Table53[[#This Row],[Calendar Year]],NA())</f>
        <v>2032</v>
      </c>
      <c r="O32" s="214">
        <f ca="1">IF((Table53[[#This Row],[Year (Range)]]&gt;=$C$8)*(Table53[[#This Row],[Year (Range)]]&lt;=$C$10),BrokerageStocks4546[[#This Row],[Buy: Simulated EOY Investment Balance ($)]],NA())</f>
        <v>0</v>
      </c>
      <c r="P32" s="214">
        <f ca="1">IF((Table53[[#This Row],[Year (Range)]]&gt;=$C$8)*(Table53[[#This Row],[Year (Range)]]&lt;=$C$10),BrokerageStocks45[[#This Row],[Rent: Simulated EOY Investment Balance ($)]],NA())</f>
        <v>334476.74744929594</v>
      </c>
      <c r="Q32" s="214">
        <f>IF((Table53[[#This Row],[Year (Range)]]&gt;=$C$8)*(Table53[[#This Row],[Year (Range)]]&lt;=$C$10),BrokerageStocks4546[[#This Row],[Buy: Fixed Average Return EOY Investment Balance ($)]],NA())</f>
        <v>0</v>
      </c>
      <c r="R32" s="214">
        <f>IF((Table53[[#This Row],[Year (Range)]]&gt;=$C$8)*(Table53[[#This Row],[Year (Range)]]&lt;=$C$10),BrokerageStocks45[[#This Row],[Rent: Fixed Average Return EOY Investment Balance ($)]],NA())</f>
        <v>433605.2826366541</v>
      </c>
      <c r="S32" s="224">
        <f t="shared" ca="1" si="0"/>
        <v>2.5744850198036497E-2</v>
      </c>
      <c r="T32" s="222">
        <f t="shared" si="2"/>
        <v>0.08</v>
      </c>
      <c r="V32" s="208">
        <f>'Difference in Expenses'!AF28</f>
        <v>0</v>
      </c>
      <c r="W32" s="164">
        <f t="shared" ca="1" si="3"/>
        <v>0</v>
      </c>
      <c r="X32" s="209">
        <f ca="1">BrokerageStocks4546[[#This Row],[Simulation BOY Balance ($)]]+(BrokerageStocks4546[[#This Row],[Contributions ($)]]/2)</f>
        <v>0</v>
      </c>
      <c r="Y32" s="160">
        <f ca="1">BrokerageStocks4546[[#This Row],[Simulation Average Annual Balance ($)]]*Table53[[#This Row],[Simulated Return (%)]]</f>
        <v>0</v>
      </c>
      <c r="Z32" s="160">
        <f ca="1">BrokerageStocks4546[[#This Row],[Simulation BOY Balance ($)]]+BrokerageStocks4546[[#This Row],[Contributions ($)]]+BrokerageStocks4546[[#This Row],[Simulated Return ($)]]</f>
        <v>0</v>
      </c>
      <c r="AA32" s="160">
        <f t="shared" si="5"/>
        <v>0</v>
      </c>
      <c r="AB32" s="160">
        <f>BrokerageStocks4546[[#This Row],[Fixed Return BOY Balance ($)]]+BrokerageStocks4546[[#This Row],[Contributions ($)]]</f>
        <v>0</v>
      </c>
      <c r="AC32" s="160">
        <f>BrokerageStocks4546[[#This Row],[Fixed Return Average Balance ($)]]*annual_stock_market_return</f>
        <v>0</v>
      </c>
      <c r="AD32" s="160">
        <f>BrokerageStocks4546[[#This Row],[Fixed Return BOY Balance ($)]]+BrokerageStocks4546[[#This Row],[Contributions ($)]]+BrokerageStocks4546[[#This Row],[Fixed Average Return ($)]]</f>
        <v>0</v>
      </c>
      <c r="AF32" s="208">
        <f>'Difference in Expenses'!AG28</f>
        <v>4204.6610165967431</v>
      </c>
      <c r="AG32" s="164">
        <f t="shared" ca="1" si="4"/>
        <v>321929.92456646741</v>
      </c>
      <c r="AH32" s="209">
        <f ca="1">BrokerageStocks45[[#This Row],[Simulation BOY Balance ($)]]+(BrokerageStocks45[[#This Row],[Contributions ($)]]/2)</f>
        <v>324032.25507476577</v>
      </c>
      <c r="AI32" s="160">
        <f ca="1">BrokerageStocks45[[#This Row],[Simulation Average Annual Balance ($)]]*Table53[[#This Row],[Simulated Return (%)]]</f>
        <v>8342.161866231796</v>
      </c>
      <c r="AJ32" s="160">
        <f ca="1">BrokerageStocks45[[#This Row],[Simulation BOY Balance ($)]]+BrokerageStocks45[[#This Row],[Contributions ($)]]+BrokerageStocks45[[#This Row],[Simulated Return ($)]]</f>
        <v>334476.74744929594</v>
      </c>
      <c r="AK32" s="164">
        <f t="shared" si="6"/>
        <v>397437.43998091994</v>
      </c>
      <c r="AL32" s="209">
        <f>BrokerageStocks45[[#This Row],[Fixed Return BOY Balance ($)]]+(BrokerageStocks45[[#This Row],[Contributions ($)]]/2)</f>
        <v>399539.7704892183</v>
      </c>
      <c r="AM32" s="160">
        <f>BrokerageStocks45[[#This Row],[Fixed Return Average Annual Balance]]*annual_stock_market_return</f>
        <v>31963.181639137463</v>
      </c>
      <c r="AN32" s="160">
        <f>BrokerageStocks45[[#This Row],[Fixed Return BOY Balance ($)]]+BrokerageStocks45[[#This Row],[Contributions ($)]]+BrokerageStocks45[[#This Row],[Fixed Average Return ($)]]</f>
        <v>433605.2826366541</v>
      </c>
    </row>
    <row r="33" spans="2:40" x14ac:dyDescent="0.25">
      <c r="K33">
        <v>11</v>
      </c>
      <c r="L33">
        <f t="shared" si="1"/>
        <v>2033</v>
      </c>
      <c r="M33" s="198">
        <f>IF(Table53[[#This Row],[Calendar Year]]&gt;=$C$8,Table53[[#This Row],[Calendar Year]],NA())</f>
        <v>2033</v>
      </c>
      <c r="N33" s="198">
        <f>IF((Table53[[#This Row],[Calendar Year]]&gt;=$C$8)*(Table53[[#This Row],[Calendar Year]]&lt;=$C$10),Table53[[#This Row],[Calendar Year]],NA())</f>
        <v>2033</v>
      </c>
      <c r="O33" s="214">
        <f ca="1">IF((Table53[[#This Row],[Year (Range)]]&gt;=$C$8)*(Table53[[#This Row],[Year (Range)]]&lt;=$C$10),BrokerageStocks4546[[#This Row],[Buy: Simulated EOY Investment Balance ($)]],NA())</f>
        <v>0</v>
      </c>
      <c r="P33" s="214">
        <f ca="1">IF((Table53[[#This Row],[Year (Range)]]&gt;=$C$8)*(Table53[[#This Row],[Year (Range)]]&lt;=$C$10),BrokerageStocks45[[#This Row],[Rent: Simulated EOY Investment Balance ($)]],NA())</f>
        <v>363247.93918858422</v>
      </c>
      <c r="Q33" s="214">
        <f>IF((Table53[[#This Row],[Year (Range)]]&gt;=$C$8)*(Table53[[#This Row],[Year (Range)]]&lt;=$C$10),BrokerageStocks4546[[#This Row],[Buy: Fixed Average Return EOY Investment Balance ($)]],NA())</f>
        <v>0</v>
      </c>
      <c r="R33" s="214">
        <f>IF((Table53[[#This Row],[Year (Range)]]&gt;=$C$8)*(Table53[[#This Row],[Year (Range)]]&lt;=$C$10),BrokerageStocks45[[#This Row],[Rent: Fixed Average Return EOY Investment Balance ($)]],NA())</f>
        <v>471082.88474838994</v>
      </c>
      <c r="S33" s="224">
        <f t="shared" ca="1" si="0"/>
        <v>7.7688842608760286E-2</v>
      </c>
      <c r="T33" s="222">
        <f t="shared" si="2"/>
        <v>0.08</v>
      </c>
      <c r="V33" s="208">
        <f>'Difference in Expenses'!AF29</f>
        <v>0</v>
      </c>
      <c r="W33" s="164">
        <f t="shared" ca="1" si="3"/>
        <v>0</v>
      </c>
      <c r="X33" s="209">
        <f ca="1">BrokerageStocks4546[[#This Row],[Simulation BOY Balance ($)]]+(BrokerageStocks4546[[#This Row],[Contributions ($)]]/2)</f>
        <v>0</v>
      </c>
      <c r="Y33" s="160">
        <f ca="1">BrokerageStocks4546[[#This Row],[Simulation Average Annual Balance ($)]]*Table53[[#This Row],[Simulated Return (%)]]</f>
        <v>0</v>
      </c>
      <c r="Z33" s="160">
        <f ca="1">BrokerageStocks4546[[#This Row],[Simulation BOY Balance ($)]]+BrokerageStocks4546[[#This Row],[Contributions ($)]]+BrokerageStocks4546[[#This Row],[Simulated Return ($)]]</f>
        <v>0</v>
      </c>
      <c r="AA33" s="160">
        <f t="shared" si="5"/>
        <v>0</v>
      </c>
      <c r="AB33" s="160">
        <f>BrokerageStocks4546[[#This Row],[Fixed Return BOY Balance ($)]]+BrokerageStocks4546[[#This Row],[Contributions ($)]]</f>
        <v>0</v>
      </c>
      <c r="AC33" s="160">
        <f>BrokerageStocks4546[[#This Row],[Fixed Return Average Balance ($)]]*annual_stock_market_return</f>
        <v>0</v>
      </c>
      <c r="AD33" s="160">
        <f>BrokerageStocks4546[[#This Row],[Fixed Return BOY Balance ($)]]+BrokerageStocks4546[[#This Row],[Contributions ($)]]+BrokerageStocks4546[[#This Row],[Fixed Average Return ($)]]</f>
        <v>0</v>
      </c>
      <c r="AF33" s="208">
        <f>'Difference in Expenses'!AG29</f>
        <v>2681.9033661572248</v>
      </c>
      <c r="AG33" s="164">
        <f t="shared" ca="1" si="4"/>
        <v>334476.74744929594</v>
      </c>
      <c r="AH33" s="209">
        <f ca="1">BrokerageStocks45[[#This Row],[Simulation BOY Balance ($)]]+(BrokerageStocks45[[#This Row],[Contributions ($)]]/2)</f>
        <v>335817.69913237455</v>
      </c>
      <c r="AI33" s="160">
        <f ca="1">BrokerageStocks45[[#This Row],[Simulation Average Annual Balance ($)]]*Table53[[#This Row],[Simulated Return (%)]]</f>
        <v>26089.288373131061</v>
      </c>
      <c r="AJ33" s="160">
        <f ca="1">BrokerageStocks45[[#This Row],[Simulation BOY Balance ($)]]+BrokerageStocks45[[#This Row],[Contributions ($)]]+BrokerageStocks45[[#This Row],[Simulated Return ($)]]</f>
        <v>363247.93918858422</v>
      </c>
      <c r="AK33" s="164">
        <f t="shared" si="6"/>
        <v>433605.2826366541</v>
      </c>
      <c r="AL33" s="209">
        <f>BrokerageStocks45[[#This Row],[Fixed Return BOY Balance ($)]]+(BrokerageStocks45[[#This Row],[Contributions ($)]]/2)</f>
        <v>434946.2343197327</v>
      </c>
      <c r="AM33" s="160">
        <f>BrokerageStocks45[[#This Row],[Fixed Return Average Annual Balance]]*annual_stock_market_return</f>
        <v>34795.698745578615</v>
      </c>
      <c r="AN33" s="160">
        <f>BrokerageStocks45[[#This Row],[Fixed Return BOY Balance ($)]]+BrokerageStocks45[[#This Row],[Contributions ($)]]+BrokerageStocks45[[#This Row],[Fixed Average Return ($)]]</f>
        <v>471082.88474838994</v>
      </c>
    </row>
    <row r="34" spans="2:40" x14ac:dyDescent="0.25">
      <c r="K34">
        <v>12</v>
      </c>
      <c r="L34">
        <f t="shared" si="1"/>
        <v>2034</v>
      </c>
      <c r="M34" s="198">
        <f>IF(Table53[[#This Row],[Calendar Year]]&gt;=$C$8,Table53[[#This Row],[Calendar Year]],NA())</f>
        <v>2034</v>
      </c>
      <c r="N34" s="198">
        <f>IF((Table53[[#This Row],[Calendar Year]]&gt;=$C$8)*(Table53[[#This Row],[Calendar Year]]&lt;=$C$10),Table53[[#This Row],[Calendar Year]],NA())</f>
        <v>2034</v>
      </c>
      <c r="O34" s="214">
        <f ca="1">IF((Table53[[#This Row],[Year (Range)]]&gt;=$C$8)*(Table53[[#This Row],[Year (Range)]]&lt;=$C$10),BrokerageStocks4546[[#This Row],[Buy: Simulated EOY Investment Balance ($)]],NA())</f>
        <v>0</v>
      </c>
      <c r="P34" s="214">
        <f ca="1">IF((Table53[[#This Row],[Year (Range)]]&gt;=$C$8)*(Table53[[#This Row],[Year (Range)]]&lt;=$C$10),BrokerageStocks45[[#This Row],[Rent: Simulated EOY Investment Balance ($)]],NA())</f>
        <v>504635.42969370179</v>
      </c>
      <c r="Q34" s="214">
        <f>IF((Table53[[#This Row],[Year (Range)]]&gt;=$C$8)*(Table53[[#This Row],[Year (Range)]]&lt;=$C$10),BrokerageStocks4546[[#This Row],[Buy: Fixed Average Return EOY Investment Balance ($)]],NA())</f>
        <v>0</v>
      </c>
      <c r="R34" s="214">
        <f>IF((Table53[[#This Row],[Year (Range)]]&gt;=$C$8)*(Table53[[#This Row],[Year (Range)]]&lt;=$C$10),BrokerageStocks45[[#This Row],[Rent: Fixed Average Return EOY Investment Balance ($)]],NA())</f>
        <v>509905.34889550292</v>
      </c>
      <c r="S34" s="224">
        <f t="shared" ca="1" si="0"/>
        <v>0.38564500253712025</v>
      </c>
      <c r="T34" s="222">
        <f t="shared" si="2"/>
        <v>0.08</v>
      </c>
      <c r="V34" s="208">
        <f>'Difference in Expenses'!AF30</f>
        <v>0</v>
      </c>
      <c r="W34" s="164">
        <f t="shared" ca="1" si="3"/>
        <v>0</v>
      </c>
      <c r="X34" s="209">
        <f ca="1">BrokerageStocks4546[[#This Row],[Simulation BOY Balance ($)]]+(BrokerageStocks4546[[#This Row],[Contributions ($)]]/2)</f>
        <v>0</v>
      </c>
      <c r="Y34" s="160">
        <f ca="1">BrokerageStocks4546[[#This Row],[Simulation Average Annual Balance ($)]]*Table53[[#This Row],[Simulated Return (%)]]</f>
        <v>0</v>
      </c>
      <c r="Z34" s="160">
        <f ca="1">BrokerageStocks4546[[#This Row],[Simulation BOY Balance ($)]]+BrokerageStocks4546[[#This Row],[Contributions ($)]]+BrokerageStocks4546[[#This Row],[Simulated Return ($)]]</f>
        <v>0</v>
      </c>
      <c r="AA34" s="160">
        <f t="shared" si="5"/>
        <v>0</v>
      </c>
      <c r="AB34" s="160">
        <f>BrokerageStocks4546[[#This Row],[Fixed Return BOY Balance ($)]]+BrokerageStocks4546[[#This Row],[Contributions ($)]]</f>
        <v>0</v>
      </c>
      <c r="AC34" s="160">
        <f>BrokerageStocks4546[[#This Row],[Fixed Return Average Balance ($)]]*annual_stock_market_return</f>
        <v>0</v>
      </c>
      <c r="AD34" s="160">
        <f>BrokerageStocks4546[[#This Row],[Fixed Return BOY Balance ($)]]+BrokerageStocks4546[[#This Row],[Contributions ($)]]+BrokerageStocks4546[[#This Row],[Fixed Average Return ($)]]</f>
        <v>0</v>
      </c>
      <c r="AF34" s="208">
        <f>'Difference in Expenses'!AG30</f>
        <v>1092.1474685016801</v>
      </c>
      <c r="AG34" s="164">
        <f t="shared" ca="1" si="4"/>
        <v>363247.93918858422</v>
      </c>
      <c r="AH34" s="209">
        <f ca="1">BrokerageStocks45[[#This Row],[Simulation BOY Balance ($)]]+(BrokerageStocks45[[#This Row],[Contributions ($)]]/2)</f>
        <v>363794.01292283507</v>
      </c>
      <c r="AI34" s="160">
        <f ca="1">BrokerageStocks45[[#This Row],[Simulation Average Annual Balance ($)]]*Table53[[#This Row],[Simulated Return (%)]]</f>
        <v>140295.3430366159</v>
      </c>
      <c r="AJ34" s="160">
        <f ca="1">BrokerageStocks45[[#This Row],[Simulation BOY Balance ($)]]+BrokerageStocks45[[#This Row],[Contributions ($)]]+BrokerageStocks45[[#This Row],[Simulated Return ($)]]</f>
        <v>504635.42969370179</v>
      </c>
      <c r="AK34" s="164">
        <f t="shared" si="6"/>
        <v>471082.88474838994</v>
      </c>
      <c r="AL34" s="209">
        <f>BrokerageStocks45[[#This Row],[Fixed Return BOY Balance ($)]]+(BrokerageStocks45[[#This Row],[Contributions ($)]]/2)</f>
        <v>471628.9584826408</v>
      </c>
      <c r="AM34" s="160">
        <f>BrokerageStocks45[[#This Row],[Fixed Return Average Annual Balance]]*annual_stock_market_return</f>
        <v>37730.316678611263</v>
      </c>
      <c r="AN34" s="160">
        <f>BrokerageStocks45[[#This Row],[Fixed Return BOY Balance ($)]]+BrokerageStocks45[[#This Row],[Contributions ($)]]+BrokerageStocks45[[#This Row],[Fixed Average Return ($)]]</f>
        <v>509905.34889550292</v>
      </c>
    </row>
    <row r="35" spans="2:40" x14ac:dyDescent="0.25">
      <c r="K35">
        <v>13</v>
      </c>
      <c r="L35">
        <f t="shared" si="1"/>
        <v>2035</v>
      </c>
      <c r="M35" s="198">
        <f>IF(Table53[[#This Row],[Calendar Year]]&gt;=$C$8,Table53[[#This Row],[Calendar Year]],NA())</f>
        <v>2035</v>
      </c>
      <c r="N35" s="198">
        <f>IF((Table53[[#This Row],[Calendar Year]]&gt;=$C$8)*(Table53[[#This Row],[Calendar Year]]&lt;=$C$10),Table53[[#This Row],[Calendar Year]],NA())</f>
        <v>2035</v>
      </c>
      <c r="O35" s="214">
        <f ca="1">IF((Table53[[#This Row],[Year (Range)]]&gt;=$C$8)*(Table53[[#This Row],[Year (Range)]]&lt;=$C$10),BrokerageStocks4546[[#This Row],[Buy: Simulated EOY Investment Balance ($)]],NA())</f>
        <v>622.39754734715916</v>
      </c>
      <c r="P35" s="214">
        <f ca="1">IF((Table53[[#This Row],[Year (Range)]]&gt;=$C$8)*(Table53[[#This Row],[Year (Range)]]&lt;=$C$10),BrokerageStocks45[[#This Row],[Rent: Simulated EOY Investment Balance ($)]],NA())</f>
        <v>602328.0112083446</v>
      </c>
      <c r="Q35" s="214">
        <f>IF((Table53[[#This Row],[Year (Range)]]&gt;=$C$8)*(Table53[[#This Row],[Year (Range)]]&lt;=$C$10),BrokerageStocks4546[[#This Row],[Buy: Fixed Average Return EOY Investment Balance ($)]],NA())</f>
        <v>612.86678405402404</v>
      </c>
      <c r="R35" s="214">
        <f>IF((Table53[[#This Row],[Year (Range)]]&gt;=$C$8)*(Table53[[#This Row],[Year (Range)]]&lt;=$C$10),BrokerageStocks45[[#This Row],[Rent: Fixed Average Return EOY Investment Balance ($)]],NA())</f>
        <v>550697.77680714312</v>
      </c>
      <c r="S35" s="224">
        <f t="shared" ca="1" si="0"/>
        <v>0.19359041352672998</v>
      </c>
      <c r="T35" s="222">
        <f t="shared" si="2"/>
        <v>0.08</v>
      </c>
      <c r="V35" s="208">
        <f>'Difference in Expenses'!AF31</f>
        <v>567.46924449446669</v>
      </c>
      <c r="W35" s="164">
        <f t="shared" ca="1" si="3"/>
        <v>0</v>
      </c>
      <c r="X35" s="209">
        <f ca="1">BrokerageStocks4546[[#This Row],[Simulation BOY Balance ($)]]+(BrokerageStocks4546[[#This Row],[Contributions ($)]]/2)</f>
        <v>283.73462224723335</v>
      </c>
      <c r="Y35" s="160">
        <f ca="1">BrokerageStocks4546[[#This Row],[Simulation Average Annual Balance ($)]]*Table53[[#This Row],[Simulated Return (%)]]</f>
        <v>54.928302852692426</v>
      </c>
      <c r="Z35" s="160">
        <f ca="1">BrokerageStocks4546[[#This Row],[Simulation BOY Balance ($)]]+BrokerageStocks4546[[#This Row],[Contributions ($)]]+BrokerageStocks4546[[#This Row],[Simulated Return ($)]]</f>
        <v>622.39754734715916</v>
      </c>
      <c r="AA35" s="160">
        <f t="shared" si="5"/>
        <v>0</v>
      </c>
      <c r="AB35" s="160">
        <f>BrokerageStocks4546[[#This Row],[Fixed Return BOY Balance ($)]]+BrokerageStocks4546[[#This Row],[Contributions ($)]]</f>
        <v>567.46924449446669</v>
      </c>
      <c r="AC35" s="160">
        <f>BrokerageStocks4546[[#This Row],[Fixed Return Average Balance ($)]]*annual_stock_market_return</f>
        <v>45.397539559557337</v>
      </c>
      <c r="AD35" s="160">
        <f>BrokerageStocks4546[[#This Row],[Fixed Return BOY Balance ($)]]+BrokerageStocks4546[[#This Row],[Contributions ($)]]+BrokerageStocks4546[[#This Row],[Fixed Average Return ($)]]</f>
        <v>612.86678405402404</v>
      </c>
      <c r="AF35" s="208">
        <v>0</v>
      </c>
      <c r="AG35" s="164">
        <f t="shared" ca="1" si="4"/>
        <v>504635.42969370179</v>
      </c>
      <c r="AH35" s="209">
        <f ca="1">BrokerageStocks45[[#This Row],[Simulation BOY Balance ($)]]+(BrokerageStocks45[[#This Row],[Contributions ($)]]/2)</f>
        <v>504635.42969370179</v>
      </c>
      <c r="AI35" s="160">
        <f ca="1">BrokerageStocks45[[#This Row],[Simulation Average Annual Balance ($)]]*Table53[[#This Row],[Simulated Return (%)]]</f>
        <v>97692.581514642807</v>
      </c>
      <c r="AJ35" s="160">
        <f ca="1">BrokerageStocks45[[#This Row],[Simulation BOY Balance ($)]]+BrokerageStocks45[[#This Row],[Contributions ($)]]+BrokerageStocks45[[#This Row],[Simulated Return ($)]]</f>
        <v>602328.0112083446</v>
      </c>
      <c r="AK35" s="164">
        <f t="shared" si="6"/>
        <v>509905.34889550292</v>
      </c>
      <c r="AL35" s="209">
        <f>BrokerageStocks45[[#This Row],[Fixed Return BOY Balance ($)]]+(BrokerageStocks45[[#This Row],[Contributions ($)]]/2)</f>
        <v>509905.34889550292</v>
      </c>
      <c r="AM35" s="160">
        <f>BrokerageStocks45[[#This Row],[Fixed Return Average Annual Balance]]*annual_stock_market_return</f>
        <v>40792.427911640232</v>
      </c>
      <c r="AN35" s="160">
        <f>BrokerageStocks45[[#This Row],[Fixed Return BOY Balance ($)]]+BrokerageStocks45[[#This Row],[Contributions ($)]]+BrokerageStocks45[[#This Row],[Fixed Average Return ($)]]</f>
        <v>550697.77680714312</v>
      </c>
    </row>
    <row r="36" spans="2:40" x14ac:dyDescent="0.25">
      <c r="K36">
        <v>14</v>
      </c>
      <c r="L36">
        <f t="shared" si="1"/>
        <v>2036</v>
      </c>
      <c r="M36" s="198">
        <f>IF(Table53[[#This Row],[Calendar Year]]&gt;=$C$8,Table53[[#This Row],[Calendar Year]],NA())</f>
        <v>2036</v>
      </c>
      <c r="N36" s="198">
        <f>IF((Table53[[#This Row],[Calendar Year]]&gt;=$C$8)*(Table53[[#This Row],[Calendar Year]]&lt;=$C$10),Table53[[#This Row],[Calendar Year]],NA())</f>
        <v>2036</v>
      </c>
      <c r="O36" s="214">
        <f ca="1">IF((Table53[[#This Row],[Year (Range)]]&gt;=$C$8)*(Table53[[#This Row],[Year (Range)]]&lt;=$C$10),BrokerageStocks4546[[#This Row],[Buy: Simulated EOY Investment Balance ($)]],NA())</f>
        <v>2958.2817054433767</v>
      </c>
      <c r="P36" s="214">
        <f ca="1">IF((Table53[[#This Row],[Year (Range)]]&gt;=$C$8)*(Table53[[#This Row],[Year (Range)]]&lt;=$C$10),BrokerageStocks45[[#This Row],[Rent: Simulated EOY Investment Balance ($)]],NA())</f>
        <v>614547.07360623369</v>
      </c>
      <c r="Q36" s="214">
        <f>IF((Table53[[#This Row],[Year (Range)]]&gt;=$C$8)*(Table53[[#This Row],[Year (Range)]]&lt;=$C$10),BrokerageStocks4546[[#This Row],[Buy: Fixed Average Return EOY Investment Balance ($)]],NA())</f>
        <v>3145.8197954324369</v>
      </c>
      <c r="R36" s="214">
        <f>IF((Table53[[#This Row],[Year (Range)]]&gt;=$C$8)*(Table53[[#This Row],[Year (Range)]]&lt;=$C$10),BrokerageStocks45[[#This Row],[Rent: Fixed Average Return EOY Investment Balance ($)]],NA())</f>
        <v>594753.59895171458</v>
      </c>
      <c r="S36" s="224">
        <f t="shared" ca="1" si="0"/>
        <v>2.0286392414950317E-2</v>
      </c>
      <c r="T36" s="222">
        <f t="shared" si="2"/>
        <v>0.08</v>
      </c>
      <c r="V36" s="208">
        <f>'Difference in Expenses'!AF32</f>
        <v>2299.9293228278621</v>
      </c>
      <c r="W36" s="164">
        <f t="shared" ca="1" si="3"/>
        <v>622.39754734715916</v>
      </c>
      <c r="X36" s="209">
        <f ca="1">BrokerageStocks4546[[#This Row],[Simulation BOY Balance ($)]]+(BrokerageStocks4546[[#This Row],[Contributions ($)]]/2)</f>
        <v>1772.3622087610902</v>
      </c>
      <c r="Y36" s="160">
        <f ca="1">BrokerageStocks4546[[#This Row],[Simulation Average Annual Balance ($)]]*Table53[[#This Row],[Simulated Return (%)]]</f>
        <v>35.954835268355573</v>
      </c>
      <c r="Z36" s="160">
        <f ca="1">BrokerageStocks4546[[#This Row],[Simulation BOY Balance ($)]]+BrokerageStocks4546[[#This Row],[Contributions ($)]]+BrokerageStocks4546[[#This Row],[Simulated Return ($)]]</f>
        <v>2958.2817054433767</v>
      </c>
      <c r="AA36" s="160">
        <f t="shared" si="5"/>
        <v>612.86678405402404</v>
      </c>
      <c r="AB36" s="160">
        <f>BrokerageStocks4546[[#This Row],[Fixed Return BOY Balance ($)]]+BrokerageStocks4546[[#This Row],[Contributions ($)]]</f>
        <v>2912.7961068818859</v>
      </c>
      <c r="AC36" s="160">
        <f>BrokerageStocks4546[[#This Row],[Fixed Return Average Balance ($)]]*annual_stock_market_return</f>
        <v>233.02368855055087</v>
      </c>
      <c r="AD36" s="160">
        <f>BrokerageStocks4546[[#This Row],[Fixed Return BOY Balance ($)]]+BrokerageStocks4546[[#This Row],[Contributions ($)]]+BrokerageStocks4546[[#This Row],[Fixed Average Return ($)]]</f>
        <v>3145.8197954324369</v>
      </c>
      <c r="AF36" s="208">
        <v>0</v>
      </c>
      <c r="AG36" s="164">
        <f t="shared" ca="1" si="4"/>
        <v>602328.0112083446</v>
      </c>
      <c r="AH36" s="209">
        <f ca="1">BrokerageStocks45[[#This Row],[Simulation BOY Balance ($)]]+(BrokerageStocks45[[#This Row],[Contributions ($)]]/2)</f>
        <v>602328.0112083446</v>
      </c>
      <c r="AI36" s="160">
        <f ca="1">BrokerageStocks45[[#This Row],[Simulation Average Annual Balance ($)]]*Table53[[#This Row],[Simulated Return (%)]]</f>
        <v>12219.062397889073</v>
      </c>
      <c r="AJ36" s="160">
        <f ca="1">BrokerageStocks45[[#This Row],[Simulation BOY Balance ($)]]+BrokerageStocks45[[#This Row],[Contributions ($)]]+BrokerageStocks45[[#This Row],[Simulated Return ($)]]</f>
        <v>614547.07360623369</v>
      </c>
      <c r="AK36" s="164">
        <f t="shared" si="6"/>
        <v>550697.77680714312</v>
      </c>
      <c r="AL36" s="209">
        <f>BrokerageStocks45[[#This Row],[Fixed Return BOY Balance ($)]]+(BrokerageStocks45[[#This Row],[Contributions ($)]]/2)</f>
        <v>550697.77680714312</v>
      </c>
      <c r="AM36" s="160">
        <f>BrokerageStocks45[[#This Row],[Fixed Return Average Annual Balance]]*annual_stock_market_return</f>
        <v>44055.822144571452</v>
      </c>
      <c r="AN36" s="160">
        <f>BrokerageStocks45[[#This Row],[Fixed Return BOY Balance ($)]]+BrokerageStocks45[[#This Row],[Contributions ($)]]+BrokerageStocks45[[#This Row],[Fixed Average Return ($)]]</f>
        <v>594753.59895171458</v>
      </c>
    </row>
    <row r="37" spans="2:40" x14ac:dyDescent="0.25">
      <c r="K37">
        <v>15</v>
      </c>
      <c r="L37">
        <f t="shared" si="1"/>
        <v>2037</v>
      </c>
      <c r="M37" s="198">
        <f>IF(Table53[[#This Row],[Calendar Year]]&gt;=$C$8,Table53[[#This Row],[Calendar Year]],NA())</f>
        <v>2037</v>
      </c>
      <c r="N37" s="198">
        <f>IF((Table53[[#This Row],[Calendar Year]]&gt;=$C$8)*(Table53[[#This Row],[Calendar Year]]&lt;=$C$10),Table53[[#This Row],[Calendar Year]],NA())</f>
        <v>2037</v>
      </c>
      <c r="O37" s="214">
        <f ca="1">IF((Table53[[#This Row],[Year (Range)]]&gt;=$C$8)*(Table53[[#This Row],[Year (Range)]]&lt;=$C$10),BrokerageStocks4546[[#This Row],[Buy: Simulated EOY Investment Balance ($)]],NA())</f>
        <v>5476.1012012831652</v>
      </c>
      <c r="P37" s="214">
        <f ca="1">IF((Table53[[#This Row],[Year (Range)]]&gt;=$C$8)*(Table53[[#This Row],[Year (Range)]]&lt;=$C$10),BrokerageStocks45[[#This Row],[Rent: Simulated EOY Investment Balance ($)]],NA())</f>
        <v>419542.72957331245</v>
      </c>
      <c r="Q37" s="214">
        <f>IF((Table53[[#This Row],[Year (Range)]]&gt;=$C$8)*(Table53[[#This Row],[Year (Range)]]&lt;=$C$10),BrokerageStocks4546[[#This Row],[Buy: Fixed Average Return EOY Investment Balance ($)]],NA())</f>
        <v>7834.4928620448909</v>
      </c>
      <c r="R37" s="214">
        <f>IF((Table53[[#This Row],[Year (Range)]]&gt;=$C$8)*(Table53[[#This Row],[Year (Range)]]&lt;=$C$10),BrokerageStocks45[[#This Row],[Rent: Fixed Average Return EOY Investment Balance ($)]],NA())</f>
        <v>642333.88686785172</v>
      </c>
      <c r="S37" s="224">
        <f t="shared" ca="1" si="0"/>
        <v>-0.31731392501572436</v>
      </c>
      <c r="T37" s="222">
        <f t="shared" si="2"/>
        <v>0.08</v>
      </c>
      <c r="V37" s="208">
        <f>'Difference in Expenses'!AF33</f>
        <v>4108.3402620165361</v>
      </c>
      <c r="W37" s="164">
        <f t="shared" ca="1" si="3"/>
        <v>2958.2817054433767</v>
      </c>
      <c r="X37" s="209">
        <f ca="1">BrokerageStocks4546[[#This Row],[Simulation BOY Balance ($)]]+(BrokerageStocks4546[[#This Row],[Contributions ($)]]/2)</f>
        <v>5012.4518364516443</v>
      </c>
      <c r="Y37" s="160">
        <f ca="1">BrokerageStocks4546[[#This Row],[Simulation Average Annual Balance ($)]]*Table53[[#This Row],[Simulated Return (%)]]</f>
        <v>-1590.520766176747</v>
      </c>
      <c r="Z37" s="160">
        <f ca="1">BrokerageStocks4546[[#This Row],[Simulation BOY Balance ($)]]+BrokerageStocks4546[[#This Row],[Contributions ($)]]+BrokerageStocks4546[[#This Row],[Simulated Return ($)]]</f>
        <v>5476.1012012831652</v>
      </c>
      <c r="AA37" s="160">
        <f>AD36</f>
        <v>3145.8197954324369</v>
      </c>
      <c r="AB37" s="160">
        <f>BrokerageStocks4546[[#This Row],[Fixed Return BOY Balance ($)]]+BrokerageStocks4546[[#This Row],[Contributions ($)]]</f>
        <v>7254.160057448973</v>
      </c>
      <c r="AC37" s="160">
        <f>BrokerageStocks4546[[#This Row],[Fixed Return Average Balance ($)]]*annual_stock_market_return</f>
        <v>580.33280459591788</v>
      </c>
      <c r="AD37" s="160">
        <f>BrokerageStocks4546[[#This Row],[Fixed Return BOY Balance ($)]]+BrokerageStocks4546[[#This Row],[Contributions ($)]]+BrokerageStocks4546[[#This Row],[Fixed Average Return ($)]]</f>
        <v>7834.4928620448909</v>
      </c>
      <c r="AF37" s="208">
        <v>0</v>
      </c>
      <c r="AG37" s="164">
        <f t="shared" ca="1" si="4"/>
        <v>614547.07360623369</v>
      </c>
      <c r="AH37" s="209">
        <f ca="1">BrokerageStocks45[[#This Row],[Simulation BOY Balance ($)]]+(BrokerageStocks45[[#This Row],[Contributions ($)]]/2)</f>
        <v>614547.07360623369</v>
      </c>
      <c r="AI37" s="160">
        <f ca="1">BrokerageStocks45[[#This Row],[Simulation Average Annual Balance ($)]]*Table53[[#This Row],[Simulated Return (%)]]</f>
        <v>-195004.34403292128</v>
      </c>
      <c r="AJ37" s="160">
        <f ca="1">BrokerageStocks45[[#This Row],[Simulation BOY Balance ($)]]+BrokerageStocks45[[#This Row],[Contributions ($)]]+BrokerageStocks45[[#This Row],[Simulated Return ($)]]</f>
        <v>419542.72957331245</v>
      </c>
      <c r="AK37" s="164">
        <f t="shared" si="6"/>
        <v>594753.59895171458</v>
      </c>
      <c r="AL37" s="209">
        <f>BrokerageStocks45[[#This Row],[Fixed Return BOY Balance ($)]]+(BrokerageStocks45[[#This Row],[Contributions ($)]]/2)</f>
        <v>594753.59895171458</v>
      </c>
      <c r="AM37" s="160">
        <f>BrokerageStocks45[[#This Row],[Fixed Return Average Annual Balance]]*annual_stock_market_return</f>
        <v>47580.287916137167</v>
      </c>
      <c r="AN37" s="160">
        <f>BrokerageStocks45[[#This Row],[Fixed Return BOY Balance ($)]]+BrokerageStocks45[[#This Row],[Contributions ($)]]+BrokerageStocks45[[#This Row],[Fixed Average Return ($)]]</f>
        <v>642333.88686785172</v>
      </c>
    </row>
    <row r="38" spans="2:40" x14ac:dyDescent="0.25">
      <c r="K38">
        <v>16</v>
      </c>
      <c r="L38">
        <f t="shared" si="1"/>
        <v>2038</v>
      </c>
      <c r="M38" s="198">
        <f>IF(Table53[[#This Row],[Calendar Year]]&gt;=$C$8,Table53[[#This Row],[Calendar Year]],NA())</f>
        <v>2038</v>
      </c>
      <c r="N38" s="198">
        <f>IF((Table53[[#This Row],[Calendar Year]]&gt;=$C$8)*(Table53[[#This Row],[Calendar Year]]&lt;=$C$10),Table53[[#This Row],[Calendar Year]],NA())</f>
        <v>2038</v>
      </c>
      <c r="O38" s="214">
        <f ca="1">IF((Table53[[#This Row],[Year (Range)]]&gt;=$C$8)*(Table53[[#This Row],[Year (Range)]]&lt;=$C$10),BrokerageStocks4546[[#This Row],[Buy: Simulated EOY Investment Balance ($)]],NA())</f>
        <v>13002.52364571086</v>
      </c>
      <c r="P38" s="214">
        <f ca="1">IF((Table53[[#This Row],[Year (Range)]]&gt;=$C$8)*(Table53[[#This Row],[Year (Range)]]&lt;=$C$10),BrokerageStocks45[[#This Row],[Rent: Simulated EOY Investment Balance ($)]],NA())</f>
        <v>495315.39160263911</v>
      </c>
      <c r="Q38" s="214">
        <f>IF((Table53[[#This Row],[Year (Range)]]&gt;=$C$8)*(Table53[[#This Row],[Year (Range)]]&lt;=$C$10),BrokerageStocks4546[[#This Row],[Buy: Fixed Average Return EOY Investment Balance ($)]],NA())</f>
        <v>14936.867134852946</v>
      </c>
      <c r="R38" s="214">
        <f>IF((Table53[[#This Row],[Year (Range)]]&gt;=$C$8)*(Table53[[#This Row],[Year (Range)]]&lt;=$C$10),BrokerageStocks45[[#This Row],[Rent: Fixed Average Return EOY Investment Balance ($)]],NA())</f>
        <v>693720.59781727986</v>
      </c>
      <c r="S38" s="224">
        <f t="shared" ca="1" si="0"/>
        <v>0.18060773477445244</v>
      </c>
      <c r="T38" s="222">
        <f t="shared" si="2"/>
        <v>0.08</v>
      </c>
      <c r="V38" s="208">
        <f>'Difference in Expenses'!AF34</f>
        <v>5995.9396702263548</v>
      </c>
      <c r="W38" s="164">
        <f t="shared" ca="1" si="3"/>
        <v>5476.1012012831652</v>
      </c>
      <c r="X38" s="209">
        <f ca="1">BrokerageStocks4546[[#This Row],[Simulation BOY Balance ($)]]+(BrokerageStocks4546[[#This Row],[Contributions ($)]]/2)</f>
        <v>8474.0710363963426</v>
      </c>
      <c r="Y38" s="160">
        <f ca="1">BrokerageStocks4546[[#This Row],[Simulation Average Annual Balance ($)]]*Table53[[#This Row],[Simulated Return (%)]]</f>
        <v>1530.4827742013399</v>
      </c>
      <c r="Z38" s="160">
        <f ca="1">BrokerageStocks4546[[#This Row],[Simulation BOY Balance ($)]]+BrokerageStocks4546[[#This Row],[Contributions ($)]]+BrokerageStocks4546[[#This Row],[Simulated Return ($)]]</f>
        <v>13002.52364571086</v>
      </c>
      <c r="AA38" s="160">
        <f t="shared" si="5"/>
        <v>7834.4928620448909</v>
      </c>
      <c r="AB38" s="160">
        <f>BrokerageStocks4546[[#This Row],[Fixed Return BOY Balance ($)]]+BrokerageStocks4546[[#This Row],[Contributions ($)]]</f>
        <v>13830.432532271247</v>
      </c>
      <c r="AC38" s="160">
        <f>BrokerageStocks4546[[#This Row],[Fixed Return Average Balance ($)]]*annual_stock_market_return</f>
        <v>1106.4346025816997</v>
      </c>
      <c r="AD38" s="160">
        <f>BrokerageStocks4546[[#This Row],[Fixed Return BOY Balance ($)]]+BrokerageStocks4546[[#This Row],[Contributions ($)]]+BrokerageStocks4546[[#This Row],[Fixed Average Return ($)]]</f>
        <v>14936.867134852946</v>
      </c>
      <c r="AF38" s="208">
        <v>0</v>
      </c>
      <c r="AG38" s="164">
        <f t="shared" ca="1" si="4"/>
        <v>419542.72957331245</v>
      </c>
      <c r="AH38" s="209">
        <f ca="1">BrokerageStocks45[[#This Row],[Simulation BOY Balance ($)]]+(BrokerageStocks45[[#This Row],[Contributions ($)]]/2)</f>
        <v>419542.72957331245</v>
      </c>
      <c r="AI38" s="160">
        <f ca="1">BrokerageStocks45[[#This Row],[Simulation Average Annual Balance ($)]]*Table53[[#This Row],[Simulated Return (%)]]</f>
        <v>75772.662029326631</v>
      </c>
      <c r="AJ38" s="160">
        <f ca="1">BrokerageStocks45[[#This Row],[Simulation BOY Balance ($)]]+BrokerageStocks45[[#This Row],[Contributions ($)]]+BrokerageStocks45[[#This Row],[Simulated Return ($)]]</f>
        <v>495315.39160263911</v>
      </c>
      <c r="AK38" s="164">
        <f t="shared" si="6"/>
        <v>642333.88686785172</v>
      </c>
      <c r="AL38" s="209">
        <f>BrokerageStocks45[[#This Row],[Fixed Return BOY Balance ($)]]+(BrokerageStocks45[[#This Row],[Contributions ($)]]/2)</f>
        <v>642333.88686785172</v>
      </c>
      <c r="AM38" s="160">
        <f>BrokerageStocks45[[#This Row],[Fixed Return Average Annual Balance]]*annual_stock_market_return</f>
        <v>51386.710949428139</v>
      </c>
      <c r="AN38" s="160">
        <f>BrokerageStocks45[[#This Row],[Fixed Return BOY Balance ($)]]+BrokerageStocks45[[#This Row],[Contributions ($)]]+BrokerageStocks45[[#This Row],[Fixed Average Return ($)]]</f>
        <v>693720.59781727986</v>
      </c>
    </row>
    <row r="39" spans="2:40" x14ac:dyDescent="0.25">
      <c r="B39" s="58"/>
      <c r="K39">
        <v>17</v>
      </c>
      <c r="L39">
        <f t="shared" si="1"/>
        <v>2039</v>
      </c>
      <c r="M39" s="198">
        <f>IF(Table53[[#This Row],[Calendar Year]]&gt;=$C$8,Table53[[#This Row],[Calendar Year]],NA())</f>
        <v>2039</v>
      </c>
      <c r="N39" s="198">
        <f>IF((Table53[[#This Row],[Calendar Year]]&gt;=$C$8)*(Table53[[#This Row],[Calendar Year]]&lt;=$C$10),Table53[[#This Row],[Calendar Year]],NA())</f>
        <v>2039</v>
      </c>
      <c r="O39" s="214">
        <f ca="1">IF((Table53[[#This Row],[Year (Range)]]&gt;=$C$8)*(Table53[[#This Row],[Year (Range)]]&lt;=$C$10),BrokerageStocks4546[[#This Row],[Buy: Simulated EOY Investment Balance ($)]],NA())</f>
        <v>21254.719582846377</v>
      </c>
      <c r="P39" s="214">
        <f ca="1">IF((Table53[[#This Row],[Year (Range)]]&gt;=$C$8)*(Table53[[#This Row],[Year (Range)]]&lt;=$C$10),BrokerageStocks45[[#This Row],[Rent: Simulated EOY Investment Balance ($)]],NA())</f>
        <v>503658.20067374891</v>
      </c>
      <c r="Q39" s="214">
        <f>IF((Table53[[#This Row],[Year (Range)]]&gt;=$C$8)*(Table53[[#This Row],[Year (Range)]]&lt;=$C$10),BrokerageStocks4546[[#This Row],[Buy: Fixed Average Return EOY Investment Balance ($)]],NA())</f>
        <v>24735.205204575897</v>
      </c>
      <c r="R39" s="214">
        <f>IF((Table53[[#This Row],[Year (Range)]]&gt;=$C$8)*(Table53[[#This Row],[Year (Range)]]&lt;=$C$10),BrokerageStocks45[[#This Row],[Rent: Fixed Average Return EOY Investment Balance ($)]],NA())</f>
        <v>749218.24564266228</v>
      </c>
      <c r="S39" s="224">
        <f t="shared" ca="1" si="0"/>
        <v>1.6843427869495206E-2</v>
      </c>
      <c r="T39" s="222">
        <f t="shared" si="2"/>
        <v>0.08</v>
      </c>
      <c r="V39" s="208">
        <f>'Difference in Expenses'!AF35</f>
        <v>7966.1006471617729</v>
      </c>
      <c r="W39" s="164">
        <f t="shared" ca="1" si="3"/>
        <v>13002.52364571086</v>
      </c>
      <c r="X39" s="209">
        <f ca="1">BrokerageStocks4546[[#This Row],[Simulation BOY Balance ($)]]+(BrokerageStocks4546[[#This Row],[Contributions ($)]]/2)</f>
        <v>16985.573969291749</v>
      </c>
      <c r="Y39" s="160">
        <f ca="1">BrokerageStocks4546[[#This Row],[Simulation Average Annual Balance ($)]]*Table53[[#This Row],[Simulated Return (%)]]</f>
        <v>286.09528997374093</v>
      </c>
      <c r="Z39" s="160">
        <f ca="1">BrokerageStocks4546[[#This Row],[Simulation BOY Balance ($)]]+BrokerageStocks4546[[#This Row],[Contributions ($)]]+BrokerageStocks4546[[#This Row],[Simulated Return ($)]]</f>
        <v>21254.719582846377</v>
      </c>
      <c r="AA39" s="160">
        <f t="shared" si="5"/>
        <v>14936.867134852946</v>
      </c>
      <c r="AB39" s="160">
        <f>BrokerageStocks4546[[#This Row],[Fixed Return BOY Balance ($)]]+BrokerageStocks4546[[#This Row],[Contributions ($)]]</f>
        <v>22902.967782014719</v>
      </c>
      <c r="AC39" s="160">
        <f>BrokerageStocks4546[[#This Row],[Fixed Return Average Balance ($)]]*annual_stock_market_return</f>
        <v>1832.2374225611775</v>
      </c>
      <c r="AD39" s="160">
        <f>BrokerageStocks4546[[#This Row],[Fixed Return BOY Balance ($)]]+BrokerageStocks4546[[#This Row],[Contributions ($)]]+BrokerageStocks4546[[#This Row],[Fixed Average Return ($)]]</f>
        <v>24735.205204575897</v>
      </c>
      <c r="AF39" s="208">
        <v>0</v>
      </c>
      <c r="AG39" s="164">
        <f t="shared" ca="1" si="4"/>
        <v>495315.39160263911</v>
      </c>
      <c r="AH39" s="209">
        <f ca="1">BrokerageStocks45[[#This Row],[Simulation BOY Balance ($)]]+(BrokerageStocks45[[#This Row],[Contributions ($)]]/2)</f>
        <v>495315.39160263911</v>
      </c>
      <c r="AI39" s="160">
        <f ca="1">BrokerageStocks45[[#This Row],[Simulation Average Annual Balance ($)]]*Table53[[#This Row],[Simulated Return (%)]]</f>
        <v>8342.809071109823</v>
      </c>
      <c r="AJ39" s="160">
        <f ca="1">BrokerageStocks45[[#This Row],[Simulation BOY Balance ($)]]+BrokerageStocks45[[#This Row],[Contributions ($)]]+BrokerageStocks45[[#This Row],[Simulated Return ($)]]</f>
        <v>503658.20067374891</v>
      </c>
      <c r="AK39" s="164">
        <f t="shared" si="6"/>
        <v>693720.59781727986</v>
      </c>
      <c r="AL39" s="209">
        <f>BrokerageStocks45[[#This Row],[Fixed Return BOY Balance ($)]]+(BrokerageStocks45[[#This Row],[Contributions ($)]]/2)</f>
        <v>693720.59781727986</v>
      </c>
      <c r="AM39" s="160">
        <f>BrokerageStocks45[[#This Row],[Fixed Return Average Annual Balance]]*annual_stock_market_return</f>
        <v>55497.647825382388</v>
      </c>
      <c r="AN39" s="160">
        <f>BrokerageStocks45[[#This Row],[Fixed Return BOY Balance ($)]]+BrokerageStocks45[[#This Row],[Contributions ($)]]+BrokerageStocks45[[#This Row],[Fixed Average Return ($)]]</f>
        <v>749218.24564266228</v>
      </c>
    </row>
    <row r="40" spans="2:40" x14ac:dyDescent="0.25">
      <c r="K40">
        <v>18</v>
      </c>
      <c r="L40">
        <f t="shared" si="1"/>
        <v>2040</v>
      </c>
      <c r="M40" s="198">
        <f>IF(Table53[[#This Row],[Calendar Year]]&gt;=$C$8,Table53[[#This Row],[Calendar Year]],NA())</f>
        <v>2040</v>
      </c>
      <c r="N40" s="198">
        <f>IF((Table53[[#This Row],[Calendar Year]]&gt;=$C$8)*(Table53[[#This Row],[Calendar Year]]&lt;=$C$10),Table53[[#This Row],[Calendar Year]],NA())</f>
        <v>2040</v>
      </c>
      <c r="O40" s="214">
        <f ca="1">IF((Table53[[#This Row],[Year (Range)]]&gt;=$C$8)*(Table53[[#This Row],[Year (Range)]]&lt;=$C$10),BrokerageStocks4546[[#This Row],[Buy: Simulated EOY Investment Balance ($)]],NA())</f>
        <v>28482.894081805469</v>
      </c>
      <c r="P40" s="214">
        <f ca="1">IF((Table53[[#This Row],[Year (Range)]]&gt;=$C$8)*(Table53[[#This Row],[Year (Range)]]&lt;=$C$10),BrokerageStocks45[[#This Row],[Rent: Simulated EOY Investment Balance ($)]],NA())</f>
        <v>450079.08558614616</v>
      </c>
      <c r="Q40" s="214">
        <f>IF((Table53[[#This Row],[Year (Range)]]&gt;=$C$8)*(Table53[[#This Row],[Year (Range)]]&lt;=$C$10),BrokerageStocks4546[[#This Row],[Buy: Fixed Average Return EOY Investment Balance ($)]],NA())</f>
        <v>37538.145994953171</v>
      </c>
      <c r="R40" s="214">
        <f>IF((Table53[[#This Row],[Year (Range)]]&gt;=$C$8)*(Table53[[#This Row],[Year (Range)]]&lt;=$C$10),BrokerageStocks45[[#This Row],[Rent: Fixed Average Return EOY Investment Balance ($)]],NA())</f>
        <v>809155.70529407531</v>
      </c>
      <c r="S40" s="224">
        <f t="shared" ca="1" si="0"/>
        <v>-0.10637991204338455</v>
      </c>
      <c r="T40" s="222">
        <f t="shared" si="2"/>
        <v>0.08</v>
      </c>
      <c r="V40" s="208">
        <f>'Difference in Expenses'!AF36</f>
        <v>10022.337383343707</v>
      </c>
      <c r="W40" s="164">
        <f t="shared" ca="1" si="3"/>
        <v>21254.719582846377</v>
      </c>
      <c r="X40" s="209">
        <f ca="1">BrokerageStocks4546[[#This Row],[Simulation BOY Balance ($)]]+(BrokerageStocks4546[[#This Row],[Contributions ($)]]/2)</f>
        <v>26265.888274518231</v>
      </c>
      <c r="Y40" s="160">
        <f ca="1">BrokerageStocks4546[[#This Row],[Simulation Average Annual Balance ($)]]*Table53[[#This Row],[Simulated Return (%)]]</f>
        <v>-2794.1628843846152</v>
      </c>
      <c r="Z40" s="160">
        <f ca="1">BrokerageStocks4546[[#This Row],[Simulation BOY Balance ($)]]+BrokerageStocks4546[[#This Row],[Contributions ($)]]+BrokerageStocks4546[[#This Row],[Simulated Return ($)]]</f>
        <v>28482.894081805469</v>
      </c>
      <c r="AA40" s="160">
        <f t="shared" si="5"/>
        <v>24735.205204575897</v>
      </c>
      <c r="AB40" s="160">
        <f>BrokerageStocks4546[[#This Row],[Fixed Return BOY Balance ($)]]+BrokerageStocks4546[[#This Row],[Contributions ($)]]</f>
        <v>34757.542587919605</v>
      </c>
      <c r="AC40" s="160">
        <f>BrokerageStocks4546[[#This Row],[Fixed Return Average Balance ($)]]*annual_stock_market_return</f>
        <v>2780.6034070335686</v>
      </c>
      <c r="AD40" s="160">
        <f>BrokerageStocks4546[[#This Row],[Fixed Return BOY Balance ($)]]+BrokerageStocks4546[[#This Row],[Contributions ($)]]+BrokerageStocks4546[[#This Row],[Fixed Average Return ($)]]</f>
        <v>37538.145994953171</v>
      </c>
      <c r="AF40" s="208">
        <v>0</v>
      </c>
      <c r="AG40" s="164">
        <f t="shared" ca="1" si="4"/>
        <v>503658.20067374891</v>
      </c>
      <c r="AH40" s="209">
        <f ca="1">BrokerageStocks45[[#This Row],[Simulation BOY Balance ($)]]+(BrokerageStocks45[[#This Row],[Contributions ($)]]/2)</f>
        <v>503658.20067374891</v>
      </c>
      <c r="AI40" s="160">
        <f ca="1">BrokerageStocks45[[#This Row],[Simulation Average Annual Balance ($)]]*Table53[[#This Row],[Simulated Return (%)]]</f>
        <v>-53579.115087602739</v>
      </c>
      <c r="AJ40" s="160">
        <f ca="1">BrokerageStocks45[[#This Row],[Simulation BOY Balance ($)]]+BrokerageStocks45[[#This Row],[Contributions ($)]]+BrokerageStocks45[[#This Row],[Simulated Return ($)]]</f>
        <v>450079.08558614616</v>
      </c>
      <c r="AK40" s="164">
        <f t="shared" si="6"/>
        <v>749218.24564266228</v>
      </c>
      <c r="AL40" s="209">
        <f>BrokerageStocks45[[#This Row],[Fixed Return BOY Balance ($)]]+(BrokerageStocks45[[#This Row],[Contributions ($)]]/2)</f>
        <v>749218.24564266228</v>
      </c>
      <c r="AM40" s="160">
        <f>BrokerageStocks45[[#This Row],[Fixed Return Average Annual Balance]]*annual_stock_market_return</f>
        <v>59937.459651412981</v>
      </c>
      <c r="AN40" s="160">
        <f>BrokerageStocks45[[#This Row],[Fixed Return BOY Balance ($)]]+BrokerageStocks45[[#This Row],[Contributions ($)]]+BrokerageStocks45[[#This Row],[Fixed Average Return ($)]]</f>
        <v>809155.70529407531</v>
      </c>
    </row>
    <row r="41" spans="2:40" x14ac:dyDescent="0.25">
      <c r="K41">
        <v>19</v>
      </c>
      <c r="L41">
        <f t="shared" si="1"/>
        <v>2041</v>
      </c>
      <c r="M41" s="198">
        <f>IF(Table53[[#This Row],[Calendar Year]]&gt;=$C$8,Table53[[#This Row],[Calendar Year]],NA())</f>
        <v>2041</v>
      </c>
      <c r="N41" s="198">
        <f>IF((Table53[[#This Row],[Calendar Year]]&gt;=$C$8)*(Table53[[#This Row],[Calendar Year]]&lt;=$C$10),Table53[[#This Row],[Calendar Year]],NA())</f>
        <v>2041</v>
      </c>
      <c r="O41" s="214">
        <f ca="1">IF((Table53[[#This Row],[Year (Range)]]&gt;=$C$8)*(Table53[[#This Row],[Year (Range)]]&lt;=$C$10),BrokerageStocks4546[[#This Row],[Buy: Simulated EOY Investment Balance ($)]],NA())</f>
        <v>52253.967454229714</v>
      </c>
      <c r="P41" s="214">
        <f ca="1">IF((Table53[[#This Row],[Year (Range)]]&gt;=$C$8)*(Table53[[#This Row],[Year (Range)]]&lt;=$C$10),BrokerageStocks45[[#This Row],[Rent: Simulated EOY Investment Balance ($)]],NA())</f>
        <v>601152.45597635279</v>
      </c>
      <c r="Q41" s="214">
        <f>IF((Table53[[#This Row],[Year (Range)]]&gt;=$C$8)*(Table53[[#This Row],[Year (Range)]]&lt;=$C$10),BrokerageStocks4546[[#This Row],[Buy: Fixed Average Return EOY Investment Balance ($)]],NA())</f>
        <v>53682.973542396314</v>
      </c>
      <c r="R41" s="214">
        <f>IF((Table53[[#This Row],[Year (Range)]]&gt;=$C$8)*(Table53[[#This Row],[Year (Range)]]&lt;=$C$10),BrokerageStocks45[[#This Row],[Rent: Fixed Average Return EOY Investment Balance ($)]],NA())</f>
        <v>873888.16171760135</v>
      </c>
      <c r="S41" s="224">
        <f t="shared" ca="1" si="0"/>
        <v>0.33565961011821088</v>
      </c>
      <c r="T41" s="222">
        <f t="shared" si="2"/>
        <v>0.08</v>
      </c>
      <c r="V41" s="208">
        <f>'Difference in Expenses'!AF37</f>
        <v>12168.310988747122</v>
      </c>
      <c r="W41" s="164">
        <f t="shared" ca="1" si="3"/>
        <v>28482.894081805469</v>
      </c>
      <c r="X41" s="209">
        <f ca="1">BrokerageStocks4546[[#This Row],[Simulation BOY Balance ($)]]+(BrokerageStocks4546[[#This Row],[Contributions ($)]]/2)</f>
        <v>34567.04957617903</v>
      </c>
      <c r="Y41" s="160">
        <f ca="1">BrokerageStocks4546[[#This Row],[Simulation Average Annual Balance ($)]]*Table53[[#This Row],[Simulated Return (%)]]</f>
        <v>11602.76238367712</v>
      </c>
      <c r="Z41" s="160">
        <f ca="1">BrokerageStocks4546[[#This Row],[Simulation BOY Balance ($)]]+BrokerageStocks4546[[#This Row],[Contributions ($)]]+BrokerageStocks4546[[#This Row],[Simulated Return ($)]]</f>
        <v>52253.967454229714</v>
      </c>
      <c r="AA41" s="160">
        <f>AD40</f>
        <v>37538.145994953171</v>
      </c>
      <c r="AB41" s="160">
        <f>BrokerageStocks4546[[#This Row],[Fixed Return BOY Balance ($)]]+BrokerageStocks4546[[#This Row],[Contributions ($)]]</f>
        <v>49706.456983700293</v>
      </c>
      <c r="AC41" s="160">
        <f>BrokerageStocks4546[[#This Row],[Fixed Return Average Balance ($)]]*annual_stock_market_return</f>
        <v>3976.5165586960234</v>
      </c>
      <c r="AD41" s="160">
        <f>BrokerageStocks4546[[#This Row],[Fixed Return BOY Balance ($)]]+BrokerageStocks4546[[#This Row],[Contributions ($)]]+BrokerageStocks4546[[#This Row],[Fixed Average Return ($)]]</f>
        <v>53682.973542396314</v>
      </c>
      <c r="AF41" s="208">
        <v>0</v>
      </c>
      <c r="AG41" s="164">
        <f t="shared" ca="1" si="4"/>
        <v>450079.08558614616</v>
      </c>
      <c r="AH41" s="209">
        <f ca="1">BrokerageStocks45[[#This Row],[Simulation BOY Balance ($)]]+(BrokerageStocks45[[#This Row],[Contributions ($)]]/2)</f>
        <v>450079.08558614616</v>
      </c>
      <c r="AI41" s="160">
        <f ca="1">BrokerageStocks45[[#This Row],[Simulation Average Annual Balance ($)]]*Table53[[#This Row],[Simulated Return (%)]]</f>
        <v>151073.37039020669</v>
      </c>
      <c r="AJ41" s="160">
        <f ca="1">BrokerageStocks45[[#This Row],[Simulation BOY Balance ($)]]+BrokerageStocks45[[#This Row],[Contributions ($)]]+BrokerageStocks45[[#This Row],[Simulated Return ($)]]</f>
        <v>601152.45597635279</v>
      </c>
      <c r="AK41" s="164">
        <f t="shared" si="6"/>
        <v>809155.70529407531</v>
      </c>
      <c r="AL41" s="209">
        <f>BrokerageStocks45[[#This Row],[Fixed Return BOY Balance ($)]]+(BrokerageStocks45[[#This Row],[Contributions ($)]]/2)</f>
        <v>809155.70529407531</v>
      </c>
      <c r="AM41" s="160">
        <f>BrokerageStocks45[[#This Row],[Fixed Return Average Annual Balance]]*annual_stock_market_return</f>
        <v>64732.456423526026</v>
      </c>
      <c r="AN41" s="160">
        <f>BrokerageStocks45[[#This Row],[Fixed Return BOY Balance ($)]]+BrokerageStocks45[[#This Row],[Contributions ($)]]+BrokerageStocks45[[#This Row],[Fixed Average Return ($)]]</f>
        <v>873888.16171760135</v>
      </c>
    </row>
    <row r="42" spans="2:40" x14ac:dyDescent="0.25">
      <c r="K42">
        <v>20</v>
      </c>
      <c r="L42">
        <f t="shared" si="1"/>
        <v>2042</v>
      </c>
      <c r="M42" s="198">
        <f>IF(Table53[[#This Row],[Calendar Year]]&gt;=$C$8,Table53[[#This Row],[Calendar Year]],NA())</f>
        <v>2042</v>
      </c>
      <c r="N42" s="198">
        <f>IF((Table53[[#This Row],[Calendar Year]]&gt;=$C$8)*(Table53[[#This Row],[Calendar Year]]&lt;=$C$10),Table53[[#This Row],[Calendar Year]],NA())</f>
        <v>2042</v>
      </c>
      <c r="O42" s="214">
        <f ca="1">IF((Table53[[#This Row],[Year (Range)]]&gt;=$C$8)*(Table53[[#This Row],[Year (Range)]]&lt;=$C$10),BrokerageStocks4546[[#This Row],[Buy: Simulated EOY Investment Balance ($)]],NA())</f>
        <v>70070.754712929469</v>
      </c>
      <c r="P42" s="214">
        <f ca="1">IF((Table53[[#This Row],[Year (Range)]]&gt;=$C$8)*(Table53[[#This Row],[Year (Range)]]&lt;=$C$10),BrokerageStocks45[[#This Row],[Rent: Simulated EOY Investment Balance ($)]],NA())</f>
        <v>635618.86321270408</v>
      </c>
      <c r="Q42" s="214">
        <f>IF((Table53[[#This Row],[Year (Range)]]&gt;=$C$8)*(Table53[[#This Row],[Year (Range)]]&lt;=$C$10),BrokerageStocks4546[[#This Row],[Buy: Fixed Average Return EOY Investment Balance ($)]],NA())</f>
        <v>73538.073830732843</v>
      </c>
      <c r="R42" s="214">
        <f>IF((Table53[[#This Row],[Year (Range)]]&gt;=$C$8)*(Table53[[#This Row],[Year (Range)]]&lt;=$C$10),BrokerageStocks45[[#This Row],[Rent: Fixed Average Return EOY Investment Balance ($)]],NA())</f>
        <v>943799.21465500945</v>
      </c>
      <c r="S42" s="224">
        <f t="shared" ca="1" si="0"/>
        <v>5.7333887425234195E-2</v>
      </c>
      <c r="T42" s="222">
        <f t="shared" si="2"/>
        <v>0.08</v>
      </c>
      <c r="V42" s="208">
        <f>'Difference in Expenses'!AF38</f>
        <v>14407.835560134095</v>
      </c>
      <c r="W42" s="164">
        <f t="shared" ca="1" si="3"/>
        <v>52253.967454229714</v>
      </c>
      <c r="X42" s="209">
        <f ca="1">BrokerageStocks4546[[#This Row],[Simulation BOY Balance ($)]]+(BrokerageStocks4546[[#This Row],[Contributions ($)]]/2)</f>
        <v>59457.885234296758</v>
      </c>
      <c r="Y42" s="160">
        <f ca="1">BrokerageStocks4546[[#This Row],[Simulation Average Annual Balance ($)]]*Table53[[#This Row],[Simulated Return (%)]]</f>
        <v>3408.9516985656646</v>
      </c>
      <c r="Z42" s="160">
        <f ca="1">BrokerageStocks4546[[#This Row],[Simulation BOY Balance ($)]]+BrokerageStocks4546[[#This Row],[Contributions ($)]]+BrokerageStocks4546[[#This Row],[Simulated Return ($)]]</f>
        <v>70070.754712929469</v>
      </c>
      <c r="AA42" s="160">
        <f t="shared" si="5"/>
        <v>53682.973542396314</v>
      </c>
      <c r="AB42" s="160">
        <f>BrokerageStocks4546[[#This Row],[Fixed Return BOY Balance ($)]]+BrokerageStocks4546[[#This Row],[Contributions ($)]]</f>
        <v>68090.809102530417</v>
      </c>
      <c r="AC42" s="160">
        <f>BrokerageStocks4546[[#This Row],[Fixed Return Average Balance ($)]]*annual_stock_market_return</f>
        <v>5447.2647282024336</v>
      </c>
      <c r="AD42" s="160">
        <f>BrokerageStocks4546[[#This Row],[Fixed Return BOY Balance ($)]]+BrokerageStocks4546[[#This Row],[Contributions ($)]]+BrokerageStocks4546[[#This Row],[Fixed Average Return ($)]]</f>
        <v>73538.073830732843</v>
      </c>
      <c r="AF42" s="208">
        <v>0</v>
      </c>
      <c r="AG42" s="164">
        <f t="shared" ca="1" si="4"/>
        <v>601152.45597635279</v>
      </c>
      <c r="AH42" s="209">
        <f ca="1">BrokerageStocks45[[#This Row],[Simulation BOY Balance ($)]]+(BrokerageStocks45[[#This Row],[Contributions ($)]]/2)</f>
        <v>601152.45597635279</v>
      </c>
      <c r="AI42" s="160">
        <f ca="1">BrokerageStocks45[[#This Row],[Simulation Average Annual Balance ($)]]*Table53[[#This Row],[Simulated Return (%)]]</f>
        <v>34466.407236351268</v>
      </c>
      <c r="AJ42" s="160">
        <f ca="1">BrokerageStocks45[[#This Row],[Simulation BOY Balance ($)]]+BrokerageStocks45[[#This Row],[Contributions ($)]]+BrokerageStocks45[[#This Row],[Simulated Return ($)]]</f>
        <v>635618.86321270408</v>
      </c>
      <c r="AK42" s="164">
        <f t="shared" si="6"/>
        <v>873888.16171760135</v>
      </c>
      <c r="AL42" s="209">
        <f>BrokerageStocks45[[#This Row],[Fixed Return BOY Balance ($)]]+(BrokerageStocks45[[#This Row],[Contributions ($)]]/2)</f>
        <v>873888.16171760135</v>
      </c>
      <c r="AM42" s="160">
        <f>BrokerageStocks45[[#This Row],[Fixed Return Average Annual Balance]]*annual_stock_market_return</f>
        <v>69911.052937408109</v>
      </c>
      <c r="AN42" s="160">
        <f>BrokerageStocks45[[#This Row],[Fixed Return BOY Balance ($)]]+BrokerageStocks45[[#This Row],[Contributions ($)]]+BrokerageStocks45[[#This Row],[Fixed Average Return ($)]]</f>
        <v>943799.21465500945</v>
      </c>
    </row>
    <row r="43" spans="2:40" x14ac:dyDescent="0.25">
      <c r="K43">
        <v>21</v>
      </c>
      <c r="L43">
        <f t="shared" si="1"/>
        <v>2043</v>
      </c>
      <c r="M43" s="198">
        <f>IF(Table53[[#This Row],[Calendar Year]]&gt;=$C$8,Table53[[#This Row],[Calendar Year]],NA())</f>
        <v>2043</v>
      </c>
      <c r="N43" s="198">
        <f>IF((Table53[[#This Row],[Calendar Year]]&gt;=$C$8)*(Table53[[#This Row],[Calendar Year]]&lt;=$C$10),Table53[[#This Row],[Calendar Year]],NA())</f>
        <v>2043</v>
      </c>
      <c r="O43" s="214">
        <f ca="1">IF((Table53[[#This Row],[Year (Range)]]&gt;=$C$8)*(Table53[[#This Row],[Year (Range)]]&lt;=$C$10),BrokerageStocks4546[[#This Row],[Buy: Simulated EOY Investment Balance ($)]],NA())</f>
        <v>87902.936170007364</v>
      </c>
      <c r="P43" s="214">
        <f ca="1">IF((Table53[[#This Row],[Year (Range)]]&gt;=$C$8)*(Table53[[#This Row],[Year (Range)]]&lt;=$C$10),BrokerageStocks45[[#This Row],[Rent: Simulated EOY Investment Balance ($)]],NA())</f>
        <v>644429.14230177668</v>
      </c>
      <c r="Q43" s="214">
        <f>IF((Table53[[#This Row],[Year (Range)]]&gt;=$C$8)*(Table53[[#This Row],[Year (Range)]]&lt;=$C$10),BrokerageStocks4546[[#This Row],[Buy: Fixed Average Return EOY Investment Balance ($)]],NA())</f>
        <v>97505.5949937322</v>
      </c>
      <c r="R43" s="214">
        <f>IF((Table53[[#This Row],[Year (Range)]]&gt;=$C$8)*(Table53[[#This Row],[Year (Range)]]&lt;=$C$10),BrokerageStocks45[[#This Row],[Rent: Fixed Average Return EOY Investment Balance ($)]],NA())</f>
        <v>1019303.1518274102</v>
      </c>
      <c r="S43" s="224">
        <f t="shared" ca="1" si="0"/>
        <v>1.3860946549857672E-2</v>
      </c>
      <c r="T43" s="222">
        <f t="shared" si="2"/>
        <v>0.08</v>
      </c>
      <c r="V43" s="208">
        <f>'Difference in Expenses'!AF39</f>
        <v>16744.884496796978</v>
      </c>
      <c r="W43" s="164">
        <f t="shared" ca="1" si="3"/>
        <v>70070.754712929469</v>
      </c>
      <c r="X43" s="209">
        <f ca="1">BrokerageStocks4546[[#This Row],[Simulation BOY Balance ($)]]+(BrokerageStocks4546[[#This Row],[Contributions ($)]]/2)</f>
        <v>78443.196961327951</v>
      </c>
      <c r="Y43" s="160">
        <f ca="1">BrokerageStocks4546[[#This Row],[Simulation Average Annual Balance ($)]]*Table53[[#This Row],[Simulated Return (%)]]</f>
        <v>1087.2969602809244</v>
      </c>
      <c r="Z43" s="160">
        <f ca="1">BrokerageStocks4546[[#This Row],[Simulation BOY Balance ($)]]+BrokerageStocks4546[[#This Row],[Contributions ($)]]+BrokerageStocks4546[[#This Row],[Simulated Return ($)]]</f>
        <v>87902.936170007364</v>
      </c>
      <c r="AA43" s="160">
        <f t="shared" si="5"/>
        <v>73538.073830732843</v>
      </c>
      <c r="AB43" s="160">
        <f>BrokerageStocks4546[[#This Row],[Fixed Return BOY Balance ($)]]+BrokerageStocks4546[[#This Row],[Contributions ($)]]</f>
        <v>90282.958327529821</v>
      </c>
      <c r="AC43" s="160">
        <f>BrokerageStocks4546[[#This Row],[Fixed Return Average Balance ($)]]*annual_stock_market_return</f>
        <v>7222.6366662023856</v>
      </c>
      <c r="AD43" s="160">
        <f>BrokerageStocks4546[[#This Row],[Fixed Return BOY Balance ($)]]+BrokerageStocks4546[[#This Row],[Contributions ($)]]+BrokerageStocks4546[[#This Row],[Fixed Average Return ($)]]</f>
        <v>97505.5949937322</v>
      </c>
      <c r="AF43" s="208">
        <v>0</v>
      </c>
      <c r="AG43" s="164">
        <f t="shared" ca="1" si="4"/>
        <v>635618.86321270408</v>
      </c>
      <c r="AH43" s="209">
        <f ca="1">BrokerageStocks45[[#This Row],[Simulation BOY Balance ($)]]+(BrokerageStocks45[[#This Row],[Contributions ($)]]/2)</f>
        <v>635618.86321270408</v>
      </c>
      <c r="AI43" s="160">
        <f ca="1">BrokerageStocks45[[#This Row],[Simulation Average Annual Balance ($)]]*Table53[[#This Row],[Simulated Return (%)]]</f>
        <v>8810.2790890725864</v>
      </c>
      <c r="AJ43" s="160">
        <f ca="1">BrokerageStocks45[[#This Row],[Simulation BOY Balance ($)]]+BrokerageStocks45[[#This Row],[Contributions ($)]]+BrokerageStocks45[[#This Row],[Simulated Return ($)]]</f>
        <v>644429.14230177668</v>
      </c>
      <c r="AK43" s="164">
        <f t="shared" si="6"/>
        <v>943799.21465500945</v>
      </c>
      <c r="AL43" s="209">
        <f>BrokerageStocks45[[#This Row],[Fixed Return BOY Balance ($)]]+(BrokerageStocks45[[#This Row],[Contributions ($)]]/2)</f>
        <v>943799.21465500945</v>
      </c>
      <c r="AM43" s="160">
        <f>BrokerageStocks45[[#This Row],[Fixed Return Average Annual Balance]]*annual_stock_market_return</f>
        <v>75503.937172400751</v>
      </c>
      <c r="AN43" s="160">
        <f>BrokerageStocks45[[#This Row],[Fixed Return BOY Balance ($)]]+BrokerageStocks45[[#This Row],[Contributions ($)]]+BrokerageStocks45[[#This Row],[Fixed Average Return ($)]]</f>
        <v>1019303.1518274102</v>
      </c>
    </row>
    <row r="44" spans="2:40" x14ac:dyDescent="0.25">
      <c r="K44">
        <v>22</v>
      </c>
      <c r="L44">
        <f t="shared" si="1"/>
        <v>2044</v>
      </c>
      <c r="M44" s="198">
        <f>IF(Table53[[#This Row],[Calendar Year]]&gt;=$C$8,Table53[[#This Row],[Calendar Year]],NA())</f>
        <v>2044</v>
      </c>
      <c r="N44" s="198">
        <f>IF((Table53[[#This Row],[Calendar Year]]&gt;=$C$8)*(Table53[[#This Row],[Calendar Year]]&lt;=$C$10),Table53[[#This Row],[Calendar Year]],NA())</f>
        <v>2044</v>
      </c>
      <c r="O44" s="214">
        <f ca="1">IF((Table53[[#This Row],[Year (Range)]]&gt;=$C$8)*(Table53[[#This Row],[Year (Range)]]&lt;=$C$10),BrokerageStocks4546[[#This Row],[Buy: Simulated EOY Investment Balance ($)]],NA())</f>
        <v>110809.54231383487</v>
      </c>
      <c r="P44" s="214">
        <f ca="1">IF((Table53[[#This Row],[Year (Range)]]&gt;=$C$8)*(Table53[[#This Row],[Year (Range)]]&lt;=$C$10),BrokerageStocks45[[#This Row],[Rent: Simulated EOY Investment Balance ($)]],NA())</f>
        <v>669037.81012699509</v>
      </c>
      <c r="Q44" s="214">
        <f>IF((Table53[[#This Row],[Year (Range)]]&gt;=$C$8)*(Table53[[#This Row],[Year (Range)]]&lt;=$C$10),BrokerageStocks4546[[#This Row],[Buy: Fixed Average Return EOY Investment Balance ($)]],NA())</f>
        <v>126024.32743403575</v>
      </c>
      <c r="R44" s="214">
        <f>IF((Table53[[#This Row],[Year (Range)]]&gt;=$C$8)*(Table53[[#This Row],[Year (Range)]]&lt;=$C$10),BrokerageStocks45[[#This Row],[Rent: Fixed Average Return EOY Investment Balance ($)]],NA())</f>
        <v>1100847.4039736029</v>
      </c>
      <c r="S44" s="224">
        <f t="shared" ca="1" si="0"/>
        <v>3.8186770600288147E-2</v>
      </c>
      <c r="T44" s="222">
        <f t="shared" si="2"/>
        <v>0.08</v>
      </c>
      <c r="V44" s="208">
        <f>'Difference in Expenses'!AF40</f>
        <v>19183.597074819423</v>
      </c>
      <c r="W44" s="164">
        <f t="shared" ca="1" si="3"/>
        <v>87902.936170007364</v>
      </c>
      <c r="X44" s="209">
        <f ca="1">BrokerageStocks4546[[#This Row],[Simulation BOY Balance ($)]]+(BrokerageStocks4546[[#This Row],[Contributions ($)]]/2)</f>
        <v>97494.734707417083</v>
      </c>
      <c r="Y44" s="160">
        <f ca="1">BrokerageStocks4546[[#This Row],[Simulation Average Annual Balance ($)]]*Table53[[#This Row],[Simulated Return (%)]]</f>
        <v>3723.009069008087</v>
      </c>
      <c r="Z44" s="160">
        <f ca="1">BrokerageStocks4546[[#This Row],[Simulation BOY Balance ($)]]+BrokerageStocks4546[[#This Row],[Contributions ($)]]+BrokerageStocks4546[[#This Row],[Simulated Return ($)]]</f>
        <v>110809.54231383487</v>
      </c>
      <c r="AA44" s="160">
        <f t="shared" si="5"/>
        <v>97505.5949937322</v>
      </c>
      <c r="AB44" s="160">
        <f>BrokerageStocks4546[[#This Row],[Fixed Return BOY Balance ($)]]+BrokerageStocks4546[[#This Row],[Contributions ($)]]</f>
        <v>116689.19206855162</v>
      </c>
      <c r="AC44" s="160">
        <f>BrokerageStocks4546[[#This Row],[Fixed Return Average Balance ($)]]*annual_stock_market_return</f>
        <v>9335.1353654841296</v>
      </c>
      <c r="AD44" s="160">
        <f>BrokerageStocks4546[[#This Row],[Fixed Return BOY Balance ($)]]+BrokerageStocks4546[[#This Row],[Contributions ($)]]+BrokerageStocks4546[[#This Row],[Fixed Average Return ($)]]</f>
        <v>126024.32743403575</v>
      </c>
      <c r="AF44" s="208">
        <v>0</v>
      </c>
      <c r="AG44" s="164">
        <f t="shared" ca="1" si="4"/>
        <v>644429.14230177668</v>
      </c>
      <c r="AH44" s="209">
        <f ca="1">BrokerageStocks45[[#This Row],[Simulation BOY Balance ($)]]+(BrokerageStocks45[[#This Row],[Contributions ($)]]/2)</f>
        <v>644429.14230177668</v>
      </c>
      <c r="AI44" s="160">
        <f ca="1">BrokerageStocks45[[#This Row],[Simulation Average Annual Balance ($)]]*Table53[[#This Row],[Simulated Return (%)]]</f>
        <v>24608.667825218392</v>
      </c>
      <c r="AJ44" s="160">
        <f ca="1">BrokerageStocks45[[#This Row],[Simulation BOY Balance ($)]]+BrokerageStocks45[[#This Row],[Contributions ($)]]+BrokerageStocks45[[#This Row],[Simulated Return ($)]]</f>
        <v>669037.81012699509</v>
      </c>
      <c r="AK44" s="164">
        <f t="shared" si="6"/>
        <v>1019303.1518274102</v>
      </c>
      <c r="AL44" s="209">
        <f>BrokerageStocks45[[#This Row],[Fixed Return BOY Balance ($)]]+(BrokerageStocks45[[#This Row],[Contributions ($)]]/2)</f>
        <v>1019303.1518274102</v>
      </c>
      <c r="AM44" s="160">
        <f>BrokerageStocks45[[#This Row],[Fixed Return Average Annual Balance]]*annual_stock_market_return</f>
        <v>81544.252146192812</v>
      </c>
      <c r="AN44" s="160">
        <f>BrokerageStocks45[[#This Row],[Fixed Return BOY Balance ($)]]+BrokerageStocks45[[#This Row],[Contributions ($)]]+BrokerageStocks45[[#This Row],[Fixed Average Return ($)]]</f>
        <v>1100847.4039736029</v>
      </c>
    </row>
    <row r="45" spans="2:40" x14ac:dyDescent="0.25">
      <c r="K45">
        <v>23</v>
      </c>
      <c r="L45">
        <f t="shared" si="1"/>
        <v>2045</v>
      </c>
      <c r="M45" s="198">
        <f>IF(Table53[[#This Row],[Calendar Year]]&gt;=$C$8,Table53[[#This Row],[Calendar Year]],NA())</f>
        <v>2045</v>
      </c>
      <c r="N45" s="198">
        <f>IF((Table53[[#This Row],[Calendar Year]]&gt;=$C$8)*(Table53[[#This Row],[Calendar Year]]&lt;=$C$10),Table53[[#This Row],[Calendar Year]],NA())</f>
        <v>2045</v>
      </c>
      <c r="O45" s="214">
        <f ca="1">IF((Table53[[#This Row],[Year (Range)]]&gt;=$C$8)*(Table53[[#This Row],[Year (Range)]]&lt;=$C$10),BrokerageStocks4546[[#This Row],[Buy: Simulated EOY Investment Balance ($)]],NA())</f>
        <v>136817.24750475408</v>
      </c>
      <c r="P45" s="214">
        <f ca="1">IF((Table53[[#This Row],[Year (Range)]]&gt;=$C$8)*(Table53[[#This Row],[Year (Range)]]&lt;=$C$10),BrokerageStocks45[[#This Row],[Rent: Simulated EOY Investment Balance ($)]],NA())</f>
        <v>692568.72989686835</v>
      </c>
      <c r="Q45" s="214">
        <f>IF((Table53[[#This Row],[Year (Range)]]&gt;=$C$8)*(Table53[[#This Row],[Year (Range)]]&lt;=$C$10),BrokerageStocks4546[[#This Row],[Buy: Fixed Average Return EOY Investment Balance ($)]],NA())</f>
        <v>159572.82174236103</v>
      </c>
      <c r="R45" s="214">
        <f>IF((Table53[[#This Row],[Year (Range)]]&gt;=$C$8)*(Table53[[#This Row],[Year (Range)]]&lt;=$C$10),BrokerageStocks45[[#This Row],[Rent: Fixed Average Return EOY Investment Balance ($)]],NA())</f>
        <v>1188915.1962914912</v>
      </c>
      <c r="S45" s="224">
        <f t="shared" ca="1" si="0"/>
        <v>3.5171285409723946E-2</v>
      </c>
      <c r="T45" s="222">
        <f t="shared" si="2"/>
        <v>0.08</v>
      </c>
      <c r="V45" s="208">
        <f>'Difference in Expenses'!AF41</f>
        <v>21728.285290372616</v>
      </c>
      <c r="W45" s="164">
        <f t="shared" ca="1" si="3"/>
        <v>110809.54231383487</v>
      </c>
      <c r="X45" s="209">
        <f ca="1">BrokerageStocks4546[[#This Row],[Simulation BOY Balance ($)]]+(BrokerageStocks4546[[#This Row],[Contributions ($)]]/2)</f>
        <v>121673.68495902118</v>
      </c>
      <c r="Y45" s="160">
        <f ca="1">BrokerageStocks4546[[#This Row],[Simulation Average Annual Balance ($)]]*Table53[[#This Row],[Simulated Return (%)]]</f>
        <v>4279.4199005465698</v>
      </c>
      <c r="Z45" s="160">
        <f ca="1">BrokerageStocks4546[[#This Row],[Simulation BOY Balance ($)]]+BrokerageStocks4546[[#This Row],[Contributions ($)]]+BrokerageStocks4546[[#This Row],[Simulated Return ($)]]</f>
        <v>136817.24750475408</v>
      </c>
      <c r="AA45" s="160">
        <f t="shared" si="5"/>
        <v>126024.32743403575</v>
      </c>
      <c r="AB45" s="160">
        <f>BrokerageStocks4546[[#This Row],[Fixed Return BOY Balance ($)]]+BrokerageStocks4546[[#This Row],[Contributions ($)]]</f>
        <v>147752.61272440836</v>
      </c>
      <c r="AC45" s="160">
        <f>BrokerageStocks4546[[#This Row],[Fixed Return Average Balance ($)]]*annual_stock_market_return</f>
        <v>11820.209017952669</v>
      </c>
      <c r="AD45" s="160">
        <f>BrokerageStocks4546[[#This Row],[Fixed Return BOY Balance ($)]]+BrokerageStocks4546[[#This Row],[Contributions ($)]]+BrokerageStocks4546[[#This Row],[Fixed Average Return ($)]]</f>
        <v>159572.82174236103</v>
      </c>
      <c r="AF45" s="208">
        <v>0</v>
      </c>
      <c r="AG45" s="164">
        <f t="shared" ca="1" si="4"/>
        <v>669037.81012699509</v>
      </c>
      <c r="AH45" s="209">
        <f ca="1">BrokerageStocks45[[#This Row],[Simulation BOY Balance ($)]]+(BrokerageStocks45[[#This Row],[Contributions ($)]]/2)</f>
        <v>669037.81012699509</v>
      </c>
      <c r="AI45" s="160">
        <f ca="1">BrokerageStocks45[[#This Row],[Simulation Average Annual Balance ($)]]*Table53[[#This Row],[Simulated Return (%)]]</f>
        <v>23530.919769873242</v>
      </c>
      <c r="AJ45" s="160">
        <f ca="1">BrokerageStocks45[[#This Row],[Simulation BOY Balance ($)]]+BrokerageStocks45[[#This Row],[Contributions ($)]]+BrokerageStocks45[[#This Row],[Simulated Return ($)]]</f>
        <v>692568.72989686835</v>
      </c>
      <c r="AK45" s="164">
        <f t="shared" si="6"/>
        <v>1100847.4039736029</v>
      </c>
      <c r="AL45" s="209">
        <f>BrokerageStocks45[[#This Row],[Fixed Return BOY Balance ($)]]+(BrokerageStocks45[[#This Row],[Contributions ($)]]/2)</f>
        <v>1100847.4039736029</v>
      </c>
      <c r="AM45" s="160">
        <f>BrokerageStocks45[[#This Row],[Fixed Return Average Annual Balance]]*annual_stock_market_return</f>
        <v>88067.792317888234</v>
      </c>
      <c r="AN45" s="160">
        <f>BrokerageStocks45[[#This Row],[Fixed Return BOY Balance ($)]]+BrokerageStocks45[[#This Row],[Contributions ($)]]+BrokerageStocks45[[#This Row],[Fixed Average Return ($)]]</f>
        <v>1188915.1962914912</v>
      </c>
    </row>
    <row r="46" spans="2:40" x14ac:dyDescent="0.25">
      <c r="K46">
        <v>24</v>
      </c>
      <c r="L46">
        <f t="shared" si="1"/>
        <v>2046</v>
      </c>
      <c r="M46" s="198">
        <f>IF(Table53[[#This Row],[Calendar Year]]&gt;=$C$8,Table53[[#This Row],[Calendar Year]],NA())</f>
        <v>2046</v>
      </c>
      <c r="N46" s="198">
        <f>IF((Table53[[#This Row],[Calendar Year]]&gt;=$C$8)*(Table53[[#This Row],[Calendar Year]]&lt;=$C$10),Table53[[#This Row],[Calendar Year]],NA())</f>
        <v>2046</v>
      </c>
      <c r="O46" s="214">
        <f ca="1">IF((Table53[[#This Row],[Year (Range)]]&gt;=$C$8)*(Table53[[#This Row],[Year (Range)]]&lt;=$C$10),BrokerageStocks4546[[#This Row],[Buy: Simulated EOY Investment Balance ($)]],NA())</f>
        <v>176321.82921729414</v>
      </c>
      <c r="P46" s="214">
        <f ca="1">IF((Table53[[#This Row],[Year (Range)]]&gt;=$C$8)*(Table53[[#This Row],[Year (Range)]]&lt;=$C$10),BrokerageStocks45[[#This Row],[Rent: Simulated EOY Investment Balance ($)]],NA())</f>
        <v>762849.25979034323</v>
      </c>
      <c r="Q46" s="214">
        <f>IF((Table53[[#This Row],[Year (Range)]]&gt;=$C$8)*(Table53[[#This Row],[Year (Range)]]&lt;=$C$10),BrokerageStocks4546[[#This Row],[Buy: Fixed Average Return EOY Investment Balance ($)]],NA())</f>
        <v>198672.76374337921</v>
      </c>
      <c r="R46" s="214">
        <f>IF((Table53[[#This Row],[Year (Range)]]&gt;=$C$8)*(Table53[[#This Row],[Year (Range)]]&lt;=$C$10),BrokerageStocks45[[#This Row],[Rent: Fixed Average Return EOY Investment Balance ($)]],NA())</f>
        <v>1284028.4119948104</v>
      </c>
      <c r="S46" s="224">
        <f t="shared" ca="1" si="0"/>
        <v>0.10147805821949327</v>
      </c>
      <c r="T46" s="222">
        <f t="shared" si="2"/>
        <v>0.08</v>
      </c>
      <c r="V46" s="208">
        <f>'Difference in Expenses'!AF42</f>
        <v>24383.440982990083</v>
      </c>
      <c r="W46" s="164">
        <f t="shared" ca="1" si="3"/>
        <v>136817.24750475408</v>
      </c>
      <c r="X46" s="209">
        <f ca="1">BrokerageStocks4546[[#This Row],[Simulation BOY Balance ($)]]+(BrokerageStocks4546[[#This Row],[Contributions ($)]]/2)</f>
        <v>149008.96799624912</v>
      </c>
      <c r="Y46" s="160">
        <f ca="1">BrokerageStocks4546[[#This Row],[Simulation Average Annual Balance ($)]]*Table53[[#This Row],[Simulated Return (%)]]</f>
        <v>15121.140729549978</v>
      </c>
      <c r="Z46" s="160">
        <f ca="1">BrokerageStocks4546[[#This Row],[Simulation BOY Balance ($)]]+BrokerageStocks4546[[#This Row],[Contributions ($)]]+BrokerageStocks4546[[#This Row],[Simulated Return ($)]]</f>
        <v>176321.82921729414</v>
      </c>
      <c r="AA46" s="160">
        <f t="shared" si="5"/>
        <v>159572.82174236103</v>
      </c>
      <c r="AB46" s="160">
        <f>BrokerageStocks4546[[#This Row],[Fixed Return BOY Balance ($)]]+BrokerageStocks4546[[#This Row],[Contributions ($)]]</f>
        <v>183956.26272535112</v>
      </c>
      <c r="AC46" s="160">
        <f>BrokerageStocks4546[[#This Row],[Fixed Return Average Balance ($)]]*annual_stock_market_return</f>
        <v>14716.50101802809</v>
      </c>
      <c r="AD46" s="160">
        <f>BrokerageStocks4546[[#This Row],[Fixed Return BOY Balance ($)]]+BrokerageStocks4546[[#This Row],[Contributions ($)]]+BrokerageStocks4546[[#This Row],[Fixed Average Return ($)]]</f>
        <v>198672.76374337921</v>
      </c>
      <c r="AF46" s="208">
        <v>0</v>
      </c>
      <c r="AG46" s="164">
        <f t="shared" ca="1" si="4"/>
        <v>692568.72989686835</v>
      </c>
      <c r="AH46" s="209">
        <f ca="1">BrokerageStocks45[[#This Row],[Simulation BOY Balance ($)]]+(BrokerageStocks45[[#This Row],[Contributions ($)]]/2)</f>
        <v>692568.72989686835</v>
      </c>
      <c r="AI46" s="160">
        <f ca="1">BrokerageStocks45[[#This Row],[Simulation Average Annual Balance ($)]]*Table53[[#This Row],[Simulated Return (%)]]</f>
        <v>70280.529893474915</v>
      </c>
      <c r="AJ46" s="160">
        <f ca="1">BrokerageStocks45[[#This Row],[Simulation BOY Balance ($)]]+BrokerageStocks45[[#This Row],[Contributions ($)]]+BrokerageStocks45[[#This Row],[Simulated Return ($)]]</f>
        <v>762849.25979034323</v>
      </c>
      <c r="AK46" s="164">
        <f t="shared" si="6"/>
        <v>1188915.1962914912</v>
      </c>
      <c r="AL46" s="209">
        <f>BrokerageStocks45[[#This Row],[Fixed Return BOY Balance ($)]]+(BrokerageStocks45[[#This Row],[Contributions ($)]]/2)</f>
        <v>1188915.1962914912</v>
      </c>
      <c r="AM46" s="160">
        <f>BrokerageStocks45[[#This Row],[Fixed Return Average Annual Balance]]*annual_stock_market_return</f>
        <v>95113.215703319293</v>
      </c>
      <c r="AN46" s="160">
        <f>BrokerageStocks45[[#This Row],[Fixed Return BOY Balance ($)]]+BrokerageStocks45[[#This Row],[Contributions ($)]]+BrokerageStocks45[[#This Row],[Fixed Average Return ($)]]</f>
        <v>1284028.4119948104</v>
      </c>
    </row>
    <row r="47" spans="2:40" x14ac:dyDescent="0.25">
      <c r="K47">
        <v>25</v>
      </c>
      <c r="L47">
        <f t="shared" si="1"/>
        <v>2047</v>
      </c>
      <c r="M47" s="198">
        <f>IF(Table53[[#This Row],[Calendar Year]]&gt;=$C$8,Table53[[#This Row],[Calendar Year]],NA())</f>
        <v>2047</v>
      </c>
      <c r="N47" s="198">
        <f>IF((Table53[[#This Row],[Calendar Year]]&gt;=$C$8)*(Table53[[#This Row],[Calendar Year]]&lt;=$C$10),Table53[[#This Row],[Calendar Year]],NA())</f>
        <v>2047</v>
      </c>
      <c r="O47" s="214">
        <f ca="1">IF((Table53[[#This Row],[Year (Range)]]&gt;=$C$8)*(Table53[[#This Row],[Year (Range)]]&lt;=$C$10),BrokerageStocks4546[[#This Row],[Buy: Simulated EOY Investment Balance ($)]],NA())</f>
        <v>250233.55727730936</v>
      </c>
      <c r="P47" s="214">
        <f ca="1">IF((Table53[[#This Row],[Year (Range)]]&gt;=$C$8)*(Table53[[#This Row],[Year (Range)]]&lt;=$C$10),BrokerageStocks45[[#This Row],[Rent: Simulated EOY Investment Balance ($)]],NA())</f>
        <v>950682.53059851343</v>
      </c>
      <c r="Q47" s="214">
        <f>IF((Table53[[#This Row],[Year (Range)]]&gt;=$C$8)*(Table53[[#This Row],[Year (Range)]]&lt;=$C$10),BrokerageStocks4546[[#This Row],[Buy: Fixed Average Return EOY Investment Balance ($)]],NA())</f>
        <v>243892.62755307378</v>
      </c>
      <c r="R47" s="214">
        <f>IF((Table53[[#This Row],[Year (Range)]]&gt;=$C$8)*(Table53[[#This Row],[Year (Range)]]&lt;=$C$10),BrokerageStocks45[[#This Row],[Rent: Fixed Average Return EOY Investment Balance ($)]],NA())</f>
        <v>1386750.6849543953</v>
      </c>
      <c r="S47" s="224">
        <f t="shared" ca="1" si="0"/>
        <v>0.24622593310216118</v>
      </c>
      <c r="T47" s="222">
        <f t="shared" si="2"/>
        <v>0.08</v>
      </c>
      <c r="V47" s="208">
        <f>'Difference in Expenses'!AF43</f>
        <v>27153.743250207626</v>
      </c>
      <c r="W47" s="164">
        <f t="shared" ca="1" si="3"/>
        <v>176321.82921729414</v>
      </c>
      <c r="X47" s="209">
        <f ca="1">BrokerageStocks4546[[#This Row],[Simulation BOY Balance ($)]]+(BrokerageStocks4546[[#This Row],[Contributions ($)]]/2)</f>
        <v>189898.70084239796</v>
      </c>
      <c r="Y47" s="160">
        <f ca="1">BrokerageStocks4546[[#This Row],[Simulation Average Annual Balance ($)]]*Table53[[#This Row],[Simulated Return (%)]]</f>
        <v>46757.984809807596</v>
      </c>
      <c r="Z47" s="160">
        <f ca="1">BrokerageStocks4546[[#This Row],[Simulation BOY Balance ($)]]+BrokerageStocks4546[[#This Row],[Contributions ($)]]+BrokerageStocks4546[[#This Row],[Simulated Return ($)]]</f>
        <v>250233.55727730936</v>
      </c>
      <c r="AA47" s="160">
        <f t="shared" si="5"/>
        <v>198672.76374337921</v>
      </c>
      <c r="AB47" s="160">
        <f>BrokerageStocks4546[[#This Row],[Fixed Return BOY Balance ($)]]+BrokerageStocks4546[[#This Row],[Contributions ($)]]</f>
        <v>225826.50699358684</v>
      </c>
      <c r="AC47" s="160">
        <f>BrokerageStocks4546[[#This Row],[Fixed Return Average Balance ($)]]*annual_stock_market_return</f>
        <v>18066.120559486946</v>
      </c>
      <c r="AD47" s="160">
        <f>BrokerageStocks4546[[#This Row],[Fixed Return BOY Balance ($)]]+BrokerageStocks4546[[#This Row],[Contributions ($)]]+BrokerageStocks4546[[#This Row],[Fixed Average Return ($)]]</f>
        <v>243892.62755307378</v>
      </c>
      <c r="AF47" s="208">
        <v>0</v>
      </c>
      <c r="AG47" s="164">
        <f t="shared" ca="1" si="4"/>
        <v>762849.25979034323</v>
      </c>
      <c r="AH47" s="209">
        <f ca="1">BrokerageStocks45[[#This Row],[Simulation BOY Balance ($)]]+(BrokerageStocks45[[#This Row],[Contributions ($)]]/2)</f>
        <v>762849.25979034323</v>
      </c>
      <c r="AI47" s="160">
        <f ca="1">BrokerageStocks45[[#This Row],[Simulation Average Annual Balance ($)]]*Table53[[#This Row],[Simulated Return (%)]]</f>
        <v>187833.27080817023</v>
      </c>
      <c r="AJ47" s="160">
        <f ca="1">BrokerageStocks45[[#This Row],[Simulation BOY Balance ($)]]+BrokerageStocks45[[#This Row],[Contributions ($)]]+BrokerageStocks45[[#This Row],[Simulated Return ($)]]</f>
        <v>950682.53059851343</v>
      </c>
      <c r="AK47" s="164">
        <f t="shared" si="6"/>
        <v>1284028.4119948104</v>
      </c>
      <c r="AL47" s="209">
        <f>BrokerageStocks45[[#This Row],[Fixed Return BOY Balance ($)]]+(BrokerageStocks45[[#This Row],[Contributions ($)]]/2)</f>
        <v>1284028.4119948104</v>
      </c>
      <c r="AM47" s="160">
        <f>BrokerageStocks45[[#This Row],[Fixed Return Average Annual Balance]]*annual_stock_market_return</f>
        <v>102722.27295958484</v>
      </c>
      <c r="AN47" s="160">
        <f>BrokerageStocks45[[#This Row],[Fixed Return BOY Balance ($)]]+BrokerageStocks45[[#This Row],[Contributions ($)]]+BrokerageStocks45[[#This Row],[Fixed Average Return ($)]]</f>
        <v>1386750.6849543953</v>
      </c>
    </row>
    <row r="48" spans="2:40" x14ac:dyDescent="0.25">
      <c r="K48">
        <v>26</v>
      </c>
      <c r="L48">
        <f t="shared" si="1"/>
        <v>2048</v>
      </c>
      <c r="M48" s="198">
        <f>IF(Table53[[#This Row],[Calendar Year]]&gt;=$C$8,Table53[[#This Row],[Calendar Year]],NA())</f>
        <v>2048</v>
      </c>
      <c r="N48" s="198">
        <f>IF((Table53[[#This Row],[Calendar Year]]&gt;=$C$8)*(Table53[[#This Row],[Calendar Year]]&lt;=$C$10),Table53[[#This Row],[Calendar Year]],NA())</f>
        <v>2048</v>
      </c>
      <c r="O48" s="214">
        <f ca="1">IF((Table53[[#This Row],[Year (Range)]]&gt;=$C$8)*(Table53[[#This Row],[Year (Range)]]&lt;=$C$10),BrokerageStocks4546[[#This Row],[Buy: Simulated EOY Investment Balance ($)]],NA())</f>
        <v>320676.0165769186</v>
      </c>
      <c r="P48" s="214">
        <f ca="1">IF((Table53[[#This Row],[Year (Range)]]&gt;=$C$8)*(Table53[[#This Row],[Year (Range)]]&lt;=$C$10),BrokerageStocks45[[#This Row],[Rent: Simulated EOY Investment Balance ($)]],NA())</f>
        <v>1095471.3607407992</v>
      </c>
      <c r="Q48" s="214">
        <f>IF((Table53[[#This Row],[Year (Range)]]&gt;=$C$8)*(Table53[[#This Row],[Year (Range)]]&lt;=$C$10),BrokerageStocks4546[[#This Row],[Buy: Fixed Average Return EOY Investment Balance ($)]],NA())</f>
        <v>295851.62921596918</v>
      </c>
      <c r="R48" s="214">
        <f>IF((Table53[[#This Row],[Year (Range)]]&gt;=$C$8)*(Table53[[#This Row],[Year (Range)]]&lt;=$C$10),BrokerageStocks45[[#This Row],[Rent: Fixed Average Return EOY Investment Balance ($)]],NA())</f>
        <v>1497690.7397507469</v>
      </c>
      <c r="S48" s="224">
        <f t="shared" ca="1" si="0"/>
        <v>0.15229987454500951</v>
      </c>
      <c r="T48" s="222">
        <f t="shared" si="2"/>
        <v>0.08</v>
      </c>
      <c r="V48" s="208">
        <f>'Difference in Expenses'!AF44</f>
        <v>30044.066165416167</v>
      </c>
      <c r="W48" s="164">
        <f t="shared" ca="1" si="3"/>
        <v>250233.55727730936</v>
      </c>
      <c r="X48" s="209">
        <f ca="1">BrokerageStocks4546[[#This Row],[Simulation BOY Balance ($)]]+(BrokerageStocks4546[[#This Row],[Contributions ($)]]/2)</f>
        <v>265255.59036001744</v>
      </c>
      <c r="Y48" s="160">
        <f ca="1">BrokerageStocks4546[[#This Row],[Simulation Average Annual Balance ($)]]*Table53[[#This Row],[Simulated Return (%)]]</f>
        <v>40398.393134193087</v>
      </c>
      <c r="Z48" s="160">
        <f ca="1">BrokerageStocks4546[[#This Row],[Simulation BOY Balance ($)]]+BrokerageStocks4546[[#This Row],[Contributions ($)]]+BrokerageStocks4546[[#This Row],[Simulated Return ($)]]</f>
        <v>320676.0165769186</v>
      </c>
      <c r="AA48" s="160">
        <f t="shared" si="5"/>
        <v>243892.62755307378</v>
      </c>
      <c r="AB48" s="160">
        <f>BrokerageStocks4546[[#This Row],[Fixed Return BOY Balance ($)]]+BrokerageStocks4546[[#This Row],[Contributions ($)]]</f>
        <v>273936.69371848996</v>
      </c>
      <c r="AC48" s="160">
        <f>BrokerageStocks4546[[#This Row],[Fixed Return Average Balance ($)]]*annual_stock_market_return</f>
        <v>21914.935497479197</v>
      </c>
      <c r="AD48" s="160">
        <f>BrokerageStocks4546[[#This Row],[Fixed Return BOY Balance ($)]]+BrokerageStocks4546[[#This Row],[Contributions ($)]]+BrokerageStocks4546[[#This Row],[Fixed Average Return ($)]]</f>
        <v>295851.62921596918</v>
      </c>
      <c r="AF48" s="208">
        <v>0</v>
      </c>
      <c r="AG48" s="164">
        <f t="shared" ca="1" si="4"/>
        <v>950682.53059851343</v>
      </c>
      <c r="AH48" s="209">
        <f ca="1">BrokerageStocks45[[#This Row],[Simulation BOY Balance ($)]]+(BrokerageStocks45[[#This Row],[Contributions ($)]]/2)</f>
        <v>950682.53059851343</v>
      </c>
      <c r="AI48" s="160">
        <f ca="1">BrokerageStocks45[[#This Row],[Simulation Average Annual Balance ($)]]*Table53[[#This Row],[Simulated Return (%)]]</f>
        <v>144788.83014228576</v>
      </c>
      <c r="AJ48" s="160">
        <f ca="1">BrokerageStocks45[[#This Row],[Simulation BOY Balance ($)]]+BrokerageStocks45[[#This Row],[Contributions ($)]]+BrokerageStocks45[[#This Row],[Simulated Return ($)]]</f>
        <v>1095471.3607407992</v>
      </c>
      <c r="AK48" s="164">
        <f t="shared" si="6"/>
        <v>1386750.6849543953</v>
      </c>
      <c r="AL48" s="209">
        <f>BrokerageStocks45[[#This Row],[Fixed Return BOY Balance ($)]]+(BrokerageStocks45[[#This Row],[Contributions ($)]]/2)</f>
        <v>1386750.6849543953</v>
      </c>
      <c r="AM48" s="160">
        <f>BrokerageStocks45[[#This Row],[Fixed Return Average Annual Balance]]*annual_stock_market_return</f>
        <v>110940.05479635163</v>
      </c>
      <c r="AN48" s="160">
        <f>BrokerageStocks45[[#This Row],[Fixed Return BOY Balance ($)]]+BrokerageStocks45[[#This Row],[Contributions ($)]]+BrokerageStocks45[[#This Row],[Fixed Average Return ($)]]</f>
        <v>1497690.7397507469</v>
      </c>
    </row>
    <row r="49" spans="11:40" x14ac:dyDescent="0.25">
      <c r="K49">
        <v>27</v>
      </c>
      <c r="L49">
        <f t="shared" si="1"/>
        <v>2049</v>
      </c>
      <c r="M49" s="198">
        <f>IF(Table53[[#This Row],[Calendar Year]]&gt;=$C$8,Table53[[#This Row],[Calendar Year]],NA())</f>
        <v>2049</v>
      </c>
      <c r="N49" s="198">
        <f>IF((Table53[[#This Row],[Calendar Year]]&gt;=$C$8)*(Table53[[#This Row],[Calendar Year]]&lt;=$C$10),Table53[[#This Row],[Calendar Year]],NA())</f>
        <v>2049</v>
      </c>
      <c r="O49" s="214">
        <f ca="1">IF((Table53[[#This Row],[Year (Range)]]&gt;=$C$8)*(Table53[[#This Row],[Year (Range)]]&lt;=$C$10),BrokerageStocks4546[[#This Row],[Buy: Simulated EOY Investment Balance ($)]],NA())</f>
        <v>409233.44087675482</v>
      </c>
      <c r="P49" s="214">
        <f ca="1">IF((Table53[[#This Row],[Year (Range)]]&gt;=$C$8)*(Table53[[#This Row],[Year (Range)]]&lt;=$C$10),BrokerageStocks45[[#This Row],[Rent: Simulated EOY Investment Balance ($)]],NA())</f>
        <v>1171558.8297608984</v>
      </c>
      <c r="Q49" s="214">
        <f>IF((Table53[[#This Row],[Year (Range)]]&gt;=$C$8)*(Table53[[#This Row],[Year (Range)]]&lt;=$C$10),BrokerageStocks4546[[#This Row],[Buy: Fixed Average Return EOY Investment Balance ($)]],NA())</f>
        <v>388704.29146040627</v>
      </c>
      <c r="R49" s="214">
        <f>IF((Table53[[#This Row],[Year (Range)]]&gt;=$C$8)*(Table53[[#This Row],[Year (Range)]]&lt;=$C$10),BrokerageStocks45[[#This Row],[Rent: Fixed Average Return EOY Investment Balance ($)]],NA())</f>
        <v>1617505.9989308065</v>
      </c>
      <c r="S49" s="224">
        <f t="shared" ca="1" si="0"/>
        <v>6.945637444017326E-2</v>
      </c>
      <c r="T49" s="222">
        <f t="shared" si="2"/>
        <v>0.08</v>
      </c>
      <c r="V49" s="208">
        <f>'Difference in Expenses'!AF45</f>
        <v>64059.751765888454</v>
      </c>
      <c r="W49" s="164">
        <f t="shared" ca="1" si="3"/>
        <v>320676.0165769186</v>
      </c>
      <c r="X49" s="209">
        <f ca="1">BrokerageStocks4546[[#This Row],[Simulation BOY Balance ($)]]+(BrokerageStocks4546[[#This Row],[Contributions ($)]]/2)</f>
        <v>352705.89245986281</v>
      </c>
      <c r="Y49" s="160">
        <f ca="1">BrokerageStocks4546[[#This Row],[Simulation Average Annual Balance ($)]]*Table53[[#This Row],[Simulated Return (%)]]</f>
        <v>24497.672533947713</v>
      </c>
      <c r="Z49" s="160">
        <f ca="1">BrokerageStocks4546[[#This Row],[Simulation BOY Balance ($)]]+BrokerageStocks4546[[#This Row],[Contributions ($)]]+BrokerageStocks4546[[#This Row],[Simulated Return ($)]]</f>
        <v>409233.44087675482</v>
      </c>
      <c r="AA49" s="160">
        <f t="shared" si="5"/>
        <v>295851.62921596918</v>
      </c>
      <c r="AB49" s="160">
        <f>BrokerageStocks4546[[#This Row],[Fixed Return BOY Balance ($)]]+BrokerageStocks4546[[#This Row],[Contributions ($)]]</f>
        <v>359911.38098185766</v>
      </c>
      <c r="AC49" s="160">
        <f>BrokerageStocks4546[[#This Row],[Fixed Return Average Balance ($)]]*annual_stock_market_return</f>
        <v>28792.910478548612</v>
      </c>
      <c r="AD49" s="160">
        <f>BrokerageStocks4546[[#This Row],[Fixed Return BOY Balance ($)]]+BrokerageStocks4546[[#This Row],[Contributions ($)]]+BrokerageStocks4546[[#This Row],[Fixed Average Return ($)]]</f>
        <v>388704.29146040627</v>
      </c>
      <c r="AF49" s="208">
        <v>0</v>
      </c>
      <c r="AG49" s="164">
        <f t="shared" ca="1" si="4"/>
        <v>1095471.3607407992</v>
      </c>
      <c r="AH49" s="209">
        <f ca="1">BrokerageStocks45[[#This Row],[Simulation BOY Balance ($)]]+(BrokerageStocks45[[#This Row],[Contributions ($)]]/2)</f>
        <v>1095471.3607407992</v>
      </c>
      <c r="AI49" s="160">
        <f ca="1">BrokerageStocks45[[#This Row],[Simulation Average Annual Balance ($)]]*Table53[[#This Row],[Simulated Return (%)]]</f>
        <v>76087.469020099074</v>
      </c>
      <c r="AJ49" s="160">
        <f ca="1">BrokerageStocks45[[#This Row],[Simulation BOY Balance ($)]]+BrokerageStocks45[[#This Row],[Contributions ($)]]+BrokerageStocks45[[#This Row],[Simulated Return ($)]]</f>
        <v>1171558.8297608984</v>
      </c>
      <c r="AK49" s="164">
        <f t="shared" si="6"/>
        <v>1497690.7397507469</v>
      </c>
      <c r="AL49" s="209">
        <f>BrokerageStocks45[[#This Row],[Fixed Return BOY Balance ($)]]+(BrokerageStocks45[[#This Row],[Contributions ($)]]/2)</f>
        <v>1497690.7397507469</v>
      </c>
      <c r="AM49" s="160">
        <f>BrokerageStocks45[[#This Row],[Fixed Return Average Annual Balance]]*annual_stock_market_return</f>
        <v>119815.25918005976</v>
      </c>
      <c r="AN49" s="160">
        <f>BrokerageStocks45[[#This Row],[Fixed Return BOY Balance ($)]]+BrokerageStocks45[[#This Row],[Contributions ($)]]+BrokerageStocks45[[#This Row],[Fixed Average Return ($)]]</f>
        <v>1617505.9989308065</v>
      </c>
    </row>
    <row r="50" spans="11:40" x14ac:dyDescent="0.25">
      <c r="K50">
        <v>28</v>
      </c>
      <c r="L50">
        <f t="shared" si="1"/>
        <v>2050</v>
      </c>
      <c r="M50" s="198">
        <f>IF(Table53[[#This Row],[Calendar Year]]&gt;=$C$8,Table53[[#This Row],[Calendar Year]],NA())</f>
        <v>2050</v>
      </c>
      <c r="N50" s="198" t="e">
        <f>IF((Table53[[#This Row],[Calendar Year]]&gt;=$C$8)*(Table53[[#This Row],[Calendar Year]]&lt;=$C$10),Table53[[#This Row],[Calendar Year]],NA())</f>
        <v>#N/A</v>
      </c>
      <c r="O50" s="214" t="e">
        <f>IF((Table53[[#This Row],[Year (Range)]]&gt;=$C$8)*(Table53[[#This Row],[Year (Range)]]&lt;=$C$10),BrokerageStocks4546[[#This Row],[Buy: Simulated EOY Investment Balance ($)]],NA())</f>
        <v>#N/A</v>
      </c>
      <c r="P50" s="214" t="e">
        <f>IF((Table53[[#This Row],[Year (Range)]]&gt;=$C$8)*(Table53[[#This Row],[Year (Range)]]&lt;=$C$10),BrokerageStocks45[[#This Row],[Rent: Simulated EOY Investment Balance ($)]],NA())</f>
        <v>#N/A</v>
      </c>
      <c r="Q50" s="214" t="e">
        <f>IF((Table53[[#This Row],[Year (Range)]]&gt;=$C$8)*(Table53[[#This Row],[Year (Range)]]&lt;=$C$10),BrokerageStocks4546[[#This Row],[Buy: Fixed Average Return EOY Investment Balance ($)]],NA())</f>
        <v>#N/A</v>
      </c>
      <c r="R50" s="214" t="e">
        <f>IF((Table53[[#This Row],[Year (Range)]]&gt;=$C$8)*(Table53[[#This Row],[Year (Range)]]&lt;=$C$10),BrokerageStocks45[[#This Row],[Rent: Fixed Average Return EOY Investment Balance ($)]],NA())</f>
        <v>#N/A</v>
      </c>
      <c r="S50" s="224">
        <f t="shared" ca="1" si="0"/>
        <v>-0.10689019576918633</v>
      </c>
      <c r="T50" s="222">
        <f t="shared" si="2"/>
        <v>0.08</v>
      </c>
      <c r="V50" s="208">
        <f>'Difference in Expenses'!AF46</f>
        <v>73405.611586928964</v>
      </c>
      <c r="W50" s="164">
        <f t="shared" ca="1" si="3"/>
        <v>409233.44087675482</v>
      </c>
      <c r="X50" s="209">
        <f ca="1">BrokerageStocks4546[[#This Row],[Simulation BOY Balance ($)]]+(BrokerageStocks4546[[#This Row],[Contributions ($)]]/2)</f>
        <v>445936.24667021929</v>
      </c>
      <c r="Y50" s="160">
        <f ca="1">BrokerageStocks4546[[#This Row],[Simulation Average Annual Balance ($)]]*Table53[[#This Row],[Simulated Return (%)]]</f>
        <v>-47666.212707155908</v>
      </c>
      <c r="Z50" s="160">
        <f ca="1">BrokerageStocks4546[[#This Row],[Simulation BOY Balance ($)]]+BrokerageStocks4546[[#This Row],[Contributions ($)]]+BrokerageStocks4546[[#This Row],[Simulated Return ($)]]</f>
        <v>434972.83975652786</v>
      </c>
      <c r="AA50" s="160">
        <f t="shared" si="5"/>
        <v>388704.29146040627</v>
      </c>
      <c r="AB50" s="160">
        <f>BrokerageStocks4546[[#This Row],[Fixed Return BOY Balance ($)]]+BrokerageStocks4546[[#This Row],[Contributions ($)]]</f>
        <v>462109.90304733522</v>
      </c>
      <c r="AC50" s="160">
        <f>BrokerageStocks4546[[#This Row],[Fixed Return Average Balance ($)]]*annual_stock_market_return</f>
        <v>36968.792243786818</v>
      </c>
      <c r="AD50" s="160">
        <f>BrokerageStocks4546[[#This Row],[Fixed Return BOY Balance ($)]]+BrokerageStocks4546[[#This Row],[Contributions ($)]]+BrokerageStocks4546[[#This Row],[Fixed Average Return ($)]]</f>
        <v>499078.69529112201</v>
      </c>
      <c r="AF50" s="208">
        <v>0</v>
      </c>
      <c r="AG50" s="164">
        <f t="shared" ca="1" si="4"/>
        <v>1171558.8297608984</v>
      </c>
      <c r="AH50" s="209">
        <f ca="1">BrokerageStocks45[[#This Row],[Simulation BOY Balance ($)]]+(BrokerageStocks45[[#This Row],[Contributions ($)]]/2)</f>
        <v>1171558.8297608984</v>
      </c>
      <c r="AI50" s="160">
        <f ca="1">BrokerageStocks45[[#This Row],[Simulation Average Annual Balance ($)]]*Table53[[#This Row],[Simulated Return (%)]]</f>
        <v>-125228.15266826127</v>
      </c>
      <c r="AJ50" s="160">
        <f ca="1">BrokerageStocks45[[#This Row],[Simulation BOY Balance ($)]]+BrokerageStocks45[[#This Row],[Contributions ($)]]+BrokerageStocks45[[#This Row],[Simulated Return ($)]]</f>
        <v>1046330.6770926371</v>
      </c>
      <c r="AK50" s="164">
        <f t="shared" si="6"/>
        <v>1617505.9989308065</v>
      </c>
      <c r="AL50" s="209">
        <f>BrokerageStocks45[[#This Row],[Fixed Return BOY Balance ($)]]+(BrokerageStocks45[[#This Row],[Contributions ($)]]/2)</f>
        <v>1617505.9989308065</v>
      </c>
      <c r="AM50" s="160">
        <f>BrokerageStocks45[[#This Row],[Fixed Return Average Annual Balance]]*annual_stock_market_return</f>
        <v>129400.47991446452</v>
      </c>
      <c r="AN50" s="160">
        <f>BrokerageStocks45[[#This Row],[Fixed Return BOY Balance ($)]]+BrokerageStocks45[[#This Row],[Contributions ($)]]+BrokerageStocks45[[#This Row],[Fixed Average Return ($)]]</f>
        <v>1746906.478845271</v>
      </c>
    </row>
    <row r="51" spans="11:40" x14ac:dyDescent="0.25">
      <c r="K51">
        <v>29</v>
      </c>
      <c r="L51">
        <f t="shared" si="1"/>
        <v>2051</v>
      </c>
      <c r="M51" s="198">
        <f>IF(Table53[[#This Row],[Calendar Year]]&gt;=$C$8,Table53[[#This Row],[Calendar Year]],NA())</f>
        <v>2051</v>
      </c>
      <c r="N51" s="198" t="e">
        <f>IF((Table53[[#This Row],[Calendar Year]]&gt;=$C$8)*(Table53[[#This Row],[Calendar Year]]&lt;=$C$10),Table53[[#This Row],[Calendar Year]],NA())</f>
        <v>#N/A</v>
      </c>
      <c r="O51" s="214" t="e">
        <f>IF((Table53[[#This Row],[Year (Range)]]&gt;=$C$8)*(Table53[[#This Row],[Year (Range)]]&lt;=$C$10),BrokerageStocks4546[[#This Row],[Buy: Simulated EOY Investment Balance ($)]],NA())</f>
        <v>#N/A</v>
      </c>
      <c r="P51" s="214" t="e">
        <f>IF((Table53[[#This Row],[Year (Range)]]&gt;=$C$8)*(Table53[[#This Row],[Year (Range)]]&lt;=$C$10),BrokerageStocks45[[#This Row],[Rent: Simulated EOY Investment Balance ($)]],NA())</f>
        <v>#N/A</v>
      </c>
      <c r="Q51" s="214" t="e">
        <f>IF((Table53[[#This Row],[Year (Range)]]&gt;=$C$8)*(Table53[[#This Row],[Year (Range)]]&lt;=$C$10),BrokerageStocks4546[[#This Row],[Buy: Fixed Average Return EOY Investment Balance ($)]],NA())</f>
        <v>#N/A</v>
      </c>
      <c r="R51" s="214" t="e">
        <f>IF((Table53[[#This Row],[Year (Range)]]&gt;=$C$8)*(Table53[[#This Row],[Year (Range)]]&lt;=$C$10),BrokerageStocks45[[#This Row],[Rent: Fixed Average Return EOY Investment Balance ($)]],NA())</f>
        <v>#N/A</v>
      </c>
      <c r="S51" s="224">
        <f t="shared" ca="1" si="0"/>
        <v>0.19798466240515741</v>
      </c>
      <c r="T51" s="222">
        <f t="shared" si="2"/>
        <v>0.08</v>
      </c>
      <c r="V51" s="208">
        <f>'Difference in Expenses'!AF47</f>
        <v>76687.313129442453</v>
      </c>
      <c r="W51" s="164">
        <f t="shared" ca="1" si="3"/>
        <v>434972.83975652786</v>
      </c>
      <c r="X51" s="209">
        <f ca="1">BrokerageStocks4546[[#This Row],[Simulation BOY Balance ($)]]+(BrokerageStocks4546[[#This Row],[Contributions ($)]]/2)</f>
        <v>473316.49632124905</v>
      </c>
      <c r="Y51" s="160">
        <f ca="1">BrokerageStocks4546[[#This Row],[Simulation Average Annual Balance ($)]]*Table53[[#This Row],[Simulated Return (%)]]</f>
        <v>93709.40673495442</v>
      </c>
      <c r="Z51" s="160">
        <f ca="1">BrokerageStocks4546[[#This Row],[Simulation BOY Balance ($)]]+BrokerageStocks4546[[#This Row],[Contributions ($)]]+BrokerageStocks4546[[#This Row],[Simulated Return ($)]]</f>
        <v>605369.55962092476</v>
      </c>
      <c r="AA51" s="160">
        <f t="shared" si="5"/>
        <v>499078.69529112201</v>
      </c>
      <c r="AB51" s="160">
        <f>BrokerageStocks4546[[#This Row],[Fixed Return BOY Balance ($)]]+BrokerageStocks4546[[#This Row],[Contributions ($)]]</f>
        <v>575766.00842056447</v>
      </c>
      <c r="AC51" s="160">
        <f>BrokerageStocks4546[[#This Row],[Fixed Return Average Balance ($)]]*annual_stock_market_return</f>
        <v>46061.28067364516</v>
      </c>
      <c r="AD51" s="160">
        <f>BrokerageStocks4546[[#This Row],[Fixed Return BOY Balance ($)]]+BrokerageStocks4546[[#This Row],[Contributions ($)]]+BrokerageStocks4546[[#This Row],[Fixed Average Return ($)]]</f>
        <v>621827.28909420967</v>
      </c>
      <c r="AF51" s="208">
        <v>0</v>
      </c>
      <c r="AG51" s="164">
        <f t="shared" ca="1" si="4"/>
        <v>1046330.6770926371</v>
      </c>
      <c r="AH51" s="209">
        <f ca="1">BrokerageStocks45[[#This Row],[Simulation BOY Balance ($)]]+(BrokerageStocks45[[#This Row],[Contributions ($)]]/2)</f>
        <v>1046330.6770926371</v>
      </c>
      <c r="AI51" s="160">
        <f ca="1">BrokerageStocks45[[#This Row],[Simulation Average Annual Balance ($)]]*Table53[[#This Row],[Simulated Return (%)]]</f>
        <v>207157.42586834551</v>
      </c>
      <c r="AJ51" s="160">
        <f ca="1">BrokerageStocks45[[#This Row],[Simulation BOY Balance ($)]]+BrokerageStocks45[[#This Row],[Contributions ($)]]+BrokerageStocks45[[#This Row],[Simulated Return ($)]]</f>
        <v>1253488.1029609826</v>
      </c>
      <c r="AK51" s="164">
        <f t="shared" si="6"/>
        <v>1746906.478845271</v>
      </c>
      <c r="AL51" s="209">
        <f>BrokerageStocks45[[#This Row],[Fixed Return BOY Balance ($)]]+(BrokerageStocks45[[#This Row],[Contributions ($)]]/2)</f>
        <v>1746906.478845271</v>
      </c>
      <c r="AM51" s="160">
        <f>BrokerageStocks45[[#This Row],[Fixed Return Average Annual Balance]]*annual_stock_market_return</f>
        <v>139752.51830762168</v>
      </c>
      <c r="AN51" s="160">
        <f>BrokerageStocks45[[#This Row],[Fixed Return BOY Balance ($)]]+BrokerageStocks45[[#This Row],[Contributions ($)]]+BrokerageStocks45[[#This Row],[Fixed Average Return ($)]]</f>
        <v>1886658.9971528926</v>
      </c>
    </row>
    <row r="52" spans="11:40" x14ac:dyDescent="0.25">
      <c r="K52">
        <v>30</v>
      </c>
      <c r="L52">
        <f t="shared" si="1"/>
        <v>2052</v>
      </c>
      <c r="M52" s="198">
        <f>IF(Table53[[#This Row],[Calendar Year]]&gt;=$C$8,Table53[[#This Row],[Calendar Year]],NA())</f>
        <v>2052</v>
      </c>
      <c r="N52" s="198" t="e">
        <f>IF((Table53[[#This Row],[Calendar Year]]&gt;=$C$8)*(Table53[[#This Row],[Calendar Year]]&lt;=$C$10),Table53[[#This Row],[Calendar Year]],NA())</f>
        <v>#N/A</v>
      </c>
      <c r="O52" s="214" t="e">
        <f>IF((Table53[[#This Row],[Year (Range)]]&gt;=$C$8)*(Table53[[#This Row],[Year (Range)]]&lt;=$C$10),BrokerageStocks4546[[#This Row],[Buy: Simulated EOY Investment Balance ($)]],NA())</f>
        <v>#N/A</v>
      </c>
      <c r="P52" s="214" t="e">
        <f>IF((Table53[[#This Row],[Year (Range)]]&gt;=$C$8)*(Table53[[#This Row],[Year (Range)]]&lt;=$C$10),BrokerageStocks45[[#This Row],[Rent: Simulated EOY Investment Balance ($)]],NA())</f>
        <v>#N/A</v>
      </c>
      <c r="Q52" s="214" t="e">
        <f>IF((Table53[[#This Row],[Year (Range)]]&gt;=$C$8)*(Table53[[#This Row],[Year (Range)]]&lt;=$C$10),BrokerageStocks4546[[#This Row],[Buy: Fixed Average Return EOY Investment Balance ($)]],NA())</f>
        <v>#N/A</v>
      </c>
      <c r="R52" s="214" t="e">
        <f>IF((Table53[[#This Row],[Year (Range)]]&gt;=$C$8)*(Table53[[#This Row],[Year (Range)]]&lt;=$C$10),BrokerageStocks45[[#This Row],[Rent: Fixed Average Return EOY Investment Balance ($)]],NA())</f>
        <v>#N/A</v>
      </c>
      <c r="S52" s="224">
        <f t="shared" ca="1" si="0"/>
        <v>8.1319287642312513E-2</v>
      </c>
      <c r="T52" s="222">
        <f t="shared" si="2"/>
        <v>0.08</v>
      </c>
      <c r="V52" s="208">
        <f>'Difference in Expenses'!AF48</f>
        <v>80110.64704602756</v>
      </c>
      <c r="W52" s="164">
        <f t="shared" ca="1" si="3"/>
        <v>605369.55962092476</v>
      </c>
      <c r="X52" s="209">
        <f ca="1">BrokerageStocks4546[[#This Row],[Simulation BOY Balance ($)]]+(BrokerageStocks4546[[#This Row],[Contributions ($)]]/2)</f>
        <v>645424.8831439385</v>
      </c>
      <c r="Y52" s="160">
        <f ca="1">BrokerageStocks4546[[#This Row],[Simulation Average Annual Balance ($)]]*Table53[[#This Row],[Simulated Return (%)]]</f>
        <v>52485.491723887877</v>
      </c>
      <c r="Z52" s="160">
        <f ca="1">BrokerageStocks4546[[#This Row],[Simulation BOY Balance ($)]]+BrokerageStocks4546[[#This Row],[Contributions ($)]]+BrokerageStocks4546[[#This Row],[Simulated Return ($)]]</f>
        <v>737965.6983908402</v>
      </c>
      <c r="AA52" s="160">
        <f t="shared" si="5"/>
        <v>621827.28909420967</v>
      </c>
      <c r="AB52" s="160">
        <f>BrokerageStocks4546[[#This Row],[Fixed Return BOY Balance ($)]]+BrokerageStocks4546[[#This Row],[Contributions ($)]]</f>
        <v>701937.93614023726</v>
      </c>
      <c r="AC52" s="160">
        <f>BrokerageStocks4546[[#This Row],[Fixed Return Average Balance ($)]]*annual_stock_market_return</f>
        <v>56155.03489121898</v>
      </c>
      <c r="AD52" s="160">
        <f>BrokerageStocks4546[[#This Row],[Fixed Return BOY Balance ($)]]+BrokerageStocks4546[[#This Row],[Contributions ($)]]+BrokerageStocks4546[[#This Row],[Fixed Average Return ($)]]</f>
        <v>758092.97103145625</v>
      </c>
      <c r="AF52" s="208">
        <v>0</v>
      </c>
      <c r="AG52" s="164">
        <f t="shared" ca="1" si="4"/>
        <v>1253488.1029609826</v>
      </c>
      <c r="AH52" s="209">
        <f ca="1">BrokerageStocks45[[#This Row],[Simulation BOY Balance ($)]]+(BrokerageStocks45[[#This Row],[Contributions ($)]]/2)</f>
        <v>1253488.1029609826</v>
      </c>
      <c r="AI52" s="160">
        <f ca="1">BrokerageStocks45[[#This Row],[Simulation Average Annual Balance ($)]]*Table53[[#This Row],[Simulated Return (%)]]</f>
        <v>101932.75960090078</v>
      </c>
      <c r="AJ52" s="160">
        <f ca="1">BrokerageStocks45[[#This Row],[Simulation BOY Balance ($)]]+BrokerageStocks45[[#This Row],[Contributions ($)]]+BrokerageStocks45[[#This Row],[Simulated Return ($)]]</f>
        <v>1355420.8625618834</v>
      </c>
      <c r="AK52" s="164">
        <f t="shared" si="6"/>
        <v>1886658.9971528926</v>
      </c>
      <c r="AL52" s="209">
        <f>BrokerageStocks45[[#This Row],[Fixed Return BOY Balance ($)]]+(BrokerageStocks45[[#This Row],[Contributions ($)]]/2)</f>
        <v>1886658.9971528926</v>
      </c>
      <c r="AM52" s="160">
        <f>BrokerageStocks45[[#This Row],[Fixed Return Average Annual Balance]]*annual_stock_market_return</f>
        <v>150932.71977223142</v>
      </c>
      <c r="AN52" s="160">
        <f>BrokerageStocks45[[#This Row],[Fixed Return BOY Balance ($)]]+BrokerageStocks45[[#This Row],[Contributions ($)]]+BrokerageStocks45[[#This Row],[Fixed Average Return ($)]]</f>
        <v>2037591.7169251242</v>
      </c>
    </row>
    <row r="53" spans="11:40" x14ac:dyDescent="0.25">
      <c r="K53">
        <v>31</v>
      </c>
      <c r="L53">
        <f t="shared" si="1"/>
        <v>2053</v>
      </c>
      <c r="M53" s="198">
        <f>IF(Table53[[#This Row],[Calendar Year]]&gt;=$C$8,Table53[[#This Row],[Calendar Year]],NA())</f>
        <v>2053</v>
      </c>
      <c r="N53" s="198" t="e">
        <f>IF((Table53[[#This Row],[Calendar Year]]&gt;=$C$8)*(Table53[[#This Row],[Calendar Year]]&lt;=$C$10),Table53[[#This Row],[Calendar Year]],NA())</f>
        <v>#N/A</v>
      </c>
      <c r="O53" s="214" t="e">
        <f>IF((Table53[[#This Row],[Year (Range)]]&gt;=$C$8)*(Table53[[#This Row],[Year (Range)]]&lt;=$C$10),BrokerageStocks4546[[#This Row],[Buy: Simulated EOY Investment Balance ($)]],NA())</f>
        <v>#N/A</v>
      </c>
      <c r="P53" s="214" t="e">
        <f>IF((Table53[[#This Row],[Year (Range)]]&gt;=$C$8)*(Table53[[#This Row],[Year (Range)]]&lt;=$C$10),BrokerageStocks45[[#This Row],[Rent: Simulated EOY Investment Balance ($)]],NA())</f>
        <v>#N/A</v>
      </c>
      <c r="Q53" s="214" t="e">
        <f>IF((Table53[[#This Row],[Year (Range)]]&gt;=$C$8)*(Table53[[#This Row],[Year (Range)]]&lt;=$C$10),BrokerageStocks4546[[#This Row],[Buy: Fixed Average Return EOY Investment Balance ($)]],NA())</f>
        <v>#N/A</v>
      </c>
      <c r="R53" s="214" t="e">
        <f>IF((Table53[[#This Row],[Year (Range)]]&gt;=$C$8)*(Table53[[#This Row],[Year (Range)]]&lt;=$C$10),BrokerageStocks45[[#This Row],[Rent: Fixed Average Return EOY Investment Balance ($)]],NA())</f>
        <v>#N/A</v>
      </c>
      <c r="S53" s="224">
        <f t="shared" ca="1" si="0"/>
        <v>7.1482660148891111E-2</v>
      </c>
      <c r="T53" s="222">
        <f t="shared" si="2"/>
        <v>0.08</v>
      </c>
      <c r="V53" s="208">
        <f>'Difference in Expenses'!AF49</f>
        <v>83681.589561018307</v>
      </c>
      <c r="W53" s="164">
        <f t="shared" ca="1" si="3"/>
        <v>737965.6983908402</v>
      </c>
      <c r="X53" s="209">
        <f ca="1">BrokerageStocks4546[[#This Row],[Simulation BOY Balance ($)]]+(BrokerageStocks4546[[#This Row],[Contributions ($)]]/2)</f>
        <v>779806.4931713494</v>
      </c>
      <c r="Y53" s="160">
        <f ca="1">BrokerageStocks4546[[#This Row],[Simulation Average Annual Balance ($)]]*Table53[[#This Row],[Simulated Return (%)]]</f>
        <v>55742.642533266146</v>
      </c>
      <c r="Z53" s="160">
        <f ca="1">BrokerageStocks4546[[#This Row],[Simulation BOY Balance ($)]]+BrokerageStocks4546[[#This Row],[Contributions ($)]]+BrokerageStocks4546[[#This Row],[Simulated Return ($)]]</f>
        <v>877389.93048512458</v>
      </c>
      <c r="AA53" s="160">
        <f t="shared" si="5"/>
        <v>758092.97103145625</v>
      </c>
      <c r="AB53" s="160">
        <f>BrokerageStocks4546[[#This Row],[Fixed Return BOY Balance ($)]]+BrokerageStocks4546[[#This Row],[Contributions ($)]]</f>
        <v>841774.56059247453</v>
      </c>
      <c r="AC53" s="160">
        <f>BrokerageStocks4546[[#This Row],[Fixed Return Average Balance ($)]]*annual_stock_market_return</f>
        <v>67341.964847397961</v>
      </c>
      <c r="AD53" s="160">
        <f>BrokerageStocks4546[[#This Row],[Fixed Return BOY Balance ($)]]+BrokerageStocks4546[[#This Row],[Contributions ($)]]+BrokerageStocks4546[[#This Row],[Fixed Average Return ($)]]</f>
        <v>909116.52543987252</v>
      </c>
      <c r="AF53" s="208">
        <v>0</v>
      </c>
      <c r="AG53" s="164">
        <f t="shared" ca="1" si="4"/>
        <v>1355420.8625618834</v>
      </c>
      <c r="AH53" s="209">
        <f ca="1">BrokerageStocks45[[#This Row],[Simulation BOY Balance ($)]]+(BrokerageStocks45[[#This Row],[Contributions ($)]]/2)</f>
        <v>1355420.8625618834</v>
      </c>
      <c r="AI53" s="160">
        <f ca="1">BrokerageStocks45[[#This Row],[Simulation Average Annual Balance ($)]]*Table53[[#This Row],[Simulated Return (%)]]</f>
        <v>96889.088877227958</v>
      </c>
      <c r="AJ53" s="160">
        <f ca="1">BrokerageStocks45[[#This Row],[Simulation BOY Balance ($)]]+BrokerageStocks45[[#This Row],[Contributions ($)]]+BrokerageStocks45[[#This Row],[Simulated Return ($)]]</f>
        <v>1452309.9514391113</v>
      </c>
      <c r="AK53" s="164">
        <f t="shared" si="6"/>
        <v>2037591.7169251242</v>
      </c>
      <c r="AL53" s="209">
        <f>BrokerageStocks45[[#This Row],[Fixed Return BOY Balance ($)]]+(BrokerageStocks45[[#This Row],[Contributions ($)]]/2)</f>
        <v>2037591.7169251242</v>
      </c>
      <c r="AM53" s="160">
        <f>BrokerageStocks45[[#This Row],[Fixed Return Average Annual Balance]]*annual_stock_market_return</f>
        <v>163007.33735400994</v>
      </c>
      <c r="AN53" s="160">
        <f>BrokerageStocks45[[#This Row],[Fixed Return BOY Balance ($)]]+BrokerageStocks45[[#This Row],[Contributions ($)]]+BrokerageStocks45[[#This Row],[Fixed Average Return ($)]]</f>
        <v>2200599.0542791341</v>
      </c>
    </row>
    <row r="54" spans="11:40" x14ac:dyDescent="0.25">
      <c r="K54">
        <v>32</v>
      </c>
      <c r="L54">
        <f t="shared" si="1"/>
        <v>2054</v>
      </c>
      <c r="M54" s="198">
        <f>IF(Table53[[#This Row],[Calendar Year]]&gt;=$C$8,Table53[[#This Row],[Calendar Year]],NA())</f>
        <v>2054</v>
      </c>
      <c r="N54" s="198" t="e">
        <f>IF((Table53[[#This Row],[Calendar Year]]&gt;=$C$8)*(Table53[[#This Row],[Calendar Year]]&lt;=$C$10),Table53[[#This Row],[Calendar Year]],NA())</f>
        <v>#N/A</v>
      </c>
      <c r="O54" s="214" t="e">
        <f>IF((Table53[[#This Row],[Year (Range)]]&gt;=$C$8)*(Table53[[#This Row],[Year (Range)]]&lt;=$C$10),BrokerageStocks4546[[#This Row],[Buy: Simulated EOY Investment Balance ($)]],NA())</f>
        <v>#N/A</v>
      </c>
      <c r="P54" s="214" t="e">
        <f>IF((Table53[[#This Row],[Year (Range)]]&gt;=$C$8)*(Table53[[#This Row],[Year (Range)]]&lt;=$C$10),BrokerageStocks45[[#This Row],[Rent: Simulated EOY Investment Balance ($)]],NA())</f>
        <v>#N/A</v>
      </c>
      <c r="Q54" s="214" t="e">
        <f>IF((Table53[[#This Row],[Year (Range)]]&gt;=$C$8)*(Table53[[#This Row],[Year (Range)]]&lt;=$C$10),BrokerageStocks4546[[#This Row],[Buy: Fixed Average Return EOY Investment Balance ($)]],NA())</f>
        <v>#N/A</v>
      </c>
      <c r="R54" s="214" t="e">
        <f>IF((Table53[[#This Row],[Year (Range)]]&gt;=$C$8)*(Table53[[#This Row],[Year (Range)]]&lt;=$C$10),BrokerageStocks45[[#This Row],[Rent: Fixed Average Return EOY Investment Balance ($)]],NA())</f>
        <v>#N/A</v>
      </c>
      <c r="S54" s="224">
        <f t="shared" ref="S54:S85" ca="1" si="7">NORMINV(RAND(),simulation_stock_market_mean_return,simulation_stock_market_standarddev_return)</f>
        <v>0.22318002139620741</v>
      </c>
      <c r="T54" s="222">
        <f t="shared" si="2"/>
        <v>0.08</v>
      </c>
      <c r="V54" s="208">
        <f>'Difference in Expenses'!AF50</f>
        <v>87406.365275603166</v>
      </c>
      <c r="W54" s="164">
        <f t="shared" ca="1" si="3"/>
        <v>877389.93048512458</v>
      </c>
      <c r="X54" s="209">
        <f ca="1">BrokerageStocks4546[[#This Row],[Simulation BOY Balance ($)]]+(BrokerageStocks4546[[#This Row],[Contributions ($)]]/2)</f>
        <v>921093.11312292621</v>
      </c>
      <c r="Y54" s="160">
        <f ca="1">BrokerageStocks4546[[#This Row],[Simulation Average Annual Balance ($)]]*Table53[[#This Row],[Simulated Return (%)]]</f>
        <v>205569.58069467396</v>
      </c>
      <c r="Z54" s="160">
        <f ca="1">BrokerageStocks4546[[#This Row],[Simulation BOY Balance ($)]]+BrokerageStocks4546[[#This Row],[Contributions ($)]]+BrokerageStocks4546[[#This Row],[Simulated Return ($)]]</f>
        <v>1170365.8764554018</v>
      </c>
      <c r="AA54" s="160">
        <f t="shared" si="5"/>
        <v>909116.52543987252</v>
      </c>
      <c r="AB54" s="160">
        <f>BrokerageStocks4546[[#This Row],[Fixed Return BOY Balance ($)]]+BrokerageStocks4546[[#This Row],[Contributions ($)]]</f>
        <v>996522.89071547566</v>
      </c>
      <c r="AC54" s="160">
        <f>BrokerageStocks4546[[#This Row],[Fixed Return Average Balance ($)]]*annual_stock_market_return</f>
        <v>79721.831257238053</v>
      </c>
      <c r="AD54" s="160">
        <f>BrokerageStocks4546[[#This Row],[Fixed Return BOY Balance ($)]]+BrokerageStocks4546[[#This Row],[Contributions ($)]]+BrokerageStocks4546[[#This Row],[Fixed Average Return ($)]]</f>
        <v>1076244.7219727137</v>
      </c>
      <c r="AF54" s="208">
        <v>0</v>
      </c>
      <c r="AG54" s="164">
        <f t="shared" ca="1" si="4"/>
        <v>1452309.9514391113</v>
      </c>
      <c r="AH54" s="209">
        <f ca="1">BrokerageStocks45[[#This Row],[Simulation BOY Balance ($)]]+(BrokerageStocks45[[#This Row],[Contributions ($)]]/2)</f>
        <v>1452309.9514391113</v>
      </c>
      <c r="AI54" s="160">
        <f ca="1">BrokerageStocks45[[#This Row],[Simulation Average Annual Balance ($)]]*Table53[[#This Row],[Simulated Return (%)]]</f>
        <v>324126.5660361058</v>
      </c>
      <c r="AJ54" s="160">
        <f ca="1">BrokerageStocks45[[#This Row],[Simulation BOY Balance ($)]]+BrokerageStocks45[[#This Row],[Contributions ($)]]+BrokerageStocks45[[#This Row],[Simulated Return ($)]]</f>
        <v>1776436.5174752171</v>
      </c>
      <c r="AK54" s="164">
        <f t="shared" si="6"/>
        <v>2200599.0542791341</v>
      </c>
      <c r="AL54" s="209">
        <f>BrokerageStocks45[[#This Row],[Fixed Return BOY Balance ($)]]+(BrokerageStocks45[[#This Row],[Contributions ($)]]/2)</f>
        <v>2200599.0542791341</v>
      </c>
      <c r="AM54" s="160">
        <f>BrokerageStocks45[[#This Row],[Fixed Return Average Annual Balance]]*annual_stock_market_return</f>
        <v>176047.92434233075</v>
      </c>
      <c r="AN54" s="160">
        <f>BrokerageStocks45[[#This Row],[Fixed Return BOY Balance ($)]]+BrokerageStocks45[[#This Row],[Contributions ($)]]+BrokerageStocks45[[#This Row],[Fixed Average Return ($)]]</f>
        <v>2376646.9786214647</v>
      </c>
    </row>
    <row r="55" spans="11:40" x14ac:dyDescent="0.25">
      <c r="K55">
        <v>33</v>
      </c>
      <c r="L55">
        <f t="shared" ref="L55:L86" si="8">purchase_year+K55</f>
        <v>2055</v>
      </c>
      <c r="M55" s="198">
        <f>IF(Table53[[#This Row],[Calendar Year]]&gt;=$C$8,Table53[[#This Row],[Calendar Year]],NA())</f>
        <v>2055</v>
      </c>
      <c r="N55" s="198" t="e">
        <f>IF((Table53[[#This Row],[Calendar Year]]&gt;=$C$8)*(Table53[[#This Row],[Calendar Year]]&lt;=$C$10),Table53[[#This Row],[Calendar Year]],NA())</f>
        <v>#N/A</v>
      </c>
      <c r="O55" s="214" t="e">
        <f>IF((Table53[[#This Row],[Year (Range)]]&gt;=$C$8)*(Table53[[#This Row],[Year (Range)]]&lt;=$C$10),BrokerageStocks4546[[#This Row],[Buy: Simulated EOY Investment Balance ($)]],NA())</f>
        <v>#N/A</v>
      </c>
      <c r="P55" s="214" t="e">
        <f>IF((Table53[[#This Row],[Year (Range)]]&gt;=$C$8)*(Table53[[#This Row],[Year (Range)]]&lt;=$C$10),BrokerageStocks45[[#This Row],[Rent: Simulated EOY Investment Balance ($)]],NA())</f>
        <v>#N/A</v>
      </c>
      <c r="Q55" s="214" t="e">
        <f>IF((Table53[[#This Row],[Year (Range)]]&gt;=$C$8)*(Table53[[#This Row],[Year (Range)]]&lt;=$C$10),BrokerageStocks4546[[#This Row],[Buy: Fixed Average Return EOY Investment Balance ($)]],NA())</f>
        <v>#N/A</v>
      </c>
      <c r="R55" s="214" t="e">
        <f>IF((Table53[[#This Row],[Year (Range)]]&gt;=$C$8)*(Table53[[#This Row],[Year (Range)]]&lt;=$C$10),BrokerageStocks45[[#This Row],[Rent: Fixed Average Return EOY Investment Balance ($)]],NA())</f>
        <v>#N/A</v>
      </c>
      <c r="S55" s="224">
        <f t="shared" ca="1" si="7"/>
        <v>0.2863563489676979</v>
      </c>
      <c r="T55" s="222">
        <f t="shared" si="2"/>
        <v>0.08</v>
      </c>
      <c r="V55" s="208">
        <f>'Difference in Expenses'!AF51</f>
        <v>91291.457382735767</v>
      </c>
      <c r="W55" s="164">
        <f t="shared" ref="W55:W86" ca="1" si="9">Z54</f>
        <v>1170365.8764554018</v>
      </c>
      <c r="X55" s="209">
        <f ca="1">BrokerageStocks4546[[#This Row],[Simulation BOY Balance ($)]]+(BrokerageStocks4546[[#This Row],[Contributions ($)]]/2)</f>
        <v>1216011.6051467697</v>
      </c>
      <c r="Y55" s="160">
        <f ca="1">BrokerageStocks4546[[#This Row],[Simulation Average Annual Balance ($)]]*Table53[[#This Row],[Simulated Return (%)]]</f>
        <v>348212.64355217887</v>
      </c>
      <c r="Z55" s="160">
        <f ca="1">BrokerageStocks4546[[#This Row],[Simulation BOY Balance ($)]]+BrokerageStocks4546[[#This Row],[Contributions ($)]]+BrokerageStocks4546[[#This Row],[Simulated Return ($)]]</f>
        <v>1609869.9773903163</v>
      </c>
      <c r="AA55" s="160">
        <f t="shared" si="5"/>
        <v>1076244.7219727137</v>
      </c>
      <c r="AB55" s="160">
        <f>BrokerageStocks4546[[#This Row],[Fixed Return BOY Balance ($)]]+BrokerageStocks4546[[#This Row],[Contributions ($)]]</f>
        <v>1167536.1793554495</v>
      </c>
      <c r="AC55" s="160">
        <f>BrokerageStocks4546[[#This Row],[Fixed Return Average Balance ($)]]*annual_stock_market_return</f>
        <v>93402.894348435962</v>
      </c>
      <c r="AD55" s="160">
        <f>BrokerageStocks4546[[#This Row],[Fixed Return BOY Balance ($)]]+BrokerageStocks4546[[#This Row],[Contributions ($)]]+BrokerageStocks4546[[#This Row],[Fixed Average Return ($)]]</f>
        <v>1260939.0737038855</v>
      </c>
      <c r="AF55" s="208">
        <v>0</v>
      </c>
      <c r="AG55" s="164">
        <f t="shared" ref="AG55:AG86" ca="1" si="10">AJ54</f>
        <v>1776436.5174752171</v>
      </c>
      <c r="AH55" s="209">
        <f ca="1">BrokerageStocks45[[#This Row],[Simulation BOY Balance ($)]]+(BrokerageStocks45[[#This Row],[Contributions ($)]]/2)</f>
        <v>1776436.5174752171</v>
      </c>
      <c r="AI55" s="160">
        <f ca="1">BrokerageStocks45[[#This Row],[Simulation Average Annual Balance ($)]]*Table53[[#This Row],[Simulated Return (%)]]</f>
        <v>508693.87531709526</v>
      </c>
      <c r="AJ55" s="160">
        <f ca="1">BrokerageStocks45[[#This Row],[Simulation BOY Balance ($)]]+BrokerageStocks45[[#This Row],[Contributions ($)]]+BrokerageStocks45[[#This Row],[Simulated Return ($)]]</f>
        <v>2285130.3927923124</v>
      </c>
      <c r="AK55" s="164">
        <f t="shared" si="6"/>
        <v>2376646.9786214647</v>
      </c>
      <c r="AL55" s="209">
        <f>BrokerageStocks45[[#This Row],[Fixed Return BOY Balance ($)]]+(BrokerageStocks45[[#This Row],[Contributions ($)]]/2)</f>
        <v>2376646.9786214647</v>
      </c>
      <c r="AM55" s="160">
        <f>BrokerageStocks45[[#This Row],[Fixed Return Average Annual Balance]]*annual_stock_market_return</f>
        <v>190131.75828971717</v>
      </c>
      <c r="AN55" s="160">
        <f>BrokerageStocks45[[#This Row],[Fixed Return BOY Balance ($)]]+BrokerageStocks45[[#This Row],[Contributions ($)]]+BrokerageStocks45[[#This Row],[Fixed Average Return ($)]]</f>
        <v>2566778.7369111818</v>
      </c>
    </row>
    <row r="56" spans="11:40" x14ac:dyDescent="0.25">
      <c r="K56">
        <v>34</v>
      </c>
      <c r="L56">
        <f t="shared" si="8"/>
        <v>2056</v>
      </c>
      <c r="M56" s="198">
        <f>IF(Table53[[#This Row],[Calendar Year]]&gt;=$C$8,Table53[[#This Row],[Calendar Year]],NA())</f>
        <v>2056</v>
      </c>
      <c r="N56" s="198" t="e">
        <f>IF((Table53[[#This Row],[Calendar Year]]&gt;=$C$8)*(Table53[[#This Row],[Calendar Year]]&lt;=$C$10),Table53[[#This Row],[Calendar Year]],NA())</f>
        <v>#N/A</v>
      </c>
      <c r="O56" s="214" t="e">
        <f>IF((Table53[[#This Row],[Year (Range)]]&gt;=$C$8)*(Table53[[#This Row],[Year (Range)]]&lt;=$C$10),BrokerageStocks4546[[#This Row],[Buy: Simulated EOY Investment Balance ($)]],NA())</f>
        <v>#N/A</v>
      </c>
      <c r="P56" s="214" t="e">
        <f>IF((Table53[[#This Row],[Year (Range)]]&gt;=$C$8)*(Table53[[#This Row],[Year (Range)]]&lt;=$C$10),BrokerageStocks45[[#This Row],[Rent: Simulated EOY Investment Balance ($)]],NA())</f>
        <v>#N/A</v>
      </c>
      <c r="Q56" s="214" t="e">
        <f>IF((Table53[[#This Row],[Year (Range)]]&gt;=$C$8)*(Table53[[#This Row],[Year (Range)]]&lt;=$C$10),BrokerageStocks4546[[#This Row],[Buy: Fixed Average Return EOY Investment Balance ($)]],NA())</f>
        <v>#N/A</v>
      </c>
      <c r="R56" s="214" t="e">
        <f>IF((Table53[[#This Row],[Year (Range)]]&gt;=$C$8)*(Table53[[#This Row],[Year (Range)]]&lt;=$C$10),BrokerageStocks45[[#This Row],[Rent: Fixed Average Return EOY Investment Balance ($)]],NA())</f>
        <v>#N/A</v>
      </c>
      <c r="S56" s="224">
        <f t="shared" ca="1" si="7"/>
        <v>0.31290906245511535</v>
      </c>
      <c r="T56" s="222">
        <f t="shared" si="2"/>
        <v>0.08</v>
      </c>
      <c r="V56" s="208">
        <f>'Difference in Expenses'!AF52</f>
        <v>95343.618299036898</v>
      </c>
      <c r="W56" s="164">
        <f t="shared" ca="1" si="9"/>
        <v>1609869.9773903163</v>
      </c>
      <c r="X56" s="209">
        <f ca="1">BrokerageStocks4546[[#This Row],[Simulation BOY Balance ($)]]+(BrokerageStocks4546[[#This Row],[Contributions ($)]]/2)</f>
        <v>1657541.7865398347</v>
      </c>
      <c r="Y56" s="160">
        <f ca="1">BrokerageStocks4546[[#This Row],[Simulation Average Annual Balance ($)]]*Table53[[#This Row],[Simulated Return (%)]]</f>
        <v>518659.84640635661</v>
      </c>
      <c r="Z56" s="160">
        <f ca="1">BrokerageStocks4546[[#This Row],[Simulation BOY Balance ($)]]+BrokerageStocks4546[[#This Row],[Contributions ($)]]+BrokerageStocks4546[[#This Row],[Simulated Return ($)]]</f>
        <v>2223873.44209571</v>
      </c>
      <c r="AA56" s="160">
        <f t="shared" si="5"/>
        <v>1260939.0737038855</v>
      </c>
      <c r="AB56" s="160">
        <f>BrokerageStocks4546[[#This Row],[Fixed Return BOY Balance ($)]]+BrokerageStocks4546[[#This Row],[Contributions ($)]]</f>
        <v>1356282.6920029225</v>
      </c>
      <c r="AC56" s="160">
        <f>BrokerageStocks4546[[#This Row],[Fixed Return Average Balance ($)]]*annual_stock_market_return</f>
        <v>108502.6153602338</v>
      </c>
      <c r="AD56" s="160">
        <f>BrokerageStocks4546[[#This Row],[Fixed Return BOY Balance ($)]]+BrokerageStocks4546[[#This Row],[Contributions ($)]]+BrokerageStocks4546[[#This Row],[Fixed Average Return ($)]]</f>
        <v>1464785.3073631562</v>
      </c>
      <c r="AF56" s="208">
        <v>0</v>
      </c>
      <c r="AG56" s="164">
        <f t="shared" ca="1" si="10"/>
        <v>2285130.3927923124</v>
      </c>
      <c r="AH56" s="209">
        <f ca="1">BrokerageStocks45[[#This Row],[Simulation BOY Balance ($)]]+(BrokerageStocks45[[#This Row],[Contributions ($)]]/2)</f>
        <v>2285130.3927923124</v>
      </c>
      <c r="AI56" s="160">
        <f ca="1">BrokerageStocks45[[#This Row],[Simulation Average Annual Balance ($)]]*Table53[[#This Row],[Simulated Return (%)]]</f>
        <v>715038.00879633194</v>
      </c>
      <c r="AJ56" s="160">
        <f ca="1">BrokerageStocks45[[#This Row],[Simulation BOY Balance ($)]]+BrokerageStocks45[[#This Row],[Contributions ($)]]+BrokerageStocks45[[#This Row],[Simulated Return ($)]]</f>
        <v>3000168.4015886444</v>
      </c>
      <c r="AK56" s="164">
        <f t="shared" si="6"/>
        <v>2566778.7369111818</v>
      </c>
      <c r="AL56" s="209">
        <f>BrokerageStocks45[[#This Row],[Fixed Return BOY Balance ($)]]+(BrokerageStocks45[[#This Row],[Contributions ($)]]/2)</f>
        <v>2566778.7369111818</v>
      </c>
      <c r="AM56" s="160">
        <f>BrokerageStocks45[[#This Row],[Fixed Return Average Annual Balance]]*annual_stock_market_return</f>
        <v>205342.29895289455</v>
      </c>
      <c r="AN56" s="160">
        <f>BrokerageStocks45[[#This Row],[Fixed Return BOY Balance ($)]]+BrokerageStocks45[[#This Row],[Contributions ($)]]+BrokerageStocks45[[#This Row],[Fixed Average Return ($)]]</f>
        <v>2772121.0358640766</v>
      </c>
    </row>
    <row r="57" spans="11:40" x14ac:dyDescent="0.25">
      <c r="K57">
        <v>35</v>
      </c>
      <c r="L57">
        <f t="shared" si="8"/>
        <v>2057</v>
      </c>
      <c r="M57" s="198">
        <f>IF(Table53[[#This Row],[Calendar Year]]&gt;=$C$8,Table53[[#This Row],[Calendar Year]],NA())</f>
        <v>2057</v>
      </c>
      <c r="N57" s="198" t="e">
        <f>IF((Table53[[#This Row],[Calendar Year]]&gt;=$C$8)*(Table53[[#This Row],[Calendar Year]]&lt;=$C$10),Table53[[#This Row],[Calendar Year]],NA())</f>
        <v>#N/A</v>
      </c>
      <c r="O57" s="214" t="e">
        <f>IF((Table53[[#This Row],[Year (Range)]]&gt;=$C$8)*(Table53[[#This Row],[Year (Range)]]&lt;=$C$10),BrokerageStocks4546[[#This Row],[Buy: Simulated EOY Investment Balance ($)]],NA())</f>
        <v>#N/A</v>
      </c>
      <c r="P57" s="214" t="e">
        <f>IF((Table53[[#This Row],[Year (Range)]]&gt;=$C$8)*(Table53[[#This Row],[Year (Range)]]&lt;=$C$10),BrokerageStocks45[[#This Row],[Rent: Simulated EOY Investment Balance ($)]],NA())</f>
        <v>#N/A</v>
      </c>
      <c r="Q57" s="214" t="e">
        <f>IF((Table53[[#This Row],[Year (Range)]]&gt;=$C$8)*(Table53[[#This Row],[Year (Range)]]&lt;=$C$10),BrokerageStocks4546[[#This Row],[Buy: Fixed Average Return EOY Investment Balance ($)]],NA())</f>
        <v>#N/A</v>
      </c>
      <c r="R57" s="214" t="e">
        <f>IF((Table53[[#This Row],[Year (Range)]]&gt;=$C$8)*(Table53[[#This Row],[Year (Range)]]&lt;=$C$10),BrokerageStocks45[[#This Row],[Rent: Fixed Average Return EOY Investment Balance ($)]],NA())</f>
        <v>#N/A</v>
      </c>
      <c r="S57" s="224">
        <f t="shared" ca="1" si="7"/>
        <v>3.5926095310825572E-2</v>
      </c>
      <c r="T57" s="222">
        <f t="shared" si="2"/>
        <v>0.08</v>
      </c>
      <c r="V57" s="208">
        <f>'Difference in Expenses'!AF53</f>
        <v>99569.880730619843</v>
      </c>
      <c r="W57" s="164">
        <f t="shared" ca="1" si="9"/>
        <v>2223873.44209571</v>
      </c>
      <c r="X57" s="209">
        <f ca="1">BrokerageStocks4546[[#This Row],[Simulation BOY Balance ($)]]+(BrokerageStocks4546[[#This Row],[Contributions ($)]]/2)</f>
        <v>2273658.3824610198</v>
      </c>
      <c r="Y57" s="160">
        <f ca="1">BrokerageStocks4546[[#This Row],[Simulation Average Annual Balance ($)]]*Table53[[#This Row],[Simulated Return (%)]]</f>
        <v>81683.667752552094</v>
      </c>
      <c r="Z57" s="160">
        <f ca="1">BrokerageStocks4546[[#This Row],[Simulation BOY Balance ($)]]+BrokerageStocks4546[[#This Row],[Contributions ($)]]+BrokerageStocks4546[[#This Row],[Simulated Return ($)]]</f>
        <v>2405126.9905788819</v>
      </c>
      <c r="AA57" s="160">
        <f t="shared" si="5"/>
        <v>1464785.3073631562</v>
      </c>
      <c r="AB57" s="160">
        <f>BrokerageStocks4546[[#This Row],[Fixed Return BOY Balance ($)]]+BrokerageStocks4546[[#This Row],[Contributions ($)]]</f>
        <v>1564355.1880937761</v>
      </c>
      <c r="AC57" s="160">
        <f>BrokerageStocks4546[[#This Row],[Fixed Return Average Balance ($)]]*annual_stock_market_return</f>
        <v>125148.41504750209</v>
      </c>
      <c r="AD57" s="160">
        <f>BrokerageStocks4546[[#This Row],[Fixed Return BOY Balance ($)]]+BrokerageStocks4546[[#This Row],[Contributions ($)]]+BrokerageStocks4546[[#This Row],[Fixed Average Return ($)]]</f>
        <v>1689503.6031412783</v>
      </c>
      <c r="AF57" s="208">
        <v>0</v>
      </c>
      <c r="AG57" s="164">
        <f t="shared" ca="1" si="10"/>
        <v>3000168.4015886444</v>
      </c>
      <c r="AH57" s="209">
        <f ca="1">BrokerageStocks45[[#This Row],[Simulation BOY Balance ($)]]+(BrokerageStocks45[[#This Row],[Contributions ($)]]/2)</f>
        <v>3000168.4015886444</v>
      </c>
      <c r="AI57" s="160">
        <f ca="1">BrokerageStocks45[[#This Row],[Simulation Average Annual Balance ($)]]*Table53[[#This Row],[Simulated Return (%)]]</f>
        <v>107784.33594400085</v>
      </c>
      <c r="AJ57" s="160">
        <f ca="1">BrokerageStocks45[[#This Row],[Simulation BOY Balance ($)]]+BrokerageStocks45[[#This Row],[Contributions ($)]]+BrokerageStocks45[[#This Row],[Simulated Return ($)]]</f>
        <v>3107952.737532645</v>
      </c>
      <c r="AK57" s="164">
        <f t="shared" si="6"/>
        <v>2772121.0358640766</v>
      </c>
      <c r="AL57" s="209">
        <f>BrokerageStocks45[[#This Row],[Fixed Return BOY Balance ($)]]+(BrokerageStocks45[[#This Row],[Contributions ($)]]/2)</f>
        <v>2772121.0358640766</v>
      </c>
      <c r="AM57" s="160">
        <f>BrokerageStocks45[[#This Row],[Fixed Return Average Annual Balance]]*annual_stock_market_return</f>
        <v>221769.68286912612</v>
      </c>
      <c r="AN57" s="160">
        <f>BrokerageStocks45[[#This Row],[Fixed Return BOY Balance ($)]]+BrokerageStocks45[[#This Row],[Contributions ($)]]+BrokerageStocks45[[#This Row],[Fixed Average Return ($)]]</f>
        <v>2993890.7187332027</v>
      </c>
    </row>
    <row r="58" spans="11:40" x14ac:dyDescent="0.25">
      <c r="K58">
        <v>36</v>
      </c>
      <c r="L58">
        <f t="shared" si="8"/>
        <v>2058</v>
      </c>
      <c r="M58" s="198">
        <f>IF(Table53[[#This Row],[Calendar Year]]&gt;=$C$8,Table53[[#This Row],[Calendar Year]],NA())</f>
        <v>2058</v>
      </c>
      <c r="N58" s="198" t="e">
        <f>IF((Table53[[#This Row],[Calendar Year]]&gt;=$C$8)*(Table53[[#This Row],[Calendar Year]]&lt;=$C$10),Table53[[#This Row],[Calendar Year]],NA())</f>
        <v>#N/A</v>
      </c>
      <c r="O58" s="214" t="e">
        <f>IF((Table53[[#This Row],[Year (Range)]]&gt;=$C$8)*(Table53[[#This Row],[Year (Range)]]&lt;=$C$10),BrokerageStocks4546[[#This Row],[Buy: Simulated EOY Investment Balance ($)]],NA())</f>
        <v>#N/A</v>
      </c>
      <c r="P58" s="214" t="e">
        <f>IF((Table53[[#This Row],[Year (Range)]]&gt;=$C$8)*(Table53[[#This Row],[Year (Range)]]&lt;=$C$10),BrokerageStocks45[[#This Row],[Rent: Simulated EOY Investment Balance ($)]],NA())</f>
        <v>#N/A</v>
      </c>
      <c r="Q58" s="214" t="e">
        <f>IF((Table53[[#This Row],[Year (Range)]]&gt;=$C$8)*(Table53[[#This Row],[Year (Range)]]&lt;=$C$10),BrokerageStocks4546[[#This Row],[Buy: Fixed Average Return EOY Investment Balance ($)]],NA())</f>
        <v>#N/A</v>
      </c>
      <c r="R58" s="214" t="e">
        <f>IF((Table53[[#This Row],[Year (Range)]]&gt;=$C$8)*(Table53[[#This Row],[Year (Range)]]&lt;=$C$10),BrokerageStocks45[[#This Row],[Rent: Fixed Average Return EOY Investment Balance ($)]],NA())</f>
        <v>#N/A</v>
      </c>
      <c r="S58" s="224">
        <f t="shared" ca="1" si="7"/>
        <v>0.27229525969416013</v>
      </c>
      <c r="T58" s="222">
        <f t="shared" si="2"/>
        <v>0.08</v>
      </c>
      <c r="V58" s="208">
        <f>'Difference in Expenses'!AF54</f>
        <v>103977.56919045474</v>
      </c>
      <c r="W58" s="164">
        <f t="shared" ca="1" si="9"/>
        <v>2405126.9905788819</v>
      </c>
      <c r="X58" s="209">
        <f ca="1">BrokerageStocks4546[[#This Row],[Simulation BOY Balance ($)]]+(BrokerageStocks4546[[#This Row],[Contributions ($)]]/2)</f>
        <v>2457115.7751741093</v>
      </c>
      <c r="Y58" s="160">
        <f ca="1">BrokerageStocks4546[[#This Row],[Simulation Average Annual Balance ($)]]*Table53[[#This Row],[Simulated Return (%)]]</f>
        <v>669060.97809965163</v>
      </c>
      <c r="Z58" s="160">
        <f ca="1">BrokerageStocks4546[[#This Row],[Simulation BOY Balance ($)]]+BrokerageStocks4546[[#This Row],[Contributions ($)]]+BrokerageStocks4546[[#This Row],[Simulated Return ($)]]</f>
        <v>3178165.5378689882</v>
      </c>
      <c r="AA58" s="160">
        <f t="shared" si="5"/>
        <v>1689503.6031412783</v>
      </c>
      <c r="AB58" s="160">
        <f>BrokerageStocks4546[[#This Row],[Fixed Return BOY Balance ($)]]+BrokerageStocks4546[[#This Row],[Contributions ($)]]</f>
        <v>1793481.1723317329</v>
      </c>
      <c r="AC58" s="160">
        <f>BrokerageStocks4546[[#This Row],[Fixed Return Average Balance ($)]]*annual_stock_market_return</f>
        <v>143478.49378653863</v>
      </c>
      <c r="AD58" s="160">
        <f>BrokerageStocks4546[[#This Row],[Fixed Return BOY Balance ($)]]+BrokerageStocks4546[[#This Row],[Contributions ($)]]+BrokerageStocks4546[[#This Row],[Fixed Average Return ($)]]</f>
        <v>1936959.6661182716</v>
      </c>
      <c r="AF58" s="208">
        <v>0</v>
      </c>
      <c r="AG58" s="164">
        <f t="shared" ca="1" si="10"/>
        <v>3107952.737532645</v>
      </c>
      <c r="AH58" s="209">
        <f ca="1">BrokerageStocks45[[#This Row],[Simulation BOY Balance ($)]]+(BrokerageStocks45[[#This Row],[Contributions ($)]]/2)</f>
        <v>3107952.737532645</v>
      </c>
      <c r="AI58" s="160">
        <f ca="1">BrokerageStocks45[[#This Row],[Simulation Average Annual Balance ($)]]*Table53[[#This Row],[Simulated Return (%)]]</f>
        <v>846280.79778362752</v>
      </c>
      <c r="AJ58" s="160">
        <f ca="1">BrokerageStocks45[[#This Row],[Simulation BOY Balance ($)]]+BrokerageStocks45[[#This Row],[Contributions ($)]]+BrokerageStocks45[[#This Row],[Simulated Return ($)]]</f>
        <v>3954233.5353162726</v>
      </c>
      <c r="AK58" s="164">
        <f t="shared" si="6"/>
        <v>2993890.7187332027</v>
      </c>
      <c r="AL58" s="209">
        <f>BrokerageStocks45[[#This Row],[Fixed Return BOY Balance ($)]]+(BrokerageStocks45[[#This Row],[Contributions ($)]]/2)</f>
        <v>2993890.7187332027</v>
      </c>
      <c r="AM58" s="160">
        <f>BrokerageStocks45[[#This Row],[Fixed Return Average Annual Balance]]*annual_stock_market_return</f>
        <v>239511.25749865622</v>
      </c>
      <c r="AN58" s="160">
        <f>BrokerageStocks45[[#This Row],[Fixed Return BOY Balance ($)]]+BrokerageStocks45[[#This Row],[Contributions ($)]]+BrokerageStocks45[[#This Row],[Fixed Average Return ($)]]</f>
        <v>3233401.9762318591</v>
      </c>
    </row>
    <row r="59" spans="11:40" x14ac:dyDescent="0.25">
      <c r="K59">
        <v>37</v>
      </c>
      <c r="L59">
        <f t="shared" si="8"/>
        <v>2059</v>
      </c>
      <c r="M59" s="198">
        <f>IF(Table53[[#This Row],[Calendar Year]]&gt;=$C$8,Table53[[#This Row],[Calendar Year]],NA())</f>
        <v>2059</v>
      </c>
      <c r="N59" s="198" t="e">
        <f>IF((Table53[[#This Row],[Calendar Year]]&gt;=$C$8)*(Table53[[#This Row],[Calendar Year]]&lt;=$C$10),Table53[[#This Row],[Calendar Year]],NA())</f>
        <v>#N/A</v>
      </c>
      <c r="O59" s="214" t="e">
        <f>IF((Table53[[#This Row],[Year (Range)]]&gt;=$C$8)*(Table53[[#This Row],[Year (Range)]]&lt;=$C$10),BrokerageStocks4546[[#This Row],[Buy: Simulated EOY Investment Balance ($)]],NA())</f>
        <v>#N/A</v>
      </c>
      <c r="P59" s="214" t="e">
        <f>IF((Table53[[#This Row],[Year (Range)]]&gt;=$C$8)*(Table53[[#This Row],[Year (Range)]]&lt;=$C$10),BrokerageStocks45[[#This Row],[Rent: Simulated EOY Investment Balance ($)]],NA())</f>
        <v>#N/A</v>
      </c>
      <c r="Q59" s="214" t="e">
        <f>IF((Table53[[#This Row],[Year (Range)]]&gt;=$C$8)*(Table53[[#This Row],[Year (Range)]]&lt;=$C$10),BrokerageStocks4546[[#This Row],[Buy: Fixed Average Return EOY Investment Balance ($)]],NA())</f>
        <v>#N/A</v>
      </c>
      <c r="R59" s="214" t="e">
        <f>IF((Table53[[#This Row],[Year (Range)]]&gt;=$C$8)*(Table53[[#This Row],[Year (Range)]]&lt;=$C$10),BrokerageStocks45[[#This Row],[Rent: Fixed Average Return EOY Investment Balance ($)]],NA())</f>
        <v>#N/A</v>
      </c>
      <c r="S59" s="224">
        <f t="shared" ca="1" si="7"/>
        <v>3.6072894920829983E-2</v>
      </c>
      <c r="T59" s="222">
        <f t="shared" si="2"/>
        <v>0.08</v>
      </c>
      <c r="V59" s="208">
        <f>'Difference in Expenses'!AF55</f>
        <v>108574.31198560134</v>
      </c>
      <c r="W59" s="164">
        <f t="shared" ca="1" si="9"/>
        <v>3178165.5378689882</v>
      </c>
      <c r="X59" s="209">
        <f ca="1">BrokerageStocks4546[[#This Row],[Simulation BOY Balance ($)]]+(BrokerageStocks4546[[#This Row],[Contributions ($)]]/2)</f>
        <v>3232452.6938617891</v>
      </c>
      <c r="Y59" s="160">
        <f ca="1">BrokerageStocks4546[[#This Row],[Simulation Average Annual Balance ($)]]*Table53[[#This Row],[Simulated Return (%)]]</f>
        <v>116603.92636223012</v>
      </c>
      <c r="Z59" s="160">
        <f ca="1">BrokerageStocks4546[[#This Row],[Simulation BOY Balance ($)]]+BrokerageStocks4546[[#This Row],[Contributions ($)]]+BrokerageStocks4546[[#This Row],[Simulated Return ($)]]</f>
        <v>3403343.7762168194</v>
      </c>
      <c r="AA59" s="160">
        <f t="shared" si="5"/>
        <v>1936959.6661182716</v>
      </c>
      <c r="AB59" s="160">
        <f>BrokerageStocks4546[[#This Row],[Fixed Return BOY Balance ($)]]+BrokerageStocks4546[[#This Row],[Contributions ($)]]</f>
        <v>2045533.9781038731</v>
      </c>
      <c r="AC59" s="160">
        <f>BrokerageStocks4546[[#This Row],[Fixed Return Average Balance ($)]]*annual_stock_market_return</f>
        <v>163642.71824830986</v>
      </c>
      <c r="AD59" s="160">
        <f>BrokerageStocks4546[[#This Row],[Fixed Return BOY Balance ($)]]+BrokerageStocks4546[[#This Row],[Contributions ($)]]+BrokerageStocks4546[[#This Row],[Fixed Average Return ($)]]</f>
        <v>2209176.6963521829</v>
      </c>
      <c r="AF59" s="208">
        <v>0</v>
      </c>
      <c r="AG59" s="164">
        <f t="shared" ca="1" si="10"/>
        <v>3954233.5353162726</v>
      </c>
      <c r="AH59" s="209">
        <f ca="1">BrokerageStocks45[[#This Row],[Simulation BOY Balance ($)]]+(BrokerageStocks45[[#This Row],[Contributions ($)]]/2)</f>
        <v>3954233.5353162726</v>
      </c>
      <c r="AI59" s="160">
        <f ca="1">BrokerageStocks45[[#This Row],[Simulation Average Annual Balance ($)]]*Table53[[#This Row],[Simulated Return (%)]]</f>
        <v>142640.65081188595</v>
      </c>
      <c r="AJ59" s="160">
        <f ca="1">BrokerageStocks45[[#This Row],[Simulation BOY Balance ($)]]+BrokerageStocks45[[#This Row],[Contributions ($)]]+BrokerageStocks45[[#This Row],[Simulated Return ($)]]</f>
        <v>4096874.1861281586</v>
      </c>
      <c r="AK59" s="164">
        <f t="shared" si="6"/>
        <v>3233401.9762318591</v>
      </c>
      <c r="AL59" s="209">
        <f>BrokerageStocks45[[#This Row],[Fixed Return BOY Balance ($)]]+(BrokerageStocks45[[#This Row],[Contributions ($)]]/2)</f>
        <v>3233401.9762318591</v>
      </c>
      <c r="AM59" s="160">
        <f>BrokerageStocks45[[#This Row],[Fixed Return Average Annual Balance]]*annual_stock_market_return</f>
        <v>258672.15809854874</v>
      </c>
      <c r="AN59" s="160">
        <f>BrokerageStocks45[[#This Row],[Fixed Return BOY Balance ($)]]+BrokerageStocks45[[#This Row],[Contributions ($)]]+BrokerageStocks45[[#This Row],[Fixed Average Return ($)]]</f>
        <v>3492074.1343304077</v>
      </c>
    </row>
    <row r="60" spans="11:40" x14ac:dyDescent="0.25">
      <c r="K60">
        <v>38</v>
      </c>
      <c r="L60">
        <f t="shared" si="8"/>
        <v>2060</v>
      </c>
      <c r="M60" s="198">
        <f>IF(Table53[[#This Row],[Calendar Year]]&gt;=$C$8,Table53[[#This Row],[Calendar Year]],NA())</f>
        <v>2060</v>
      </c>
      <c r="N60" s="198" t="e">
        <f>IF((Table53[[#This Row],[Calendar Year]]&gt;=$C$8)*(Table53[[#This Row],[Calendar Year]]&lt;=$C$10),Table53[[#This Row],[Calendar Year]],NA())</f>
        <v>#N/A</v>
      </c>
      <c r="O60" s="214" t="e">
        <f>IF((Table53[[#This Row],[Year (Range)]]&gt;=$C$8)*(Table53[[#This Row],[Year (Range)]]&lt;=$C$10),BrokerageStocks4546[[#This Row],[Buy: Simulated EOY Investment Balance ($)]],NA())</f>
        <v>#N/A</v>
      </c>
      <c r="P60" s="214" t="e">
        <f>IF((Table53[[#This Row],[Year (Range)]]&gt;=$C$8)*(Table53[[#This Row],[Year (Range)]]&lt;=$C$10),BrokerageStocks45[[#This Row],[Rent: Simulated EOY Investment Balance ($)]],NA())</f>
        <v>#N/A</v>
      </c>
      <c r="Q60" s="214" t="e">
        <f>IF((Table53[[#This Row],[Year (Range)]]&gt;=$C$8)*(Table53[[#This Row],[Year (Range)]]&lt;=$C$10),BrokerageStocks4546[[#This Row],[Buy: Fixed Average Return EOY Investment Balance ($)]],NA())</f>
        <v>#N/A</v>
      </c>
      <c r="R60" s="214" t="e">
        <f>IF((Table53[[#This Row],[Year (Range)]]&gt;=$C$8)*(Table53[[#This Row],[Year (Range)]]&lt;=$C$10),BrokerageStocks45[[#This Row],[Rent: Fixed Average Return EOY Investment Balance ($)]],NA())</f>
        <v>#N/A</v>
      </c>
      <c r="S60" s="224">
        <f t="shared" ca="1" si="7"/>
        <v>0.23921289452014199</v>
      </c>
      <c r="T60" s="222">
        <f t="shared" si="2"/>
        <v>0.08</v>
      </c>
      <c r="V60" s="208">
        <f>'Difference in Expenses'!AF56</f>
        <v>113368.05369337965</v>
      </c>
      <c r="W60" s="164">
        <f t="shared" ca="1" si="9"/>
        <v>3403343.7762168194</v>
      </c>
      <c r="X60" s="209">
        <f ca="1">BrokerageStocks4546[[#This Row],[Simulation BOY Balance ($)]]+(BrokerageStocks4546[[#This Row],[Contributions ($)]]/2)</f>
        <v>3460027.8030635091</v>
      </c>
      <c r="Y60" s="160">
        <f ca="1">BrokerageStocks4546[[#This Row],[Simulation Average Annual Balance ($)]]*Table53[[#This Row],[Simulated Return (%)]]</f>
        <v>827683.2658909898</v>
      </c>
      <c r="Z60" s="160">
        <f ca="1">BrokerageStocks4546[[#This Row],[Simulation BOY Balance ($)]]+BrokerageStocks4546[[#This Row],[Contributions ($)]]+BrokerageStocks4546[[#This Row],[Simulated Return ($)]]</f>
        <v>4344395.0958011886</v>
      </c>
      <c r="AA60" s="160">
        <f t="shared" si="5"/>
        <v>2209176.6963521829</v>
      </c>
      <c r="AB60" s="160">
        <f>BrokerageStocks4546[[#This Row],[Fixed Return BOY Balance ($)]]+BrokerageStocks4546[[#This Row],[Contributions ($)]]</f>
        <v>2322544.7500455626</v>
      </c>
      <c r="AC60" s="160">
        <f>BrokerageStocks4546[[#This Row],[Fixed Return Average Balance ($)]]*annual_stock_market_return</f>
        <v>185803.58000364501</v>
      </c>
      <c r="AD60" s="160">
        <f>BrokerageStocks4546[[#This Row],[Fixed Return BOY Balance ($)]]+BrokerageStocks4546[[#This Row],[Contributions ($)]]+BrokerageStocks4546[[#This Row],[Fixed Average Return ($)]]</f>
        <v>2508348.3300492074</v>
      </c>
      <c r="AF60" s="208">
        <v>0</v>
      </c>
      <c r="AG60" s="164">
        <f t="shared" ca="1" si="10"/>
        <v>4096874.1861281586</v>
      </c>
      <c r="AH60" s="209">
        <f ca="1">BrokerageStocks45[[#This Row],[Simulation BOY Balance ($)]]+(BrokerageStocks45[[#This Row],[Contributions ($)]]/2)</f>
        <v>4096874.1861281586</v>
      </c>
      <c r="AI60" s="160">
        <f ca="1">BrokerageStocks45[[#This Row],[Simulation Average Annual Balance ($)]]*Table53[[#This Row],[Simulated Return (%)]]</f>
        <v>980025.13254856772</v>
      </c>
      <c r="AJ60" s="160">
        <f ca="1">BrokerageStocks45[[#This Row],[Simulation BOY Balance ($)]]+BrokerageStocks45[[#This Row],[Contributions ($)]]+BrokerageStocks45[[#This Row],[Simulated Return ($)]]</f>
        <v>5076899.318676726</v>
      </c>
      <c r="AK60" s="164">
        <f t="shared" si="6"/>
        <v>3492074.1343304077</v>
      </c>
      <c r="AL60" s="209">
        <f>BrokerageStocks45[[#This Row],[Fixed Return BOY Balance ($)]]+(BrokerageStocks45[[#This Row],[Contributions ($)]]/2)</f>
        <v>3492074.1343304077</v>
      </c>
      <c r="AM60" s="160">
        <f>BrokerageStocks45[[#This Row],[Fixed Return Average Annual Balance]]*annual_stock_market_return</f>
        <v>279365.93074643263</v>
      </c>
      <c r="AN60" s="160">
        <f>BrokerageStocks45[[#This Row],[Fixed Return BOY Balance ($)]]+BrokerageStocks45[[#This Row],[Contributions ($)]]+BrokerageStocks45[[#This Row],[Fixed Average Return ($)]]</f>
        <v>3771440.0650768401</v>
      </c>
    </row>
    <row r="61" spans="11:40" x14ac:dyDescent="0.25">
      <c r="K61">
        <v>39</v>
      </c>
      <c r="L61">
        <f t="shared" si="8"/>
        <v>2061</v>
      </c>
      <c r="M61" s="198">
        <f>IF(Table53[[#This Row],[Calendar Year]]&gt;=$C$8,Table53[[#This Row],[Calendar Year]],NA())</f>
        <v>2061</v>
      </c>
      <c r="N61" s="198" t="e">
        <f>IF((Table53[[#This Row],[Calendar Year]]&gt;=$C$8)*(Table53[[#This Row],[Calendar Year]]&lt;=$C$10),Table53[[#This Row],[Calendar Year]],NA())</f>
        <v>#N/A</v>
      </c>
      <c r="O61" s="214" t="e">
        <f>IF((Table53[[#This Row],[Year (Range)]]&gt;=$C$8)*(Table53[[#This Row],[Year (Range)]]&lt;=$C$10),BrokerageStocks4546[[#This Row],[Buy: Simulated EOY Investment Balance ($)]],NA())</f>
        <v>#N/A</v>
      </c>
      <c r="P61" s="214" t="e">
        <f>IF((Table53[[#This Row],[Year (Range)]]&gt;=$C$8)*(Table53[[#This Row],[Year (Range)]]&lt;=$C$10),BrokerageStocks45[[#This Row],[Rent: Simulated EOY Investment Balance ($)]],NA())</f>
        <v>#N/A</v>
      </c>
      <c r="Q61" s="214" t="e">
        <f>IF((Table53[[#This Row],[Year (Range)]]&gt;=$C$8)*(Table53[[#This Row],[Year (Range)]]&lt;=$C$10),BrokerageStocks4546[[#This Row],[Buy: Fixed Average Return EOY Investment Balance ($)]],NA())</f>
        <v>#N/A</v>
      </c>
      <c r="R61" s="214" t="e">
        <f>IF((Table53[[#This Row],[Year (Range)]]&gt;=$C$8)*(Table53[[#This Row],[Year (Range)]]&lt;=$C$10),BrokerageStocks45[[#This Row],[Rent: Fixed Average Return EOY Investment Balance ($)]],NA())</f>
        <v>#N/A</v>
      </c>
      <c r="S61" s="224">
        <f t="shared" ca="1" si="7"/>
        <v>0.15068453263337359</v>
      </c>
      <c r="T61" s="222">
        <f t="shared" si="2"/>
        <v>0.08</v>
      </c>
      <c r="V61" s="208">
        <f>'Difference in Expenses'!AF57</f>
        <v>118367.06814631974</v>
      </c>
      <c r="W61" s="164">
        <f t="shared" ca="1" si="9"/>
        <v>4344395.0958011886</v>
      </c>
      <c r="X61" s="209">
        <f ca="1">BrokerageStocks4546[[#This Row],[Simulation BOY Balance ($)]]+(BrokerageStocks4546[[#This Row],[Contributions ($)]]/2)</f>
        <v>4403578.6298743486</v>
      </c>
      <c r="Y61" s="160">
        <f ca="1">BrokerageStocks4546[[#This Row],[Simulation Average Annual Balance ($)]]*Table53[[#This Row],[Simulated Return (%)]]</f>
        <v>663551.1877569278</v>
      </c>
      <c r="Z61" s="160">
        <f ca="1">BrokerageStocks4546[[#This Row],[Simulation BOY Balance ($)]]+BrokerageStocks4546[[#This Row],[Contributions ($)]]+BrokerageStocks4546[[#This Row],[Simulated Return ($)]]</f>
        <v>5126313.3517044364</v>
      </c>
      <c r="AA61" s="160">
        <f t="shared" si="5"/>
        <v>2508348.3300492074</v>
      </c>
      <c r="AB61" s="160">
        <f>BrokerageStocks4546[[#This Row],[Fixed Return BOY Balance ($)]]+BrokerageStocks4546[[#This Row],[Contributions ($)]]</f>
        <v>2626715.398195527</v>
      </c>
      <c r="AC61" s="160">
        <f>BrokerageStocks4546[[#This Row],[Fixed Return Average Balance ($)]]*annual_stock_market_return</f>
        <v>210137.23185564217</v>
      </c>
      <c r="AD61" s="160">
        <f>BrokerageStocks4546[[#This Row],[Fixed Return BOY Balance ($)]]+BrokerageStocks4546[[#This Row],[Contributions ($)]]+BrokerageStocks4546[[#This Row],[Fixed Average Return ($)]]</f>
        <v>2836852.6300511691</v>
      </c>
      <c r="AF61" s="208">
        <v>0</v>
      </c>
      <c r="AG61" s="164">
        <f t="shared" ca="1" si="10"/>
        <v>5076899.318676726</v>
      </c>
      <c r="AH61" s="209">
        <f ca="1">BrokerageStocks45[[#This Row],[Simulation BOY Balance ($)]]+(BrokerageStocks45[[#This Row],[Contributions ($)]]/2)</f>
        <v>5076899.318676726</v>
      </c>
      <c r="AI61" s="160">
        <f ca="1">BrokerageStocks45[[#This Row],[Simulation Average Annual Balance ($)]]*Table53[[#This Row],[Simulated Return (%)]]</f>
        <v>765010.20106149523</v>
      </c>
      <c r="AJ61" s="160">
        <f ca="1">BrokerageStocks45[[#This Row],[Simulation BOY Balance ($)]]+BrokerageStocks45[[#This Row],[Contributions ($)]]+BrokerageStocks45[[#This Row],[Simulated Return ($)]]</f>
        <v>5841909.5197382215</v>
      </c>
      <c r="AK61" s="164">
        <f t="shared" si="6"/>
        <v>3771440.0650768401</v>
      </c>
      <c r="AL61" s="209">
        <f>BrokerageStocks45[[#This Row],[Fixed Return BOY Balance ($)]]+(BrokerageStocks45[[#This Row],[Contributions ($)]]/2)</f>
        <v>3771440.0650768401</v>
      </c>
      <c r="AM61" s="160">
        <f>BrokerageStocks45[[#This Row],[Fixed Return Average Annual Balance]]*annual_stock_market_return</f>
        <v>301715.20520614722</v>
      </c>
      <c r="AN61" s="160">
        <f>BrokerageStocks45[[#This Row],[Fixed Return BOY Balance ($)]]+BrokerageStocks45[[#This Row],[Contributions ($)]]+BrokerageStocks45[[#This Row],[Fixed Average Return ($)]]</f>
        <v>4073155.2702829875</v>
      </c>
    </row>
    <row r="62" spans="11:40" x14ac:dyDescent="0.25">
      <c r="K62">
        <v>40</v>
      </c>
      <c r="L62">
        <f t="shared" si="8"/>
        <v>2062</v>
      </c>
      <c r="M62" s="198">
        <f>IF(Table53[[#This Row],[Calendar Year]]&gt;=$C$8,Table53[[#This Row],[Calendar Year]],NA())</f>
        <v>2062</v>
      </c>
      <c r="N62" s="198" t="e">
        <f>IF((Table53[[#This Row],[Calendar Year]]&gt;=$C$8)*(Table53[[#This Row],[Calendar Year]]&lt;=$C$10),Table53[[#This Row],[Calendar Year]],NA())</f>
        <v>#N/A</v>
      </c>
      <c r="O62" s="214" t="e">
        <f>IF((Table53[[#This Row],[Year (Range)]]&gt;=$C$8)*(Table53[[#This Row],[Year (Range)]]&lt;=$C$10),BrokerageStocks4546[[#This Row],[Buy: Simulated EOY Investment Balance ($)]],NA())</f>
        <v>#N/A</v>
      </c>
      <c r="P62" s="214" t="e">
        <f>IF((Table53[[#This Row],[Year (Range)]]&gt;=$C$8)*(Table53[[#This Row],[Year (Range)]]&lt;=$C$10),BrokerageStocks45[[#This Row],[Rent: Simulated EOY Investment Balance ($)]],NA())</f>
        <v>#N/A</v>
      </c>
      <c r="Q62" s="214" t="e">
        <f>IF((Table53[[#This Row],[Year (Range)]]&gt;=$C$8)*(Table53[[#This Row],[Year (Range)]]&lt;=$C$10),BrokerageStocks4546[[#This Row],[Buy: Fixed Average Return EOY Investment Balance ($)]],NA())</f>
        <v>#N/A</v>
      </c>
      <c r="R62" s="214" t="e">
        <f>IF((Table53[[#This Row],[Year (Range)]]&gt;=$C$8)*(Table53[[#This Row],[Year (Range)]]&lt;=$C$10),BrokerageStocks45[[#This Row],[Rent: Fixed Average Return EOY Investment Balance ($)]],NA())</f>
        <v>#N/A</v>
      </c>
      <c r="S62" s="224">
        <f t="shared" ca="1" si="7"/>
        <v>-4.0440589411567682E-2</v>
      </c>
      <c r="T62" s="222">
        <f t="shared" si="2"/>
        <v>0.08</v>
      </c>
      <c r="V62" s="208">
        <f>'Difference in Expenses'!AF58</f>
        <v>123579.97194653357</v>
      </c>
      <c r="W62" s="164">
        <f t="shared" ca="1" si="9"/>
        <v>5126313.3517044364</v>
      </c>
      <c r="X62" s="209">
        <f ca="1">BrokerageStocks4546[[#This Row],[Simulation BOY Balance ($)]]+(BrokerageStocks4546[[#This Row],[Contributions ($)]]/2)</f>
        <v>5188103.3376777032</v>
      </c>
      <c r="Y62" s="160">
        <f ca="1">BrokerageStocks4546[[#This Row],[Simulation Average Annual Balance ($)]]*Table53[[#This Row],[Simulated Return (%)]]</f>
        <v>-209809.95690380788</v>
      </c>
      <c r="Z62" s="160">
        <f ca="1">BrokerageStocks4546[[#This Row],[Simulation BOY Balance ($)]]+BrokerageStocks4546[[#This Row],[Contributions ($)]]+BrokerageStocks4546[[#This Row],[Simulated Return ($)]]</f>
        <v>5040083.3667471623</v>
      </c>
      <c r="AA62" s="160">
        <f t="shared" si="5"/>
        <v>2836852.6300511691</v>
      </c>
      <c r="AB62" s="160">
        <f>BrokerageStocks4546[[#This Row],[Fixed Return BOY Balance ($)]]+BrokerageStocks4546[[#This Row],[Contributions ($)]]</f>
        <v>2960432.6019977028</v>
      </c>
      <c r="AC62" s="160">
        <f>BrokerageStocks4546[[#This Row],[Fixed Return Average Balance ($)]]*annual_stock_market_return</f>
        <v>236834.60815981624</v>
      </c>
      <c r="AD62" s="160">
        <f>BrokerageStocks4546[[#This Row],[Fixed Return BOY Balance ($)]]+BrokerageStocks4546[[#This Row],[Contributions ($)]]+BrokerageStocks4546[[#This Row],[Fixed Average Return ($)]]</f>
        <v>3197267.2101575192</v>
      </c>
      <c r="AF62" s="208">
        <v>0</v>
      </c>
      <c r="AG62" s="164">
        <f t="shared" ca="1" si="10"/>
        <v>5841909.5197382215</v>
      </c>
      <c r="AH62" s="209">
        <f ca="1">BrokerageStocks45[[#This Row],[Simulation BOY Balance ($)]]+(BrokerageStocks45[[#This Row],[Contributions ($)]]/2)</f>
        <v>5841909.5197382215</v>
      </c>
      <c r="AI62" s="160">
        <f ca="1">BrokerageStocks45[[#This Row],[Simulation Average Annual Balance ($)]]*Table53[[#This Row],[Simulated Return (%)]]</f>
        <v>-236250.26426726195</v>
      </c>
      <c r="AJ62" s="160">
        <f ca="1">BrokerageStocks45[[#This Row],[Simulation BOY Balance ($)]]+BrokerageStocks45[[#This Row],[Contributions ($)]]+BrokerageStocks45[[#This Row],[Simulated Return ($)]]</f>
        <v>5605659.2554709595</v>
      </c>
      <c r="AK62" s="164">
        <f t="shared" si="6"/>
        <v>4073155.2702829875</v>
      </c>
      <c r="AL62" s="209">
        <f>BrokerageStocks45[[#This Row],[Fixed Return BOY Balance ($)]]+(BrokerageStocks45[[#This Row],[Contributions ($)]]/2)</f>
        <v>4073155.2702829875</v>
      </c>
      <c r="AM62" s="160">
        <f>BrokerageStocks45[[#This Row],[Fixed Return Average Annual Balance]]*annual_stock_market_return</f>
        <v>325852.421622639</v>
      </c>
      <c r="AN62" s="160">
        <f>BrokerageStocks45[[#This Row],[Fixed Return BOY Balance ($)]]+BrokerageStocks45[[#This Row],[Contributions ($)]]+BrokerageStocks45[[#This Row],[Fixed Average Return ($)]]</f>
        <v>4399007.6919056261</v>
      </c>
    </row>
    <row r="63" spans="11:40" x14ac:dyDescent="0.25">
      <c r="K63">
        <v>41</v>
      </c>
      <c r="L63">
        <f t="shared" si="8"/>
        <v>2063</v>
      </c>
      <c r="M63" s="198">
        <f>IF(Table53[[#This Row],[Calendar Year]]&gt;=$C$8,Table53[[#This Row],[Calendar Year]],NA())</f>
        <v>2063</v>
      </c>
      <c r="N63" s="198" t="e">
        <f>IF((Table53[[#This Row],[Calendar Year]]&gt;=$C$8)*(Table53[[#This Row],[Calendar Year]]&lt;=$C$10),Table53[[#This Row],[Calendar Year]],NA())</f>
        <v>#N/A</v>
      </c>
      <c r="O63" s="214" t="e">
        <f>IF((Table53[[#This Row],[Year (Range)]]&gt;=$C$8)*(Table53[[#This Row],[Year (Range)]]&lt;=$C$10),BrokerageStocks4546[[#This Row],[Buy: Simulated EOY Investment Balance ($)]],NA())</f>
        <v>#N/A</v>
      </c>
      <c r="P63" s="214" t="e">
        <f>IF((Table53[[#This Row],[Year (Range)]]&gt;=$C$8)*(Table53[[#This Row],[Year (Range)]]&lt;=$C$10),BrokerageStocks45[[#This Row],[Rent: Simulated EOY Investment Balance ($)]],NA())</f>
        <v>#N/A</v>
      </c>
      <c r="Q63" s="214" t="e">
        <f>IF((Table53[[#This Row],[Year (Range)]]&gt;=$C$8)*(Table53[[#This Row],[Year (Range)]]&lt;=$C$10),BrokerageStocks4546[[#This Row],[Buy: Fixed Average Return EOY Investment Balance ($)]],NA())</f>
        <v>#N/A</v>
      </c>
      <c r="R63" s="214" t="e">
        <f>IF((Table53[[#This Row],[Year (Range)]]&gt;=$C$8)*(Table53[[#This Row],[Year (Range)]]&lt;=$C$10),BrokerageStocks45[[#This Row],[Rent: Fixed Average Return EOY Investment Balance ($)]],NA())</f>
        <v>#N/A</v>
      </c>
      <c r="S63" s="224">
        <f t="shared" ca="1" si="7"/>
        <v>2.9682576905920084E-2</v>
      </c>
      <c r="T63" s="222">
        <f t="shared" si="2"/>
        <v>0.08</v>
      </c>
      <c r="V63" s="208">
        <f>'Difference in Expenses'!AF59</f>
        <v>129015.7385309868</v>
      </c>
      <c r="W63" s="164">
        <f t="shared" ca="1" si="9"/>
        <v>5040083.3667471623</v>
      </c>
      <c r="X63" s="209">
        <f ca="1">BrokerageStocks4546[[#This Row],[Simulation BOY Balance ($)]]+(BrokerageStocks4546[[#This Row],[Contributions ($)]]/2)</f>
        <v>5104591.2360126553</v>
      </c>
      <c r="Y63" s="160">
        <f ca="1">BrokerageStocks4546[[#This Row],[Simulation Average Annual Balance ($)]]*Table53[[#This Row],[Simulated Return (%)]]</f>
        <v>151517.42193623129</v>
      </c>
      <c r="Z63" s="160">
        <f ca="1">BrokerageStocks4546[[#This Row],[Simulation BOY Balance ($)]]+BrokerageStocks4546[[#This Row],[Contributions ($)]]+BrokerageStocks4546[[#This Row],[Simulated Return ($)]]</f>
        <v>5320616.5272143809</v>
      </c>
      <c r="AA63" s="160">
        <f t="shared" si="5"/>
        <v>3197267.2101575192</v>
      </c>
      <c r="AB63" s="160">
        <f>BrokerageStocks4546[[#This Row],[Fixed Return BOY Balance ($)]]+BrokerageStocks4546[[#This Row],[Contributions ($)]]</f>
        <v>3326282.9486885061</v>
      </c>
      <c r="AC63" s="160">
        <f>BrokerageStocks4546[[#This Row],[Fixed Return Average Balance ($)]]*annual_stock_market_return</f>
        <v>266102.63589508052</v>
      </c>
      <c r="AD63" s="160">
        <f>BrokerageStocks4546[[#This Row],[Fixed Return BOY Balance ($)]]+BrokerageStocks4546[[#This Row],[Contributions ($)]]+BrokerageStocks4546[[#This Row],[Fixed Average Return ($)]]</f>
        <v>3592385.5845835865</v>
      </c>
      <c r="AF63" s="208">
        <v>0</v>
      </c>
      <c r="AG63" s="164">
        <f t="shared" ca="1" si="10"/>
        <v>5605659.2554709595</v>
      </c>
      <c r="AH63" s="209">
        <f ca="1">BrokerageStocks45[[#This Row],[Simulation BOY Balance ($)]]+(BrokerageStocks45[[#This Row],[Contributions ($)]]/2)</f>
        <v>5605659.2554709595</v>
      </c>
      <c r="AI63" s="160">
        <f ca="1">BrokerageStocks45[[#This Row],[Simulation Average Annual Balance ($)]]*Table53[[#This Row],[Simulated Return (%)]]</f>
        <v>166390.41195889947</v>
      </c>
      <c r="AJ63" s="160">
        <f ca="1">BrokerageStocks45[[#This Row],[Simulation BOY Balance ($)]]+BrokerageStocks45[[#This Row],[Contributions ($)]]+BrokerageStocks45[[#This Row],[Simulated Return ($)]]</f>
        <v>5772049.6674298588</v>
      </c>
      <c r="AK63" s="164">
        <f t="shared" si="6"/>
        <v>4399007.6919056261</v>
      </c>
      <c r="AL63" s="209">
        <f>BrokerageStocks45[[#This Row],[Fixed Return BOY Balance ($)]]+(BrokerageStocks45[[#This Row],[Contributions ($)]]/2)</f>
        <v>4399007.6919056261</v>
      </c>
      <c r="AM63" s="160">
        <f>BrokerageStocks45[[#This Row],[Fixed Return Average Annual Balance]]*annual_stock_market_return</f>
        <v>351920.61535245011</v>
      </c>
      <c r="AN63" s="160">
        <f>BrokerageStocks45[[#This Row],[Fixed Return BOY Balance ($)]]+BrokerageStocks45[[#This Row],[Contributions ($)]]+BrokerageStocks45[[#This Row],[Fixed Average Return ($)]]</f>
        <v>4750928.307258076</v>
      </c>
    </row>
    <row r="64" spans="11:40" x14ac:dyDescent="0.25">
      <c r="K64">
        <v>42</v>
      </c>
      <c r="L64">
        <f t="shared" si="8"/>
        <v>2064</v>
      </c>
      <c r="M64" s="198">
        <f>IF(Table53[[#This Row],[Calendar Year]]&gt;=$C$8,Table53[[#This Row],[Calendar Year]],NA())</f>
        <v>2064</v>
      </c>
      <c r="N64" s="198" t="e">
        <f>IF((Table53[[#This Row],[Calendar Year]]&gt;=$C$8)*(Table53[[#This Row],[Calendar Year]]&lt;=$C$10),Table53[[#This Row],[Calendar Year]],NA())</f>
        <v>#N/A</v>
      </c>
      <c r="O64" s="214" t="e">
        <f>IF((Table53[[#This Row],[Year (Range)]]&gt;=$C$8)*(Table53[[#This Row],[Year (Range)]]&lt;=$C$10),BrokerageStocks4546[[#This Row],[Buy: Simulated EOY Investment Balance ($)]],NA())</f>
        <v>#N/A</v>
      </c>
      <c r="P64" s="214" t="e">
        <f>IF((Table53[[#This Row],[Year (Range)]]&gt;=$C$8)*(Table53[[#This Row],[Year (Range)]]&lt;=$C$10),BrokerageStocks45[[#This Row],[Rent: Simulated EOY Investment Balance ($)]],NA())</f>
        <v>#N/A</v>
      </c>
      <c r="Q64" s="214" t="e">
        <f>IF((Table53[[#This Row],[Year (Range)]]&gt;=$C$8)*(Table53[[#This Row],[Year (Range)]]&lt;=$C$10),BrokerageStocks4546[[#This Row],[Buy: Fixed Average Return EOY Investment Balance ($)]],NA())</f>
        <v>#N/A</v>
      </c>
      <c r="R64" s="214" t="e">
        <f>IF((Table53[[#This Row],[Year (Range)]]&gt;=$C$8)*(Table53[[#This Row],[Year (Range)]]&lt;=$C$10),BrokerageStocks45[[#This Row],[Rent: Fixed Average Return EOY Investment Balance ($)]],NA())</f>
        <v>#N/A</v>
      </c>
      <c r="S64" s="224">
        <f t="shared" ca="1" si="7"/>
        <v>-0.12424538958017416</v>
      </c>
      <c r="T64" s="222">
        <f t="shared" si="2"/>
        <v>0.08</v>
      </c>
      <c r="V64" s="208">
        <f>'Difference in Expenses'!AF60</f>
        <v>134683.71281001589</v>
      </c>
      <c r="W64" s="164">
        <f t="shared" ca="1" si="9"/>
        <v>5320616.5272143809</v>
      </c>
      <c r="X64" s="209">
        <f ca="1">BrokerageStocks4546[[#This Row],[Simulation BOY Balance ($)]]+(BrokerageStocks4546[[#This Row],[Contributions ($)]]/2)</f>
        <v>5387958.3836193886</v>
      </c>
      <c r="Y64" s="160">
        <f ca="1">BrokerageStocks4546[[#This Row],[Simulation Average Annual Balance ($)]]*Table53[[#This Row],[Simulated Return (%)]]</f>
        <v>-669428.98841455637</v>
      </c>
      <c r="Z64" s="160">
        <f ca="1">BrokerageStocks4546[[#This Row],[Simulation BOY Balance ($)]]+BrokerageStocks4546[[#This Row],[Contributions ($)]]+BrokerageStocks4546[[#This Row],[Simulated Return ($)]]</f>
        <v>4785871.2516098404</v>
      </c>
      <c r="AA64" s="160">
        <f t="shared" si="5"/>
        <v>3592385.5845835865</v>
      </c>
      <c r="AB64" s="160">
        <f>BrokerageStocks4546[[#This Row],[Fixed Return BOY Balance ($)]]+BrokerageStocks4546[[#This Row],[Contributions ($)]]</f>
        <v>3727069.2973936023</v>
      </c>
      <c r="AC64" s="160">
        <f>BrokerageStocks4546[[#This Row],[Fixed Return Average Balance ($)]]*annual_stock_market_return</f>
        <v>298165.54379148822</v>
      </c>
      <c r="AD64" s="160">
        <f>BrokerageStocks4546[[#This Row],[Fixed Return BOY Balance ($)]]+BrokerageStocks4546[[#This Row],[Contributions ($)]]+BrokerageStocks4546[[#This Row],[Fixed Average Return ($)]]</f>
        <v>4025234.8411850906</v>
      </c>
      <c r="AF64" s="208">
        <v>0</v>
      </c>
      <c r="AG64" s="164">
        <f t="shared" ca="1" si="10"/>
        <v>5772049.6674298588</v>
      </c>
      <c r="AH64" s="209">
        <f ca="1">BrokerageStocks45[[#This Row],[Simulation BOY Balance ($)]]+(BrokerageStocks45[[#This Row],[Contributions ($)]]/2)</f>
        <v>5772049.6674298588</v>
      </c>
      <c r="AI64" s="160">
        <f ca="1">BrokerageStocks45[[#This Row],[Simulation Average Annual Balance ($)]]*Table53[[#This Row],[Simulated Return (%)]]</f>
        <v>-717150.55960593745</v>
      </c>
      <c r="AJ64" s="160">
        <f ca="1">BrokerageStocks45[[#This Row],[Simulation BOY Balance ($)]]+BrokerageStocks45[[#This Row],[Contributions ($)]]+BrokerageStocks45[[#This Row],[Simulated Return ($)]]</f>
        <v>5054899.1078239214</v>
      </c>
      <c r="AK64" s="164">
        <f t="shared" si="6"/>
        <v>4750928.307258076</v>
      </c>
      <c r="AL64" s="209">
        <f>BrokerageStocks45[[#This Row],[Fixed Return BOY Balance ($)]]+(BrokerageStocks45[[#This Row],[Contributions ($)]]/2)</f>
        <v>4750928.307258076</v>
      </c>
      <c r="AM64" s="160">
        <f>BrokerageStocks45[[#This Row],[Fixed Return Average Annual Balance]]*annual_stock_market_return</f>
        <v>380074.26458064606</v>
      </c>
      <c r="AN64" s="160">
        <f>BrokerageStocks45[[#This Row],[Fixed Return BOY Balance ($)]]+BrokerageStocks45[[#This Row],[Contributions ($)]]+BrokerageStocks45[[#This Row],[Fixed Average Return ($)]]</f>
        <v>5131002.5718387216</v>
      </c>
    </row>
    <row r="65" spans="11:40" x14ac:dyDescent="0.25">
      <c r="K65">
        <v>43</v>
      </c>
      <c r="L65">
        <f t="shared" si="8"/>
        <v>2065</v>
      </c>
      <c r="M65" s="198">
        <f>IF(Table53[[#This Row],[Calendar Year]]&gt;=$C$8,Table53[[#This Row],[Calendar Year]],NA())</f>
        <v>2065</v>
      </c>
      <c r="N65" s="198" t="e">
        <f>IF((Table53[[#This Row],[Calendar Year]]&gt;=$C$8)*(Table53[[#This Row],[Calendar Year]]&lt;=$C$10),Table53[[#This Row],[Calendar Year]],NA())</f>
        <v>#N/A</v>
      </c>
      <c r="O65" s="214" t="e">
        <f>IF((Table53[[#This Row],[Year (Range)]]&gt;=$C$8)*(Table53[[#This Row],[Year (Range)]]&lt;=$C$10),BrokerageStocks4546[[#This Row],[Buy: Simulated EOY Investment Balance ($)]],NA())</f>
        <v>#N/A</v>
      </c>
      <c r="P65" s="214" t="e">
        <f>IF((Table53[[#This Row],[Year (Range)]]&gt;=$C$8)*(Table53[[#This Row],[Year (Range)]]&lt;=$C$10),BrokerageStocks45[[#This Row],[Rent: Simulated EOY Investment Balance ($)]],NA())</f>
        <v>#N/A</v>
      </c>
      <c r="Q65" s="214" t="e">
        <f>IF((Table53[[#This Row],[Year (Range)]]&gt;=$C$8)*(Table53[[#This Row],[Year (Range)]]&lt;=$C$10),BrokerageStocks4546[[#This Row],[Buy: Fixed Average Return EOY Investment Balance ($)]],NA())</f>
        <v>#N/A</v>
      </c>
      <c r="R65" s="214" t="e">
        <f>IF((Table53[[#This Row],[Year (Range)]]&gt;=$C$8)*(Table53[[#This Row],[Year (Range)]]&lt;=$C$10),BrokerageStocks45[[#This Row],[Rent: Fixed Average Return EOY Investment Balance ($)]],NA())</f>
        <v>#N/A</v>
      </c>
      <c r="S65" s="224">
        <f t="shared" ca="1" si="7"/>
        <v>0.19232507563766185</v>
      </c>
      <c r="T65" s="222">
        <f t="shared" si="2"/>
        <v>0.08</v>
      </c>
      <c r="V65" s="208">
        <f>'Difference in Expenses'!AF61</f>
        <v>140593.62640233981</v>
      </c>
      <c r="W65" s="164">
        <f t="shared" ca="1" si="9"/>
        <v>4785871.2516098404</v>
      </c>
      <c r="X65" s="209">
        <f ca="1">BrokerageStocks4546[[#This Row],[Simulation BOY Balance ($)]]+(BrokerageStocks4546[[#This Row],[Contributions ($)]]/2)</f>
        <v>4856168.0648110099</v>
      </c>
      <c r="Y65" s="160">
        <f ca="1">BrokerageStocks4546[[#This Row],[Simulation Average Annual Balance ($)]]*Table53[[#This Row],[Simulated Return (%)]]</f>
        <v>933962.8903739755</v>
      </c>
      <c r="Z65" s="160">
        <f ca="1">BrokerageStocks4546[[#This Row],[Simulation BOY Balance ($)]]+BrokerageStocks4546[[#This Row],[Contributions ($)]]+BrokerageStocks4546[[#This Row],[Simulated Return ($)]]</f>
        <v>5860427.7683861554</v>
      </c>
      <c r="AA65" s="160">
        <f t="shared" si="5"/>
        <v>4025234.8411850906</v>
      </c>
      <c r="AB65" s="160">
        <f>BrokerageStocks4546[[#This Row],[Fixed Return BOY Balance ($)]]+BrokerageStocks4546[[#This Row],[Contributions ($)]]</f>
        <v>4165828.4675874305</v>
      </c>
      <c r="AC65" s="160">
        <f>BrokerageStocks4546[[#This Row],[Fixed Return Average Balance ($)]]*annual_stock_market_return</f>
        <v>333266.27740699443</v>
      </c>
      <c r="AD65" s="160">
        <f>BrokerageStocks4546[[#This Row],[Fixed Return BOY Balance ($)]]+BrokerageStocks4546[[#This Row],[Contributions ($)]]+BrokerageStocks4546[[#This Row],[Fixed Average Return ($)]]</f>
        <v>4499094.7449944252</v>
      </c>
      <c r="AF65" s="208">
        <v>0</v>
      </c>
      <c r="AG65" s="164">
        <f t="shared" ca="1" si="10"/>
        <v>5054899.1078239214</v>
      </c>
      <c r="AH65" s="209">
        <f ca="1">BrokerageStocks45[[#This Row],[Simulation BOY Balance ($)]]+(BrokerageStocks45[[#This Row],[Contributions ($)]]/2)</f>
        <v>5054899.1078239214</v>
      </c>
      <c r="AI65" s="160">
        <f ca="1">BrokerageStocks45[[#This Row],[Simulation Average Annual Balance ($)]]*Table53[[#This Row],[Simulated Return (%)]]</f>
        <v>972183.85325298505</v>
      </c>
      <c r="AJ65" s="160">
        <f ca="1">BrokerageStocks45[[#This Row],[Simulation BOY Balance ($)]]+BrokerageStocks45[[#This Row],[Contributions ($)]]+BrokerageStocks45[[#This Row],[Simulated Return ($)]]</f>
        <v>6027082.961076906</v>
      </c>
      <c r="AK65" s="164">
        <f t="shared" si="6"/>
        <v>5131002.5718387216</v>
      </c>
      <c r="AL65" s="209">
        <f>BrokerageStocks45[[#This Row],[Fixed Return BOY Balance ($)]]+(BrokerageStocks45[[#This Row],[Contributions ($)]]/2)</f>
        <v>5131002.5718387216</v>
      </c>
      <c r="AM65" s="160">
        <f>BrokerageStocks45[[#This Row],[Fixed Return Average Annual Balance]]*annual_stock_market_return</f>
        <v>410480.20574709773</v>
      </c>
      <c r="AN65" s="160">
        <f>BrokerageStocks45[[#This Row],[Fixed Return BOY Balance ($)]]+BrokerageStocks45[[#This Row],[Contributions ($)]]+BrokerageStocks45[[#This Row],[Fixed Average Return ($)]]</f>
        <v>5541482.7775858194</v>
      </c>
    </row>
    <row r="66" spans="11:40" x14ac:dyDescent="0.25">
      <c r="K66">
        <v>44</v>
      </c>
      <c r="L66">
        <f t="shared" si="8"/>
        <v>2066</v>
      </c>
      <c r="M66" s="198">
        <f>IF(Table53[[#This Row],[Calendar Year]]&gt;=$C$8,Table53[[#This Row],[Calendar Year]],NA())</f>
        <v>2066</v>
      </c>
      <c r="N66" s="198" t="e">
        <f>IF((Table53[[#This Row],[Calendar Year]]&gt;=$C$8)*(Table53[[#This Row],[Calendar Year]]&lt;=$C$10),Table53[[#This Row],[Calendar Year]],NA())</f>
        <v>#N/A</v>
      </c>
      <c r="O66" s="214" t="e">
        <f>IF((Table53[[#This Row],[Year (Range)]]&gt;=$C$8)*(Table53[[#This Row],[Year (Range)]]&lt;=$C$10),BrokerageStocks4546[[#This Row],[Buy: Simulated EOY Investment Balance ($)]],NA())</f>
        <v>#N/A</v>
      </c>
      <c r="P66" s="214" t="e">
        <f>IF((Table53[[#This Row],[Year (Range)]]&gt;=$C$8)*(Table53[[#This Row],[Year (Range)]]&lt;=$C$10),BrokerageStocks45[[#This Row],[Rent: Simulated EOY Investment Balance ($)]],NA())</f>
        <v>#N/A</v>
      </c>
      <c r="Q66" s="214" t="e">
        <f>IF((Table53[[#This Row],[Year (Range)]]&gt;=$C$8)*(Table53[[#This Row],[Year (Range)]]&lt;=$C$10),BrokerageStocks4546[[#This Row],[Buy: Fixed Average Return EOY Investment Balance ($)]],NA())</f>
        <v>#N/A</v>
      </c>
      <c r="R66" s="214" t="e">
        <f>IF((Table53[[#This Row],[Year (Range)]]&gt;=$C$8)*(Table53[[#This Row],[Year (Range)]]&lt;=$C$10),BrokerageStocks45[[#This Row],[Rent: Fixed Average Return EOY Investment Balance ($)]],NA())</f>
        <v>#N/A</v>
      </c>
      <c r="S66" s="224">
        <f t="shared" ca="1" si="7"/>
        <v>-7.4064587467106521E-2</v>
      </c>
      <c r="T66" s="222">
        <f t="shared" si="2"/>
        <v>0.08</v>
      </c>
      <c r="V66" s="208">
        <f>'Difference in Expenses'!AF62</f>
        <v>146755.61349075442</v>
      </c>
      <c r="W66" s="164">
        <f t="shared" ca="1" si="9"/>
        <v>5860427.7683861554</v>
      </c>
      <c r="X66" s="209">
        <f ca="1">BrokerageStocks4546[[#This Row],[Simulation BOY Balance ($)]]+(BrokerageStocks4546[[#This Row],[Contributions ($)]]/2)</f>
        <v>5933805.5751315327</v>
      </c>
      <c r="Y66" s="160">
        <f ca="1">BrokerageStocks4546[[#This Row],[Simulation Average Annual Balance ($)]]*Table53[[#This Row],[Simulated Return (%)]]</f>
        <v>-439484.86203213374</v>
      </c>
      <c r="Z66" s="160">
        <f ca="1">BrokerageStocks4546[[#This Row],[Simulation BOY Balance ($)]]+BrokerageStocks4546[[#This Row],[Contributions ($)]]+BrokerageStocks4546[[#This Row],[Simulated Return ($)]]</f>
        <v>5567698.519844776</v>
      </c>
      <c r="AA66" s="160">
        <f t="shared" si="5"/>
        <v>4499094.7449944252</v>
      </c>
      <c r="AB66" s="160">
        <f>BrokerageStocks4546[[#This Row],[Fixed Return BOY Balance ($)]]+BrokerageStocks4546[[#This Row],[Contributions ($)]]</f>
        <v>4645850.35848518</v>
      </c>
      <c r="AC66" s="160">
        <f>BrokerageStocks4546[[#This Row],[Fixed Return Average Balance ($)]]*annual_stock_market_return</f>
        <v>371668.02867881441</v>
      </c>
      <c r="AD66" s="160">
        <f>BrokerageStocks4546[[#This Row],[Fixed Return BOY Balance ($)]]+BrokerageStocks4546[[#This Row],[Contributions ($)]]+BrokerageStocks4546[[#This Row],[Fixed Average Return ($)]]</f>
        <v>5017518.3871639948</v>
      </c>
      <c r="AF66" s="208">
        <v>0</v>
      </c>
      <c r="AG66" s="164">
        <f t="shared" ca="1" si="10"/>
        <v>6027082.961076906</v>
      </c>
      <c r="AH66" s="209">
        <f ca="1">BrokerageStocks45[[#This Row],[Simulation BOY Balance ($)]]+(BrokerageStocks45[[#This Row],[Contributions ($)]]/2)</f>
        <v>6027082.961076906</v>
      </c>
      <c r="AI66" s="160">
        <f ca="1">BrokerageStocks45[[#This Row],[Simulation Average Annual Balance ($)]]*Table53[[#This Row],[Simulated Return (%)]]</f>
        <v>-446393.41314218787</v>
      </c>
      <c r="AJ66" s="160">
        <f ca="1">BrokerageStocks45[[#This Row],[Simulation BOY Balance ($)]]+BrokerageStocks45[[#This Row],[Contributions ($)]]+BrokerageStocks45[[#This Row],[Simulated Return ($)]]</f>
        <v>5580689.5479347184</v>
      </c>
      <c r="AK66" s="164">
        <f t="shared" si="6"/>
        <v>5541482.7775858194</v>
      </c>
      <c r="AL66" s="209">
        <f>BrokerageStocks45[[#This Row],[Fixed Return BOY Balance ($)]]+(BrokerageStocks45[[#This Row],[Contributions ($)]]/2)</f>
        <v>5541482.7775858194</v>
      </c>
      <c r="AM66" s="160">
        <f>BrokerageStocks45[[#This Row],[Fixed Return Average Annual Balance]]*annual_stock_market_return</f>
        <v>443318.62220686558</v>
      </c>
      <c r="AN66" s="160">
        <f>BrokerageStocks45[[#This Row],[Fixed Return BOY Balance ($)]]+BrokerageStocks45[[#This Row],[Contributions ($)]]+BrokerageStocks45[[#This Row],[Fixed Average Return ($)]]</f>
        <v>5984801.3997926852</v>
      </c>
    </row>
    <row r="67" spans="11:40" x14ac:dyDescent="0.25">
      <c r="K67">
        <v>45</v>
      </c>
      <c r="L67">
        <f t="shared" si="8"/>
        <v>2067</v>
      </c>
      <c r="M67" s="198">
        <f>IF(Table53[[#This Row],[Calendar Year]]&gt;=$C$8,Table53[[#This Row],[Calendar Year]],NA())</f>
        <v>2067</v>
      </c>
      <c r="N67" s="198" t="e">
        <f>IF((Table53[[#This Row],[Calendar Year]]&gt;=$C$8)*(Table53[[#This Row],[Calendar Year]]&lt;=$C$10),Table53[[#This Row],[Calendar Year]],NA())</f>
        <v>#N/A</v>
      </c>
      <c r="O67" s="214" t="e">
        <f>IF((Table53[[#This Row],[Year (Range)]]&gt;=$C$8)*(Table53[[#This Row],[Year (Range)]]&lt;=$C$10),BrokerageStocks4546[[#This Row],[Buy: Simulated EOY Investment Balance ($)]],NA())</f>
        <v>#N/A</v>
      </c>
      <c r="P67" s="214" t="e">
        <f>IF((Table53[[#This Row],[Year (Range)]]&gt;=$C$8)*(Table53[[#This Row],[Year (Range)]]&lt;=$C$10),BrokerageStocks45[[#This Row],[Rent: Simulated EOY Investment Balance ($)]],NA())</f>
        <v>#N/A</v>
      </c>
      <c r="Q67" s="214" t="e">
        <f>IF((Table53[[#This Row],[Year (Range)]]&gt;=$C$8)*(Table53[[#This Row],[Year (Range)]]&lt;=$C$10),BrokerageStocks4546[[#This Row],[Buy: Fixed Average Return EOY Investment Balance ($)]],NA())</f>
        <v>#N/A</v>
      </c>
      <c r="R67" s="214" t="e">
        <f>IF((Table53[[#This Row],[Year (Range)]]&gt;=$C$8)*(Table53[[#This Row],[Year (Range)]]&lt;=$C$10),BrokerageStocks45[[#This Row],[Rent: Fixed Average Return EOY Investment Balance ($)]],NA())</f>
        <v>#N/A</v>
      </c>
      <c r="S67" s="224">
        <f t="shared" ca="1" si="7"/>
        <v>7.3517423903807055E-2</v>
      </c>
      <c r="T67" s="222">
        <f t="shared" si="2"/>
        <v>0.08</v>
      </c>
      <c r="V67" s="208">
        <f>'Difference in Expenses'!AF63</f>
        <v>153180.22732367524</v>
      </c>
      <c r="W67" s="164">
        <f t="shared" ca="1" si="9"/>
        <v>5567698.519844776</v>
      </c>
      <c r="X67" s="209">
        <f ca="1">BrokerageStocks4546[[#This Row],[Simulation BOY Balance ($)]]+(BrokerageStocks4546[[#This Row],[Contributions ($)]]/2)</f>
        <v>5644288.6335066138</v>
      </c>
      <c r="Y67" s="160">
        <f ca="1">BrokerageStocks4546[[#This Row],[Simulation Average Annual Balance ($)]]*Table53[[#This Row],[Simulated Return (%)]]</f>
        <v>414953.56010494562</v>
      </c>
      <c r="Z67" s="160">
        <f ca="1">BrokerageStocks4546[[#This Row],[Simulation BOY Balance ($)]]+BrokerageStocks4546[[#This Row],[Contributions ($)]]+BrokerageStocks4546[[#This Row],[Simulated Return ($)]]</f>
        <v>6135832.3072733972</v>
      </c>
      <c r="AA67" s="160">
        <f t="shared" si="5"/>
        <v>5017518.3871639948</v>
      </c>
      <c r="AB67" s="160">
        <f>BrokerageStocks4546[[#This Row],[Fixed Return BOY Balance ($)]]+BrokerageStocks4546[[#This Row],[Contributions ($)]]</f>
        <v>5170698.6144876704</v>
      </c>
      <c r="AC67" s="160">
        <f>BrokerageStocks4546[[#This Row],[Fixed Return Average Balance ($)]]*annual_stock_market_return</f>
        <v>413655.88915901363</v>
      </c>
      <c r="AD67" s="160">
        <f>BrokerageStocks4546[[#This Row],[Fixed Return BOY Balance ($)]]+BrokerageStocks4546[[#This Row],[Contributions ($)]]+BrokerageStocks4546[[#This Row],[Fixed Average Return ($)]]</f>
        <v>5584354.5036466839</v>
      </c>
      <c r="AF67" s="208">
        <v>0</v>
      </c>
      <c r="AG67" s="164">
        <f t="shared" ca="1" si="10"/>
        <v>5580689.5479347184</v>
      </c>
      <c r="AH67" s="209">
        <f ca="1">BrokerageStocks45[[#This Row],[Simulation BOY Balance ($)]]+(BrokerageStocks45[[#This Row],[Contributions ($)]]/2)</f>
        <v>5580689.5479347184</v>
      </c>
      <c r="AI67" s="160">
        <f ca="1">BrokerageStocks45[[#This Row],[Simulation Average Annual Balance ($)]]*Table53[[#This Row],[Simulated Return (%)]]</f>
        <v>410277.91917106207</v>
      </c>
      <c r="AJ67" s="160">
        <f ca="1">BrokerageStocks45[[#This Row],[Simulation BOY Balance ($)]]+BrokerageStocks45[[#This Row],[Contributions ($)]]+BrokerageStocks45[[#This Row],[Simulated Return ($)]]</f>
        <v>5990967.4671057807</v>
      </c>
      <c r="AK67" s="164">
        <f t="shared" si="6"/>
        <v>5984801.3997926852</v>
      </c>
      <c r="AL67" s="209">
        <f>BrokerageStocks45[[#This Row],[Fixed Return BOY Balance ($)]]+(BrokerageStocks45[[#This Row],[Contributions ($)]]/2)</f>
        <v>5984801.3997926852</v>
      </c>
      <c r="AM67" s="160">
        <f>BrokerageStocks45[[#This Row],[Fixed Return Average Annual Balance]]*annual_stock_market_return</f>
        <v>478784.1119834148</v>
      </c>
      <c r="AN67" s="160">
        <f>BrokerageStocks45[[#This Row],[Fixed Return BOY Balance ($)]]+BrokerageStocks45[[#This Row],[Contributions ($)]]+BrokerageStocks45[[#This Row],[Fixed Average Return ($)]]</f>
        <v>6463585.5117760999</v>
      </c>
    </row>
    <row r="68" spans="11:40" x14ac:dyDescent="0.25">
      <c r="K68">
        <v>46</v>
      </c>
      <c r="L68">
        <f t="shared" si="8"/>
        <v>2068</v>
      </c>
      <c r="M68" s="198">
        <f>IF(Table53[[#This Row],[Calendar Year]]&gt;=$C$8,Table53[[#This Row],[Calendar Year]],NA())</f>
        <v>2068</v>
      </c>
      <c r="N68" s="198" t="e">
        <f>IF((Table53[[#This Row],[Calendar Year]]&gt;=$C$8)*(Table53[[#This Row],[Calendar Year]]&lt;=$C$10),Table53[[#This Row],[Calendar Year]],NA())</f>
        <v>#N/A</v>
      </c>
      <c r="O68" s="214" t="e">
        <f>IF((Table53[[#This Row],[Year (Range)]]&gt;=$C$8)*(Table53[[#This Row],[Year (Range)]]&lt;=$C$10),BrokerageStocks4546[[#This Row],[Buy: Simulated EOY Investment Balance ($)]],NA())</f>
        <v>#N/A</v>
      </c>
      <c r="P68" s="214" t="e">
        <f>IF((Table53[[#This Row],[Year (Range)]]&gt;=$C$8)*(Table53[[#This Row],[Year (Range)]]&lt;=$C$10),BrokerageStocks45[[#This Row],[Rent: Simulated EOY Investment Balance ($)]],NA())</f>
        <v>#N/A</v>
      </c>
      <c r="Q68" s="214" t="e">
        <f>IF((Table53[[#This Row],[Year (Range)]]&gt;=$C$8)*(Table53[[#This Row],[Year (Range)]]&lt;=$C$10),BrokerageStocks4546[[#This Row],[Buy: Fixed Average Return EOY Investment Balance ($)]],NA())</f>
        <v>#N/A</v>
      </c>
      <c r="R68" s="214" t="e">
        <f>IF((Table53[[#This Row],[Year (Range)]]&gt;=$C$8)*(Table53[[#This Row],[Year (Range)]]&lt;=$C$10),BrokerageStocks45[[#This Row],[Rent: Fixed Average Return EOY Investment Balance ($)]],NA())</f>
        <v>#N/A</v>
      </c>
      <c r="S68" s="224">
        <f t="shared" ca="1" si="7"/>
        <v>0.10966832021337038</v>
      </c>
      <c r="T68" s="222">
        <f t="shared" si="2"/>
        <v>0.08</v>
      </c>
      <c r="V68" s="208">
        <f>'Difference in Expenses'!AF64</f>
        <v>159878.45738871163</v>
      </c>
      <c r="W68" s="164">
        <f t="shared" ca="1" si="9"/>
        <v>6135832.3072733972</v>
      </c>
      <c r="X68" s="209">
        <f ca="1">BrokerageStocks4546[[#This Row],[Simulation BOY Balance ($)]]+(BrokerageStocks4546[[#This Row],[Contributions ($)]]/2)</f>
        <v>6215771.5359677533</v>
      </c>
      <c r="Y68" s="160">
        <f ca="1">BrokerageStocks4546[[#This Row],[Simulation Average Annual Balance ($)]]*Table53[[#This Row],[Simulated Return (%)]]</f>
        <v>681673.22317966458</v>
      </c>
      <c r="Z68" s="160">
        <f ca="1">BrokerageStocks4546[[#This Row],[Simulation BOY Balance ($)]]+BrokerageStocks4546[[#This Row],[Contributions ($)]]+BrokerageStocks4546[[#This Row],[Simulated Return ($)]]</f>
        <v>6977383.9878417738</v>
      </c>
      <c r="AA68" s="160">
        <f t="shared" si="5"/>
        <v>5584354.5036466839</v>
      </c>
      <c r="AB68" s="160">
        <f>BrokerageStocks4546[[#This Row],[Fixed Return BOY Balance ($)]]+BrokerageStocks4546[[#This Row],[Contributions ($)]]</f>
        <v>5744232.961035395</v>
      </c>
      <c r="AC68" s="160">
        <f>BrokerageStocks4546[[#This Row],[Fixed Return Average Balance ($)]]*annual_stock_market_return</f>
        <v>459538.63688283163</v>
      </c>
      <c r="AD68" s="160">
        <f>BrokerageStocks4546[[#This Row],[Fixed Return BOY Balance ($)]]+BrokerageStocks4546[[#This Row],[Contributions ($)]]+BrokerageStocks4546[[#This Row],[Fixed Average Return ($)]]</f>
        <v>6203771.5979182264</v>
      </c>
      <c r="AF68" s="208">
        <v>0</v>
      </c>
      <c r="AG68" s="164">
        <f t="shared" ca="1" si="10"/>
        <v>5990967.4671057807</v>
      </c>
      <c r="AH68" s="209">
        <f ca="1">BrokerageStocks45[[#This Row],[Simulation BOY Balance ($)]]+(BrokerageStocks45[[#This Row],[Contributions ($)]]/2)</f>
        <v>5990967.4671057807</v>
      </c>
      <c r="AI68" s="160">
        <f ca="1">BrokerageStocks45[[#This Row],[Simulation Average Annual Balance ($)]]*Table53[[#This Row],[Simulated Return (%)]]</f>
        <v>657019.33857044124</v>
      </c>
      <c r="AJ68" s="160">
        <f ca="1">BrokerageStocks45[[#This Row],[Simulation BOY Balance ($)]]+BrokerageStocks45[[#This Row],[Contributions ($)]]+BrokerageStocks45[[#This Row],[Simulated Return ($)]]</f>
        <v>6647986.8056762218</v>
      </c>
      <c r="AK68" s="164">
        <f t="shared" si="6"/>
        <v>6463585.5117760999</v>
      </c>
      <c r="AL68" s="209">
        <f>BrokerageStocks45[[#This Row],[Fixed Return BOY Balance ($)]]+(BrokerageStocks45[[#This Row],[Contributions ($)]]/2)</f>
        <v>6463585.5117760999</v>
      </c>
      <c r="AM68" s="160">
        <f>BrokerageStocks45[[#This Row],[Fixed Return Average Annual Balance]]*annual_stock_market_return</f>
        <v>517086.84094208799</v>
      </c>
      <c r="AN68" s="160">
        <f>BrokerageStocks45[[#This Row],[Fixed Return BOY Balance ($)]]+BrokerageStocks45[[#This Row],[Contributions ($)]]+BrokerageStocks45[[#This Row],[Fixed Average Return ($)]]</f>
        <v>6980672.3527181875</v>
      </c>
    </row>
    <row r="69" spans="11:40" x14ac:dyDescent="0.25">
      <c r="K69">
        <v>47</v>
      </c>
      <c r="L69">
        <f t="shared" si="8"/>
        <v>2069</v>
      </c>
      <c r="M69" s="198">
        <f>IF(Table53[[#This Row],[Calendar Year]]&gt;=$C$8,Table53[[#This Row],[Calendar Year]],NA())</f>
        <v>2069</v>
      </c>
      <c r="N69" s="198" t="e">
        <f>IF((Table53[[#This Row],[Calendar Year]]&gt;=$C$8)*(Table53[[#This Row],[Calendar Year]]&lt;=$C$10),Table53[[#This Row],[Calendar Year]],NA())</f>
        <v>#N/A</v>
      </c>
      <c r="O69" s="214" t="e">
        <f>IF((Table53[[#This Row],[Year (Range)]]&gt;=$C$8)*(Table53[[#This Row],[Year (Range)]]&lt;=$C$10),BrokerageStocks4546[[#This Row],[Buy: Simulated EOY Investment Balance ($)]],NA())</f>
        <v>#N/A</v>
      </c>
      <c r="P69" s="214" t="e">
        <f>IF((Table53[[#This Row],[Year (Range)]]&gt;=$C$8)*(Table53[[#This Row],[Year (Range)]]&lt;=$C$10),BrokerageStocks45[[#This Row],[Rent: Simulated EOY Investment Balance ($)]],NA())</f>
        <v>#N/A</v>
      </c>
      <c r="Q69" s="214" t="e">
        <f>IF((Table53[[#This Row],[Year (Range)]]&gt;=$C$8)*(Table53[[#This Row],[Year (Range)]]&lt;=$C$10),BrokerageStocks4546[[#This Row],[Buy: Fixed Average Return EOY Investment Balance ($)]],NA())</f>
        <v>#N/A</v>
      </c>
      <c r="R69" s="214" t="e">
        <f>IF((Table53[[#This Row],[Year (Range)]]&gt;=$C$8)*(Table53[[#This Row],[Year (Range)]]&lt;=$C$10),BrokerageStocks45[[#This Row],[Rent: Fixed Average Return EOY Investment Balance ($)]],NA())</f>
        <v>#N/A</v>
      </c>
      <c r="S69" s="224">
        <f t="shared" ca="1" si="7"/>
        <v>0.41285848669593117</v>
      </c>
      <c r="T69" s="222">
        <f t="shared" si="2"/>
        <v>0.08</v>
      </c>
      <c r="V69" s="208">
        <f>'Difference in Expenses'!AF65</f>
        <v>166861.74728551213</v>
      </c>
      <c r="W69" s="164">
        <f t="shared" ca="1" si="9"/>
        <v>6977383.9878417738</v>
      </c>
      <c r="X69" s="209">
        <f ca="1">BrokerageStocks4546[[#This Row],[Simulation BOY Balance ($)]]+(BrokerageStocks4546[[#This Row],[Contributions ($)]]/2)</f>
        <v>7060814.8614845295</v>
      </c>
      <c r="Y69" s="160">
        <f ca="1">BrokerageStocks4546[[#This Row],[Simulation Average Annual Balance ($)]]*Table53[[#This Row],[Simulated Return (%)]]</f>
        <v>2915117.3385526435</v>
      </c>
      <c r="Z69" s="160">
        <f ca="1">BrokerageStocks4546[[#This Row],[Simulation BOY Balance ($)]]+BrokerageStocks4546[[#This Row],[Contributions ($)]]+BrokerageStocks4546[[#This Row],[Simulated Return ($)]]</f>
        <v>10059363.07367993</v>
      </c>
      <c r="AA69" s="160">
        <f t="shared" si="5"/>
        <v>6203771.5979182264</v>
      </c>
      <c r="AB69" s="160">
        <f>BrokerageStocks4546[[#This Row],[Fixed Return BOY Balance ($)]]+BrokerageStocks4546[[#This Row],[Contributions ($)]]</f>
        <v>6370633.3452037387</v>
      </c>
      <c r="AC69" s="160">
        <f>BrokerageStocks4546[[#This Row],[Fixed Return Average Balance ($)]]*annual_stock_market_return</f>
        <v>509650.66761629912</v>
      </c>
      <c r="AD69" s="160">
        <f>BrokerageStocks4546[[#This Row],[Fixed Return BOY Balance ($)]]+BrokerageStocks4546[[#This Row],[Contributions ($)]]+BrokerageStocks4546[[#This Row],[Fixed Average Return ($)]]</f>
        <v>6880284.012820038</v>
      </c>
      <c r="AF69" s="208">
        <v>0</v>
      </c>
      <c r="AG69" s="164">
        <f t="shared" ca="1" si="10"/>
        <v>6647986.8056762218</v>
      </c>
      <c r="AH69" s="209">
        <f ca="1">BrokerageStocks45[[#This Row],[Simulation BOY Balance ($)]]+(BrokerageStocks45[[#This Row],[Contributions ($)]]/2)</f>
        <v>6647986.8056762218</v>
      </c>
      <c r="AI69" s="160">
        <f ca="1">BrokerageStocks45[[#This Row],[Simulation Average Annual Balance ($)]]*Table53[[#This Row],[Simulated Return (%)]]</f>
        <v>2744677.7721660025</v>
      </c>
      <c r="AJ69" s="160">
        <f ca="1">BrokerageStocks45[[#This Row],[Simulation BOY Balance ($)]]+BrokerageStocks45[[#This Row],[Contributions ($)]]+BrokerageStocks45[[#This Row],[Simulated Return ($)]]</f>
        <v>9392664.5778422244</v>
      </c>
      <c r="AK69" s="164">
        <f t="shared" si="6"/>
        <v>6980672.3527181875</v>
      </c>
      <c r="AL69" s="209">
        <f>BrokerageStocks45[[#This Row],[Fixed Return BOY Balance ($)]]+(BrokerageStocks45[[#This Row],[Contributions ($)]]/2)</f>
        <v>6980672.3527181875</v>
      </c>
      <c r="AM69" s="160">
        <f>BrokerageStocks45[[#This Row],[Fixed Return Average Annual Balance]]*annual_stock_market_return</f>
        <v>558453.78821745503</v>
      </c>
      <c r="AN69" s="160">
        <f>BrokerageStocks45[[#This Row],[Fixed Return BOY Balance ($)]]+BrokerageStocks45[[#This Row],[Contributions ($)]]+BrokerageStocks45[[#This Row],[Fixed Average Return ($)]]</f>
        <v>7539126.1409356426</v>
      </c>
    </row>
    <row r="70" spans="11:40" x14ac:dyDescent="0.25">
      <c r="K70">
        <v>48</v>
      </c>
      <c r="L70">
        <f t="shared" si="8"/>
        <v>2070</v>
      </c>
      <c r="M70" s="198">
        <f>IF(Table53[[#This Row],[Calendar Year]]&gt;=$C$8,Table53[[#This Row],[Calendar Year]],NA())</f>
        <v>2070</v>
      </c>
      <c r="N70" s="198" t="e">
        <f>IF((Table53[[#This Row],[Calendar Year]]&gt;=$C$8)*(Table53[[#This Row],[Calendar Year]]&lt;=$C$10),Table53[[#This Row],[Calendar Year]],NA())</f>
        <v>#N/A</v>
      </c>
      <c r="O70" s="214" t="e">
        <f>IF((Table53[[#This Row],[Year (Range)]]&gt;=$C$8)*(Table53[[#This Row],[Year (Range)]]&lt;=$C$10),BrokerageStocks4546[[#This Row],[Buy: Simulated EOY Investment Balance ($)]],NA())</f>
        <v>#N/A</v>
      </c>
      <c r="P70" s="214" t="e">
        <f>IF((Table53[[#This Row],[Year (Range)]]&gt;=$C$8)*(Table53[[#This Row],[Year (Range)]]&lt;=$C$10),BrokerageStocks45[[#This Row],[Rent: Simulated EOY Investment Balance ($)]],NA())</f>
        <v>#N/A</v>
      </c>
      <c r="Q70" s="214" t="e">
        <f>IF((Table53[[#This Row],[Year (Range)]]&gt;=$C$8)*(Table53[[#This Row],[Year (Range)]]&lt;=$C$10),BrokerageStocks4546[[#This Row],[Buy: Fixed Average Return EOY Investment Balance ($)]],NA())</f>
        <v>#N/A</v>
      </c>
      <c r="R70" s="214" t="e">
        <f>IF((Table53[[#This Row],[Year (Range)]]&gt;=$C$8)*(Table53[[#This Row],[Year (Range)]]&lt;=$C$10),BrokerageStocks45[[#This Row],[Rent: Fixed Average Return EOY Investment Balance ($)]],NA())</f>
        <v>#N/A</v>
      </c>
      <c r="S70" s="224">
        <f t="shared" ca="1" si="7"/>
        <v>0.16687279477388481</v>
      </c>
      <c r="T70" s="222">
        <f t="shared" si="2"/>
        <v>0.08</v>
      </c>
      <c r="V70" s="208">
        <f>'Difference in Expenses'!AF66</f>
        <v>174142.01332622222</v>
      </c>
      <c r="W70" s="164">
        <f t="shared" ca="1" si="9"/>
        <v>10059363.07367993</v>
      </c>
      <c r="X70" s="209">
        <f ca="1">BrokerageStocks4546[[#This Row],[Simulation BOY Balance ($)]]+(BrokerageStocks4546[[#This Row],[Contributions ($)]]/2)</f>
        <v>10146434.080343042</v>
      </c>
      <c r="Y70" s="160">
        <f ca="1">BrokerageStocks4546[[#This Row],[Simulation Average Annual Balance ($)]]*Table53[[#This Row],[Simulated Return (%)]]</f>
        <v>1693163.8119758351</v>
      </c>
      <c r="Z70" s="160">
        <f ca="1">BrokerageStocks4546[[#This Row],[Simulation BOY Balance ($)]]+BrokerageStocks4546[[#This Row],[Contributions ($)]]+BrokerageStocks4546[[#This Row],[Simulated Return ($)]]</f>
        <v>11926668.898981987</v>
      </c>
      <c r="AA70" s="160">
        <f t="shared" si="5"/>
        <v>6880284.012820038</v>
      </c>
      <c r="AB70" s="160">
        <f>BrokerageStocks4546[[#This Row],[Fixed Return BOY Balance ($)]]+BrokerageStocks4546[[#This Row],[Contributions ($)]]</f>
        <v>7054426.0261462601</v>
      </c>
      <c r="AC70" s="160">
        <f>BrokerageStocks4546[[#This Row],[Fixed Return Average Balance ($)]]*annual_stock_market_return</f>
        <v>564354.08209170087</v>
      </c>
      <c r="AD70" s="160">
        <f>BrokerageStocks4546[[#This Row],[Fixed Return BOY Balance ($)]]+BrokerageStocks4546[[#This Row],[Contributions ($)]]+BrokerageStocks4546[[#This Row],[Fixed Average Return ($)]]</f>
        <v>7618780.1082379613</v>
      </c>
      <c r="AF70" s="208">
        <v>0</v>
      </c>
      <c r="AG70" s="164">
        <f t="shared" ca="1" si="10"/>
        <v>9392664.5778422244</v>
      </c>
      <c r="AH70" s="209">
        <f ca="1">BrokerageStocks45[[#This Row],[Simulation BOY Balance ($)]]+(BrokerageStocks45[[#This Row],[Contributions ($)]]/2)</f>
        <v>9392664.5778422244</v>
      </c>
      <c r="AI70" s="160">
        <f ca="1">BrokerageStocks45[[#This Row],[Simulation Average Annual Balance ($)]]*Table53[[#This Row],[Simulated Return (%)]]</f>
        <v>1567380.1884782028</v>
      </c>
      <c r="AJ70" s="160">
        <f ca="1">BrokerageStocks45[[#This Row],[Simulation BOY Balance ($)]]+BrokerageStocks45[[#This Row],[Contributions ($)]]+BrokerageStocks45[[#This Row],[Simulated Return ($)]]</f>
        <v>10960044.766320428</v>
      </c>
      <c r="AK70" s="164">
        <f t="shared" si="6"/>
        <v>7539126.1409356426</v>
      </c>
      <c r="AL70" s="209">
        <f>BrokerageStocks45[[#This Row],[Fixed Return BOY Balance ($)]]+(BrokerageStocks45[[#This Row],[Contributions ($)]]/2)</f>
        <v>7539126.1409356426</v>
      </c>
      <c r="AM70" s="160">
        <f>BrokerageStocks45[[#This Row],[Fixed Return Average Annual Balance]]*annual_stock_market_return</f>
        <v>603130.09127485147</v>
      </c>
      <c r="AN70" s="160">
        <f>BrokerageStocks45[[#This Row],[Fixed Return BOY Balance ($)]]+BrokerageStocks45[[#This Row],[Contributions ($)]]+BrokerageStocks45[[#This Row],[Fixed Average Return ($)]]</f>
        <v>8142256.2322104946</v>
      </c>
    </row>
    <row r="71" spans="11:40" x14ac:dyDescent="0.25">
      <c r="K71">
        <v>49</v>
      </c>
      <c r="L71">
        <f t="shared" si="8"/>
        <v>2071</v>
      </c>
      <c r="M71" s="198">
        <f>IF(Table53[[#This Row],[Calendar Year]]&gt;=$C$8,Table53[[#This Row],[Calendar Year]],NA())</f>
        <v>2071</v>
      </c>
      <c r="N71" s="198" t="e">
        <f>IF((Table53[[#This Row],[Calendar Year]]&gt;=$C$8)*(Table53[[#This Row],[Calendar Year]]&lt;=$C$10),Table53[[#This Row],[Calendar Year]],NA())</f>
        <v>#N/A</v>
      </c>
      <c r="O71" s="214" t="e">
        <f>IF((Table53[[#This Row],[Year (Range)]]&gt;=$C$8)*(Table53[[#This Row],[Year (Range)]]&lt;=$C$10),BrokerageStocks4546[[#This Row],[Buy: Simulated EOY Investment Balance ($)]],NA())</f>
        <v>#N/A</v>
      </c>
      <c r="P71" s="214" t="e">
        <f>IF((Table53[[#This Row],[Year (Range)]]&gt;=$C$8)*(Table53[[#This Row],[Year (Range)]]&lt;=$C$10),BrokerageStocks45[[#This Row],[Rent: Simulated EOY Investment Balance ($)]],NA())</f>
        <v>#N/A</v>
      </c>
      <c r="Q71" s="214" t="e">
        <f>IF((Table53[[#This Row],[Year (Range)]]&gt;=$C$8)*(Table53[[#This Row],[Year (Range)]]&lt;=$C$10),BrokerageStocks4546[[#This Row],[Buy: Fixed Average Return EOY Investment Balance ($)]],NA())</f>
        <v>#N/A</v>
      </c>
      <c r="R71" s="214" t="e">
        <f>IF((Table53[[#This Row],[Year (Range)]]&gt;=$C$8)*(Table53[[#This Row],[Year (Range)]]&lt;=$C$10),BrokerageStocks45[[#This Row],[Rent: Fixed Average Return EOY Investment Balance ($)]],NA())</f>
        <v>#N/A</v>
      </c>
      <c r="S71" s="224">
        <f t="shared" ca="1" si="7"/>
        <v>-0.1379629172342044</v>
      </c>
      <c r="T71" s="222">
        <f t="shared" si="2"/>
        <v>0.08</v>
      </c>
      <c r="V71" s="208">
        <f>'Difference in Expenses'!AF67</f>
        <v>181731.6638930394</v>
      </c>
      <c r="W71" s="164">
        <f t="shared" ca="1" si="9"/>
        <v>11926668.898981987</v>
      </c>
      <c r="X71" s="209">
        <f ca="1">BrokerageStocks4546[[#This Row],[Simulation BOY Balance ($)]]+(BrokerageStocks4546[[#This Row],[Contributions ($)]]/2)</f>
        <v>12017534.730928507</v>
      </c>
      <c r="Y71" s="160">
        <f ca="1">BrokerageStocks4546[[#This Row],[Simulation Average Annual Balance ($)]]*Table53[[#This Row],[Simulated Return (%)]]</f>
        <v>-1657974.1494422664</v>
      </c>
      <c r="Z71" s="160">
        <f ca="1">BrokerageStocks4546[[#This Row],[Simulation BOY Balance ($)]]+BrokerageStocks4546[[#This Row],[Contributions ($)]]+BrokerageStocks4546[[#This Row],[Simulated Return ($)]]</f>
        <v>10450426.41343276</v>
      </c>
      <c r="AA71" s="160">
        <f t="shared" si="5"/>
        <v>7618780.1082379613</v>
      </c>
      <c r="AB71" s="160">
        <f>BrokerageStocks4546[[#This Row],[Fixed Return BOY Balance ($)]]+BrokerageStocks4546[[#This Row],[Contributions ($)]]</f>
        <v>7800511.7721310006</v>
      </c>
      <c r="AC71" s="160">
        <f>BrokerageStocks4546[[#This Row],[Fixed Return Average Balance ($)]]*annual_stock_market_return</f>
        <v>624040.94177048001</v>
      </c>
      <c r="AD71" s="160">
        <f>BrokerageStocks4546[[#This Row],[Fixed Return BOY Balance ($)]]+BrokerageStocks4546[[#This Row],[Contributions ($)]]+BrokerageStocks4546[[#This Row],[Fixed Average Return ($)]]</f>
        <v>8424552.7139014807</v>
      </c>
      <c r="AF71" s="208">
        <v>0</v>
      </c>
      <c r="AG71" s="164">
        <f t="shared" ca="1" si="10"/>
        <v>10960044.766320428</v>
      </c>
      <c r="AH71" s="209">
        <f ca="1">BrokerageStocks45[[#This Row],[Simulation BOY Balance ($)]]+(BrokerageStocks45[[#This Row],[Contributions ($)]]/2)</f>
        <v>10960044.766320428</v>
      </c>
      <c r="AI71" s="160">
        <f ca="1">BrokerageStocks45[[#This Row],[Simulation Average Annual Balance ($)]]*Table53[[#This Row],[Simulated Return (%)]]</f>
        <v>-1512079.7489790402</v>
      </c>
      <c r="AJ71" s="160">
        <f ca="1">BrokerageStocks45[[#This Row],[Simulation BOY Balance ($)]]+BrokerageStocks45[[#This Row],[Contributions ($)]]+BrokerageStocks45[[#This Row],[Simulated Return ($)]]</f>
        <v>9447965.0173413884</v>
      </c>
      <c r="AK71" s="164">
        <f t="shared" si="6"/>
        <v>8142256.2322104946</v>
      </c>
      <c r="AL71" s="209">
        <f>BrokerageStocks45[[#This Row],[Fixed Return BOY Balance ($)]]+(BrokerageStocks45[[#This Row],[Contributions ($)]]/2)</f>
        <v>8142256.2322104946</v>
      </c>
      <c r="AM71" s="160">
        <f>BrokerageStocks45[[#This Row],[Fixed Return Average Annual Balance]]*annual_stock_market_return</f>
        <v>651380.49857683957</v>
      </c>
      <c r="AN71" s="160">
        <f>BrokerageStocks45[[#This Row],[Fixed Return BOY Balance ($)]]+BrokerageStocks45[[#This Row],[Contributions ($)]]+BrokerageStocks45[[#This Row],[Fixed Average Return ($)]]</f>
        <v>8793636.730787335</v>
      </c>
    </row>
    <row r="72" spans="11:40" x14ac:dyDescent="0.25">
      <c r="K72">
        <v>50</v>
      </c>
      <c r="L72">
        <f t="shared" si="8"/>
        <v>2072</v>
      </c>
      <c r="M72" s="198">
        <f>IF(Table53[[#This Row],[Calendar Year]]&gt;=$C$8,Table53[[#This Row],[Calendar Year]],NA())</f>
        <v>2072</v>
      </c>
      <c r="N72" s="198" t="e">
        <f>IF((Table53[[#This Row],[Calendar Year]]&gt;=$C$8)*(Table53[[#This Row],[Calendar Year]]&lt;=$C$10),Table53[[#This Row],[Calendar Year]],NA())</f>
        <v>#N/A</v>
      </c>
      <c r="O72" s="214" t="e">
        <f>IF((Table53[[#This Row],[Year (Range)]]&gt;=$C$8)*(Table53[[#This Row],[Year (Range)]]&lt;=$C$10),BrokerageStocks4546[[#This Row],[Buy: Simulated EOY Investment Balance ($)]],NA())</f>
        <v>#N/A</v>
      </c>
      <c r="P72" s="214" t="e">
        <f>IF((Table53[[#This Row],[Year (Range)]]&gt;=$C$8)*(Table53[[#This Row],[Year (Range)]]&lt;=$C$10),BrokerageStocks45[[#This Row],[Rent: Simulated EOY Investment Balance ($)]],NA())</f>
        <v>#N/A</v>
      </c>
      <c r="Q72" s="214" t="e">
        <f>IF((Table53[[#This Row],[Year (Range)]]&gt;=$C$8)*(Table53[[#This Row],[Year (Range)]]&lt;=$C$10),BrokerageStocks4546[[#This Row],[Buy: Fixed Average Return EOY Investment Balance ($)]],NA())</f>
        <v>#N/A</v>
      </c>
      <c r="R72" s="214" t="e">
        <f>IF((Table53[[#This Row],[Year (Range)]]&gt;=$C$8)*(Table53[[#This Row],[Year (Range)]]&lt;=$C$10),BrokerageStocks45[[#This Row],[Rent: Fixed Average Return EOY Investment Balance ($)]],NA())</f>
        <v>#N/A</v>
      </c>
      <c r="S72" s="224">
        <f t="shared" ca="1" si="7"/>
        <v>0.22662135437787945</v>
      </c>
      <c r="T72" s="222">
        <f t="shared" si="2"/>
        <v>0.08</v>
      </c>
      <c r="V72" s="208">
        <f>'Difference in Expenses'!AF68</f>
        <v>189643.61958354234</v>
      </c>
      <c r="W72" s="164">
        <f t="shared" ca="1" si="9"/>
        <v>10450426.41343276</v>
      </c>
      <c r="X72" s="209">
        <f ca="1">BrokerageStocks4546[[#This Row],[Simulation BOY Balance ($)]]+(BrokerageStocks4546[[#This Row],[Contributions ($)]]/2)</f>
        <v>10545248.223224532</v>
      </c>
      <c r="Y72" s="160">
        <f ca="1">BrokerageStocks4546[[#This Row],[Simulation Average Annual Balance ($)]]*Table53[[#This Row],[Simulated Return (%)]]</f>
        <v>2389778.4345980701</v>
      </c>
      <c r="Z72" s="160">
        <f ca="1">BrokerageStocks4546[[#This Row],[Simulation BOY Balance ($)]]+BrokerageStocks4546[[#This Row],[Contributions ($)]]+BrokerageStocks4546[[#This Row],[Simulated Return ($)]]</f>
        <v>13029848.467614371</v>
      </c>
      <c r="AA72" s="160">
        <f t="shared" si="5"/>
        <v>8424552.7139014807</v>
      </c>
      <c r="AB72" s="160">
        <f>BrokerageStocks4546[[#This Row],[Fixed Return BOY Balance ($)]]+BrokerageStocks4546[[#This Row],[Contributions ($)]]</f>
        <v>8614196.3334850222</v>
      </c>
      <c r="AC72" s="160">
        <f>BrokerageStocks4546[[#This Row],[Fixed Return Average Balance ($)]]*annual_stock_market_return</f>
        <v>689135.7066788018</v>
      </c>
      <c r="AD72" s="160">
        <f>BrokerageStocks4546[[#This Row],[Fixed Return BOY Balance ($)]]+BrokerageStocks4546[[#This Row],[Contributions ($)]]+BrokerageStocks4546[[#This Row],[Fixed Average Return ($)]]</f>
        <v>9303332.0401638243</v>
      </c>
      <c r="AF72" s="208">
        <v>0</v>
      </c>
      <c r="AG72" s="164">
        <f t="shared" ca="1" si="10"/>
        <v>9447965.0173413884</v>
      </c>
      <c r="AH72" s="209">
        <f ca="1">BrokerageStocks45[[#This Row],[Simulation BOY Balance ($)]]+(BrokerageStocks45[[#This Row],[Contributions ($)]]/2)</f>
        <v>9447965.0173413884</v>
      </c>
      <c r="AI72" s="160">
        <f ca="1">BrokerageStocks45[[#This Row],[Simulation Average Annual Balance ($)]]*Table53[[#This Row],[Simulated Return (%)]]</f>
        <v>2141110.6283447309</v>
      </c>
      <c r="AJ72" s="160">
        <f ca="1">BrokerageStocks45[[#This Row],[Simulation BOY Balance ($)]]+BrokerageStocks45[[#This Row],[Contributions ($)]]+BrokerageStocks45[[#This Row],[Simulated Return ($)]]</f>
        <v>11589075.64568612</v>
      </c>
      <c r="AK72" s="164">
        <f t="shared" si="6"/>
        <v>8793636.730787335</v>
      </c>
      <c r="AL72" s="209">
        <f>BrokerageStocks45[[#This Row],[Fixed Return BOY Balance ($)]]+(BrokerageStocks45[[#This Row],[Contributions ($)]]/2)</f>
        <v>8793636.730787335</v>
      </c>
      <c r="AM72" s="160">
        <f>BrokerageStocks45[[#This Row],[Fixed Return Average Annual Balance]]*annual_stock_market_return</f>
        <v>703490.93846298684</v>
      </c>
      <c r="AN72" s="160">
        <f>BrokerageStocks45[[#This Row],[Fixed Return BOY Balance ($)]]+BrokerageStocks45[[#This Row],[Contributions ($)]]+BrokerageStocks45[[#This Row],[Fixed Average Return ($)]]</f>
        <v>9497127.6692503225</v>
      </c>
    </row>
    <row r="73" spans="11:40" x14ac:dyDescent="0.25">
      <c r="K73">
        <v>51</v>
      </c>
      <c r="L73">
        <f t="shared" si="8"/>
        <v>2073</v>
      </c>
      <c r="M73" s="198">
        <f>IF(Table53[[#This Row],[Calendar Year]]&gt;=$C$8,Table53[[#This Row],[Calendar Year]],NA())</f>
        <v>2073</v>
      </c>
      <c r="N73" s="198" t="e">
        <f>IF((Table53[[#This Row],[Calendar Year]]&gt;=$C$8)*(Table53[[#This Row],[Calendar Year]]&lt;=$C$10),Table53[[#This Row],[Calendar Year]],NA())</f>
        <v>#N/A</v>
      </c>
      <c r="O73" s="214" t="e">
        <f>IF((Table53[[#This Row],[Year (Range)]]&gt;=$C$8)*(Table53[[#This Row],[Year (Range)]]&lt;=$C$10),BrokerageStocks4546[[#This Row],[Buy: Simulated EOY Investment Balance ($)]],NA())</f>
        <v>#N/A</v>
      </c>
      <c r="P73" s="214" t="e">
        <f>IF((Table53[[#This Row],[Year (Range)]]&gt;=$C$8)*(Table53[[#This Row],[Year (Range)]]&lt;=$C$10),BrokerageStocks45[[#This Row],[Rent: Simulated EOY Investment Balance ($)]],NA())</f>
        <v>#N/A</v>
      </c>
      <c r="Q73" s="214" t="e">
        <f>IF((Table53[[#This Row],[Year (Range)]]&gt;=$C$8)*(Table53[[#This Row],[Year (Range)]]&lt;=$C$10),BrokerageStocks4546[[#This Row],[Buy: Fixed Average Return EOY Investment Balance ($)]],NA())</f>
        <v>#N/A</v>
      </c>
      <c r="R73" s="214" t="e">
        <f>IF((Table53[[#This Row],[Year (Range)]]&gt;=$C$8)*(Table53[[#This Row],[Year (Range)]]&lt;=$C$10),BrokerageStocks45[[#This Row],[Rent: Fixed Average Return EOY Investment Balance ($)]],NA())</f>
        <v>#N/A</v>
      </c>
      <c r="S73" s="224">
        <f t="shared" ca="1" si="7"/>
        <v>0.14781761609953609</v>
      </c>
      <c r="T73" s="222">
        <f t="shared" si="2"/>
        <v>0.08</v>
      </c>
      <c r="V73" s="208">
        <f>'Difference in Expenses'!AF69</f>
        <v>197891.33417570879</v>
      </c>
      <c r="W73" s="164">
        <f t="shared" ca="1" si="9"/>
        <v>13029848.467614371</v>
      </c>
      <c r="X73" s="209">
        <f ca="1">BrokerageStocks4546[[#This Row],[Simulation BOY Balance ($)]]+(BrokerageStocks4546[[#This Row],[Contributions ($)]]/2)</f>
        <v>13128794.134702226</v>
      </c>
      <c r="Y73" s="160">
        <f ca="1">BrokerageStocks4546[[#This Row],[Simulation Average Annual Balance ($)]]*Table53[[#This Row],[Simulated Return (%)]]</f>
        <v>1940667.0512532548</v>
      </c>
      <c r="Z73" s="160">
        <f ca="1">BrokerageStocks4546[[#This Row],[Simulation BOY Balance ($)]]+BrokerageStocks4546[[#This Row],[Contributions ($)]]+BrokerageStocks4546[[#This Row],[Simulated Return ($)]]</f>
        <v>15168406.853043336</v>
      </c>
      <c r="AA73" s="160">
        <f t="shared" si="5"/>
        <v>9303332.0401638243</v>
      </c>
      <c r="AB73" s="160">
        <f>BrokerageStocks4546[[#This Row],[Fixed Return BOY Balance ($)]]+BrokerageStocks4546[[#This Row],[Contributions ($)]]</f>
        <v>9501223.374339534</v>
      </c>
      <c r="AC73" s="160">
        <f>BrokerageStocks4546[[#This Row],[Fixed Return Average Balance ($)]]*annual_stock_market_return</f>
        <v>760097.86994716269</v>
      </c>
      <c r="AD73" s="160">
        <f>BrokerageStocks4546[[#This Row],[Fixed Return BOY Balance ($)]]+BrokerageStocks4546[[#This Row],[Contributions ($)]]+BrokerageStocks4546[[#This Row],[Fixed Average Return ($)]]</f>
        <v>10261321.244286697</v>
      </c>
      <c r="AF73" s="208">
        <v>0</v>
      </c>
      <c r="AG73" s="164">
        <f t="shared" ca="1" si="10"/>
        <v>11589075.64568612</v>
      </c>
      <c r="AH73" s="209">
        <f ca="1">BrokerageStocks45[[#This Row],[Simulation BOY Balance ($)]]+(BrokerageStocks45[[#This Row],[Contributions ($)]]/2)</f>
        <v>11589075.64568612</v>
      </c>
      <c r="AI73" s="160">
        <f ca="1">BrokerageStocks45[[#This Row],[Simulation Average Annual Balance ($)]]*Table53[[#This Row],[Simulated Return (%)]]</f>
        <v>1713069.5347425141</v>
      </c>
      <c r="AJ73" s="160">
        <f ca="1">BrokerageStocks45[[#This Row],[Simulation BOY Balance ($)]]+BrokerageStocks45[[#This Row],[Contributions ($)]]+BrokerageStocks45[[#This Row],[Simulated Return ($)]]</f>
        <v>13302145.180428633</v>
      </c>
      <c r="AK73" s="164">
        <f t="shared" si="6"/>
        <v>9497127.6692503225</v>
      </c>
      <c r="AL73" s="209">
        <f>BrokerageStocks45[[#This Row],[Fixed Return BOY Balance ($)]]+(BrokerageStocks45[[#This Row],[Contributions ($)]]/2)</f>
        <v>9497127.6692503225</v>
      </c>
      <c r="AM73" s="160">
        <f>BrokerageStocks45[[#This Row],[Fixed Return Average Annual Balance]]*annual_stock_market_return</f>
        <v>759770.21354002587</v>
      </c>
      <c r="AN73" s="160">
        <f>BrokerageStocks45[[#This Row],[Fixed Return BOY Balance ($)]]+BrokerageStocks45[[#This Row],[Contributions ($)]]+BrokerageStocks45[[#This Row],[Fixed Average Return ($)]]</f>
        <v>10256897.882790348</v>
      </c>
    </row>
    <row r="74" spans="11:40" x14ac:dyDescent="0.25">
      <c r="K74">
        <v>52</v>
      </c>
      <c r="L74">
        <f t="shared" si="8"/>
        <v>2074</v>
      </c>
      <c r="M74" s="198">
        <f>IF(Table53[[#This Row],[Calendar Year]]&gt;=$C$8,Table53[[#This Row],[Calendar Year]],NA())</f>
        <v>2074</v>
      </c>
      <c r="N74" s="198" t="e">
        <f>IF((Table53[[#This Row],[Calendar Year]]&gt;=$C$8)*(Table53[[#This Row],[Calendar Year]]&lt;=$C$10),Table53[[#This Row],[Calendar Year]],NA())</f>
        <v>#N/A</v>
      </c>
      <c r="O74" s="214" t="e">
        <f>IF((Table53[[#This Row],[Year (Range)]]&gt;=$C$8)*(Table53[[#This Row],[Year (Range)]]&lt;=$C$10),BrokerageStocks4546[[#This Row],[Buy: Simulated EOY Investment Balance ($)]],NA())</f>
        <v>#N/A</v>
      </c>
      <c r="P74" s="214" t="e">
        <f>IF((Table53[[#This Row],[Year (Range)]]&gt;=$C$8)*(Table53[[#This Row],[Year (Range)]]&lt;=$C$10),BrokerageStocks45[[#This Row],[Rent: Simulated EOY Investment Balance ($)]],NA())</f>
        <v>#N/A</v>
      </c>
      <c r="Q74" s="214" t="e">
        <f>IF((Table53[[#This Row],[Year (Range)]]&gt;=$C$8)*(Table53[[#This Row],[Year (Range)]]&lt;=$C$10),BrokerageStocks4546[[#This Row],[Buy: Fixed Average Return EOY Investment Balance ($)]],NA())</f>
        <v>#N/A</v>
      </c>
      <c r="R74" s="214" t="e">
        <f>IF((Table53[[#This Row],[Year (Range)]]&gt;=$C$8)*(Table53[[#This Row],[Year (Range)]]&lt;=$C$10),BrokerageStocks45[[#This Row],[Rent: Fixed Average Return EOY Investment Balance ($)]],NA())</f>
        <v>#N/A</v>
      </c>
      <c r="S74" s="224">
        <f t="shared" ca="1" si="7"/>
        <v>1.5290576125326222E-2</v>
      </c>
      <c r="T74" s="222">
        <f t="shared" si="2"/>
        <v>0.08</v>
      </c>
      <c r="V74" s="208">
        <f>'Difference in Expenses'!AF70</f>
        <v>206488.81644582667</v>
      </c>
      <c r="W74" s="164">
        <f t="shared" ca="1" si="9"/>
        <v>15168406.853043336</v>
      </c>
      <c r="X74" s="209">
        <f ca="1">BrokerageStocks4546[[#This Row],[Simulation BOY Balance ($)]]+(BrokerageStocks4546[[#This Row],[Contributions ($)]]/2)</f>
        <v>15271651.26126625</v>
      </c>
      <c r="Y74" s="160">
        <f ca="1">BrokerageStocks4546[[#This Row],[Simulation Average Annual Balance ($)]]*Table53[[#This Row],[Simulated Return (%)]]</f>
        <v>233512.34616982582</v>
      </c>
      <c r="Z74" s="160">
        <f ca="1">BrokerageStocks4546[[#This Row],[Simulation BOY Balance ($)]]+BrokerageStocks4546[[#This Row],[Contributions ($)]]+BrokerageStocks4546[[#This Row],[Simulated Return ($)]]</f>
        <v>15608408.01565899</v>
      </c>
      <c r="AA74" s="160">
        <f t="shared" si="5"/>
        <v>10261321.244286697</v>
      </c>
      <c r="AB74" s="160">
        <f>BrokerageStocks4546[[#This Row],[Fixed Return BOY Balance ($)]]+BrokerageStocks4546[[#This Row],[Contributions ($)]]</f>
        <v>10467810.060732525</v>
      </c>
      <c r="AC74" s="160">
        <f>BrokerageStocks4546[[#This Row],[Fixed Return Average Balance ($)]]*annual_stock_market_return</f>
        <v>837424.804858602</v>
      </c>
      <c r="AD74" s="160">
        <f>BrokerageStocks4546[[#This Row],[Fixed Return BOY Balance ($)]]+BrokerageStocks4546[[#This Row],[Contributions ($)]]+BrokerageStocks4546[[#This Row],[Fixed Average Return ($)]]</f>
        <v>11305234.865591127</v>
      </c>
      <c r="AF74" s="208">
        <v>0</v>
      </c>
      <c r="AG74" s="164">
        <f t="shared" ca="1" si="10"/>
        <v>13302145.180428633</v>
      </c>
      <c r="AH74" s="209">
        <f ca="1">BrokerageStocks45[[#This Row],[Simulation BOY Balance ($)]]+(BrokerageStocks45[[#This Row],[Contributions ($)]]/2)</f>
        <v>13302145.180428633</v>
      </c>
      <c r="AI74" s="160">
        <f ca="1">BrokerageStocks45[[#This Row],[Simulation Average Annual Balance ($)]]*Table53[[#This Row],[Simulated Return (%)]]</f>
        <v>203397.46351148532</v>
      </c>
      <c r="AJ74" s="160">
        <f ca="1">BrokerageStocks45[[#This Row],[Simulation BOY Balance ($)]]+BrokerageStocks45[[#This Row],[Contributions ($)]]+BrokerageStocks45[[#This Row],[Simulated Return ($)]]</f>
        <v>13505542.643940119</v>
      </c>
      <c r="AK74" s="164">
        <f t="shared" si="6"/>
        <v>10256897.882790348</v>
      </c>
      <c r="AL74" s="209">
        <f>BrokerageStocks45[[#This Row],[Fixed Return BOY Balance ($)]]+(BrokerageStocks45[[#This Row],[Contributions ($)]]/2)</f>
        <v>10256897.882790348</v>
      </c>
      <c r="AM74" s="160">
        <f>BrokerageStocks45[[#This Row],[Fixed Return Average Annual Balance]]*annual_stock_market_return</f>
        <v>820551.83062322787</v>
      </c>
      <c r="AN74" s="160">
        <f>BrokerageStocks45[[#This Row],[Fixed Return BOY Balance ($)]]+BrokerageStocks45[[#This Row],[Contributions ($)]]+BrokerageStocks45[[#This Row],[Fixed Average Return ($)]]</f>
        <v>11077449.713413576</v>
      </c>
    </row>
    <row r="75" spans="11:40" x14ac:dyDescent="0.25">
      <c r="K75">
        <v>53</v>
      </c>
      <c r="L75">
        <f t="shared" si="8"/>
        <v>2075</v>
      </c>
      <c r="M75" s="198">
        <f>IF(Table53[[#This Row],[Calendar Year]]&gt;=$C$8,Table53[[#This Row],[Calendar Year]],NA())</f>
        <v>2075</v>
      </c>
      <c r="N75" s="198" t="e">
        <f>IF((Table53[[#This Row],[Calendar Year]]&gt;=$C$8)*(Table53[[#This Row],[Calendar Year]]&lt;=$C$10),Table53[[#This Row],[Calendar Year]],NA())</f>
        <v>#N/A</v>
      </c>
      <c r="O75" s="214" t="e">
        <f>IF((Table53[[#This Row],[Year (Range)]]&gt;=$C$8)*(Table53[[#This Row],[Year (Range)]]&lt;=$C$10),BrokerageStocks4546[[#This Row],[Buy: Simulated EOY Investment Balance ($)]],NA())</f>
        <v>#N/A</v>
      </c>
      <c r="P75" s="214" t="e">
        <f>IF((Table53[[#This Row],[Year (Range)]]&gt;=$C$8)*(Table53[[#This Row],[Year (Range)]]&lt;=$C$10),BrokerageStocks45[[#This Row],[Rent: Simulated EOY Investment Balance ($)]],NA())</f>
        <v>#N/A</v>
      </c>
      <c r="Q75" s="214" t="e">
        <f>IF((Table53[[#This Row],[Year (Range)]]&gt;=$C$8)*(Table53[[#This Row],[Year (Range)]]&lt;=$C$10),BrokerageStocks4546[[#This Row],[Buy: Fixed Average Return EOY Investment Balance ($)]],NA())</f>
        <v>#N/A</v>
      </c>
      <c r="R75" s="214" t="e">
        <f>IF((Table53[[#This Row],[Year (Range)]]&gt;=$C$8)*(Table53[[#This Row],[Year (Range)]]&lt;=$C$10),BrokerageStocks45[[#This Row],[Rent: Fixed Average Return EOY Investment Balance ($)]],NA())</f>
        <v>#N/A</v>
      </c>
      <c r="S75" s="224">
        <f t="shared" ca="1" si="7"/>
        <v>0.23015922540887884</v>
      </c>
      <c r="T75" s="222">
        <f t="shared" si="2"/>
        <v>0.08</v>
      </c>
      <c r="V75" s="208">
        <f>'Difference in Expenses'!AF71</f>
        <v>215450.65287384199</v>
      </c>
      <c r="W75" s="164">
        <f t="shared" ca="1" si="9"/>
        <v>15608408.01565899</v>
      </c>
      <c r="X75" s="209">
        <f ca="1">BrokerageStocks4546[[#This Row],[Simulation BOY Balance ($)]]+(BrokerageStocks4546[[#This Row],[Contributions ($)]]/2)</f>
        <v>15716133.34209591</v>
      </c>
      <c r="Y75" s="160">
        <f ca="1">BrokerageStocks4546[[#This Row],[Simulation Average Annual Balance ($)]]*Table53[[#This Row],[Simulated Return (%)]]</f>
        <v>3617213.0764394486</v>
      </c>
      <c r="Z75" s="160">
        <f ca="1">BrokerageStocks4546[[#This Row],[Simulation BOY Balance ($)]]+BrokerageStocks4546[[#This Row],[Contributions ($)]]+BrokerageStocks4546[[#This Row],[Simulated Return ($)]]</f>
        <v>19441071.744972281</v>
      </c>
      <c r="AA75" s="160">
        <f t="shared" si="5"/>
        <v>11305234.865591127</v>
      </c>
      <c r="AB75" s="160">
        <f>BrokerageStocks4546[[#This Row],[Fixed Return BOY Balance ($)]]+BrokerageStocks4546[[#This Row],[Contributions ($)]]</f>
        <v>11520685.518464969</v>
      </c>
      <c r="AC75" s="160">
        <f>BrokerageStocks4546[[#This Row],[Fixed Return Average Balance ($)]]*annual_stock_market_return</f>
        <v>921654.84147719759</v>
      </c>
      <c r="AD75" s="160">
        <f>BrokerageStocks4546[[#This Row],[Fixed Return BOY Balance ($)]]+BrokerageStocks4546[[#This Row],[Contributions ($)]]+BrokerageStocks4546[[#This Row],[Fixed Average Return ($)]]</f>
        <v>12442340.359942168</v>
      </c>
      <c r="AF75" s="208">
        <v>0</v>
      </c>
      <c r="AG75" s="164">
        <f t="shared" ca="1" si="10"/>
        <v>13505542.643940119</v>
      </c>
      <c r="AH75" s="209">
        <f ca="1">BrokerageStocks45[[#This Row],[Simulation BOY Balance ($)]]+(BrokerageStocks45[[#This Row],[Contributions ($)]]/2)</f>
        <v>13505542.643940119</v>
      </c>
      <c r="AI75" s="160">
        <f ca="1">BrokerageStocks45[[#This Row],[Simulation Average Annual Balance ($)]]*Table53[[#This Row],[Simulated Return (%)]]</f>
        <v>3108425.2336558392</v>
      </c>
      <c r="AJ75" s="160">
        <f ca="1">BrokerageStocks45[[#This Row],[Simulation BOY Balance ($)]]+BrokerageStocks45[[#This Row],[Contributions ($)]]+BrokerageStocks45[[#This Row],[Simulated Return ($)]]</f>
        <v>16613967.877595957</v>
      </c>
      <c r="AK75" s="164">
        <f t="shared" si="6"/>
        <v>11077449.713413576</v>
      </c>
      <c r="AL75" s="209">
        <f>BrokerageStocks45[[#This Row],[Fixed Return BOY Balance ($)]]+(BrokerageStocks45[[#This Row],[Contributions ($)]]/2)</f>
        <v>11077449.713413576</v>
      </c>
      <c r="AM75" s="160">
        <f>BrokerageStocks45[[#This Row],[Fixed Return Average Annual Balance]]*annual_stock_market_return</f>
        <v>886195.97707308608</v>
      </c>
      <c r="AN75" s="160">
        <f>BrokerageStocks45[[#This Row],[Fixed Return BOY Balance ($)]]+BrokerageStocks45[[#This Row],[Contributions ($)]]+BrokerageStocks45[[#This Row],[Fixed Average Return ($)]]</f>
        <v>11963645.690486662</v>
      </c>
    </row>
    <row r="76" spans="11:40" x14ac:dyDescent="0.25">
      <c r="K76">
        <v>54</v>
      </c>
      <c r="L76">
        <f t="shared" si="8"/>
        <v>2076</v>
      </c>
      <c r="M76" s="198">
        <f>IF(Table53[[#This Row],[Calendar Year]]&gt;=$C$8,Table53[[#This Row],[Calendar Year]],NA())</f>
        <v>2076</v>
      </c>
      <c r="N76" s="198" t="e">
        <f>IF((Table53[[#This Row],[Calendar Year]]&gt;=$C$8)*(Table53[[#This Row],[Calendar Year]]&lt;=$C$10),Table53[[#This Row],[Calendar Year]],NA())</f>
        <v>#N/A</v>
      </c>
      <c r="O76" s="214" t="e">
        <f>IF((Table53[[#This Row],[Year (Range)]]&gt;=$C$8)*(Table53[[#This Row],[Year (Range)]]&lt;=$C$10),BrokerageStocks4546[[#This Row],[Buy: Simulated EOY Investment Balance ($)]],NA())</f>
        <v>#N/A</v>
      </c>
      <c r="P76" s="214" t="e">
        <f>IF((Table53[[#This Row],[Year (Range)]]&gt;=$C$8)*(Table53[[#This Row],[Year (Range)]]&lt;=$C$10),BrokerageStocks45[[#This Row],[Rent: Simulated EOY Investment Balance ($)]],NA())</f>
        <v>#N/A</v>
      </c>
      <c r="Q76" s="214" t="e">
        <f>IF((Table53[[#This Row],[Year (Range)]]&gt;=$C$8)*(Table53[[#This Row],[Year (Range)]]&lt;=$C$10),BrokerageStocks4546[[#This Row],[Buy: Fixed Average Return EOY Investment Balance ($)]],NA())</f>
        <v>#N/A</v>
      </c>
      <c r="R76" s="214" t="e">
        <f>IF((Table53[[#This Row],[Year (Range)]]&gt;=$C$8)*(Table53[[#This Row],[Year (Range)]]&lt;=$C$10),BrokerageStocks45[[#This Row],[Rent: Fixed Average Return EOY Investment Balance ($)]],NA())</f>
        <v>#N/A</v>
      </c>
      <c r="S76" s="224">
        <f t="shared" ca="1" si="7"/>
        <v>3.7281892748613626E-3</v>
      </c>
      <c r="T76" s="222">
        <f t="shared" si="2"/>
        <v>0.08</v>
      </c>
      <c r="V76" s="208">
        <f>'Difference in Expenses'!AF72</f>
        <v>224792.03127208332</v>
      </c>
      <c r="W76" s="164">
        <f t="shared" ca="1" si="9"/>
        <v>19441071.744972281</v>
      </c>
      <c r="X76" s="209">
        <f ca="1">BrokerageStocks4546[[#This Row],[Simulation BOY Balance ($)]]+(BrokerageStocks4546[[#This Row],[Contributions ($)]]/2)</f>
        <v>19553467.760608323</v>
      </c>
      <c r="Y76" s="160">
        <f ca="1">BrokerageStocks4546[[#This Row],[Simulation Average Annual Balance ($)]]*Table53[[#This Row],[Simulated Return (%)]]</f>
        <v>72899.028791447374</v>
      </c>
      <c r="Z76" s="160">
        <f ca="1">BrokerageStocks4546[[#This Row],[Simulation BOY Balance ($)]]+BrokerageStocks4546[[#This Row],[Contributions ($)]]+BrokerageStocks4546[[#This Row],[Simulated Return ($)]]</f>
        <v>19738762.805035811</v>
      </c>
      <c r="AA76" s="160">
        <f t="shared" si="5"/>
        <v>12442340.359942168</v>
      </c>
      <c r="AB76" s="160">
        <f>BrokerageStocks4546[[#This Row],[Fixed Return BOY Balance ($)]]+BrokerageStocks4546[[#This Row],[Contributions ($)]]</f>
        <v>12667132.391214252</v>
      </c>
      <c r="AC76" s="160">
        <f>BrokerageStocks4546[[#This Row],[Fixed Return Average Balance ($)]]*annual_stock_market_return</f>
        <v>1013370.5912971401</v>
      </c>
      <c r="AD76" s="160">
        <f>BrokerageStocks4546[[#This Row],[Fixed Return BOY Balance ($)]]+BrokerageStocks4546[[#This Row],[Contributions ($)]]+BrokerageStocks4546[[#This Row],[Fixed Average Return ($)]]</f>
        <v>13680502.982511392</v>
      </c>
      <c r="AF76" s="208">
        <v>0</v>
      </c>
      <c r="AG76" s="164">
        <f t="shared" ca="1" si="10"/>
        <v>16613967.877595957</v>
      </c>
      <c r="AH76" s="209">
        <f ca="1">BrokerageStocks45[[#This Row],[Simulation BOY Balance ($)]]+(BrokerageStocks45[[#This Row],[Contributions ($)]]/2)</f>
        <v>16613967.877595957</v>
      </c>
      <c r="AI76" s="160">
        <f ca="1">BrokerageStocks45[[#This Row],[Simulation Average Annual Balance ($)]]*Table53[[#This Row],[Simulated Return (%)]]</f>
        <v>61940.016854144444</v>
      </c>
      <c r="AJ76" s="160">
        <f ca="1">BrokerageStocks45[[#This Row],[Simulation BOY Balance ($)]]+BrokerageStocks45[[#This Row],[Contributions ($)]]+BrokerageStocks45[[#This Row],[Simulated Return ($)]]</f>
        <v>16675907.894450102</v>
      </c>
      <c r="AK76" s="164">
        <f t="shared" si="6"/>
        <v>11963645.690486662</v>
      </c>
      <c r="AL76" s="209">
        <f>BrokerageStocks45[[#This Row],[Fixed Return BOY Balance ($)]]+(BrokerageStocks45[[#This Row],[Contributions ($)]]/2)</f>
        <v>11963645.690486662</v>
      </c>
      <c r="AM76" s="160">
        <f>BrokerageStocks45[[#This Row],[Fixed Return Average Annual Balance]]*annual_stock_market_return</f>
        <v>957091.65523893293</v>
      </c>
      <c r="AN76" s="160">
        <f>BrokerageStocks45[[#This Row],[Fixed Return BOY Balance ($)]]+BrokerageStocks45[[#This Row],[Contributions ($)]]+BrokerageStocks45[[#This Row],[Fixed Average Return ($)]]</f>
        <v>12920737.345725596</v>
      </c>
    </row>
    <row r="77" spans="11:40" x14ac:dyDescent="0.25">
      <c r="K77">
        <v>55</v>
      </c>
      <c r="L77">
        <f t="shared" si="8"/>
        <v>2077</v>
      </c>
      <c r="M77" s="198">
        <f>IF(Table53[[#This Row],[Calendar Year]]&gt;=$C$8,Table53[[#This Row],[Calendar Year]],NA())</f>
        <v>2077</v>
      </c>
      <c r="N77" s="198" t="e">
        <f>IF((Table53[[#This Row],[Calendar Year]]&gt;=$C$8)*(Table53[[#This Row],[Calendar Year]]&lt;=$C$10),Table53[[#This Row],[Calendar Year]],NA())</f>
        <v>#N/A</v>
      </c>
      <c r="O77" s="214" t="e">
        <f>IF((Table53[[#This Row],[Year (Range)]]&gt;=$C$8)*(Table53[[#This Row],[Year (Range)]]&lt;=$C$10),BrokerageStocks4546[[#This Row],[Buy: Simulated EOY Investment Balance ($)]],NA())</f>
        <v>#N/A</v>
      </c>
      <c r="P77" s="214" t="e">
        <f>IF((Table53[[#This Row],[Year (Range)]]&gt;=$C$8)*(Table53[[#This Row],[Year (Range)]]&lt;=$C$10),BrokerageStocks45[[#This Row],[Rent: Simulated EOY Investment Balance ($)]],NA())</f>
        <v>#N/A</v>
      </c>
      <c r="Q77" s="214" t="e">
        <f>IF((Table53[[#This Row],[Year (Range)]]&gt;=$C$8)*(Table53[[#This Row],[Year (Range)]]&lt;=$C$10),BrokerageStocks4546[[#This Row],[Buy: Fixed Average Return EOY Investment Balance ($)]],NA())</f>
        <v>#N/A</v>
      </c>
      <c r="R77" s="214" t="e">
        <f>IF((Table53[[#This Row],[Year (Range)]]&gt;=$C$8)*(Table53[[#This Row],[Year (Range)]]&lt;=$C$10),BrokerageStocks45[[#This Row],[Rent: Fixed Average Return EOY Investment Balance ($)]],NA())</f>
        <v>#N/A</v>
      </c>
      <c r="S77" s="224">
        <f t="shared" ca="1" si="7"/>
        <v>2.2062734651290924E-2</v>
      </c>
      <c r="T77" s="222">
        <f t="shared" si="2"/>
        <v>0.08</v>
      </c>
      <c r="V77" s="208">
        <f>'Difference in Expenses'!AF73</f>
        <v>234528.76537475293</v>
      </c>
      <c r="W77" s="164">
        <f t="shared" ca="1" si="9"/>
        <v>19738762.805035811</v>
      </c>
      <c r="X77" s="209">
        <f ca="1">BrokerageStocks4546[[#This Row],[Simulation BOY Balance ($)]]+(BrokerageStocks4546[[#This Row],[Contributions ($)]]/2)</f>
        <v>19856027.187723186</v>
      </c>
      <c r="Y77" s="160">
        <f ca="1">BrokerageStocks4546[[#This Row],[Simulation Average Annual Balance ($)]]*Table53[[#This Row],[Simulated Return (%)]]</f>
        <v>438078.25907155505</v>
      </c>
      <c r="Z77" s="160">
        <f ca="1">BrokerageStocks4546[[#This Row],[Simulation BOY Balance ($)]]+BrokerageStocks4546[[#This Row],[Contributions ($)]]+BrokerageStocks4546[[#This Row],[Simulated Return ($)]]</f>
        <v>20411369.82948212</v>
      </c>
      <c r="AA77" s="160">
        <f t="shared" si="5"/>
        <v>13680502.982511392</v>
      </c>
      <c r="AB77" s="160">
        <f>BrokerageStocks4546[[#This Row],[Fixed Return BOY Balance ($)]]+BrokerageStocks4546[[#This Row],[Contributions ($)]]</f>
        <v>13915031.747886145</v>
      </c>
      <c r="AC77" s="160">
        <f>BrokerageStocks4546[[#This Row],[Fixed Return Average Balance ($)]]*annual_stock_market_return</f>
        <v>1113202.5398308916</v>
      </c>
      <c r="AD77" s="160">
        <f>BrokerageStocks4546[[#This Row],[Fixed Return BOY Balance ($)]]+BrokerageStocks4546[[#This Row],[Contributions ($)]]+BrokerageStocks4546[[#This Row],[Fixed Average Return ($)]]</f>
        <v>15028234.287717037</v>
      </c>
      <c r="AF77" s="208">
        <v>0</v>
      </c>
      <c r="AG77" s="164">
        <f t="shared" ca="1" si="10"/>
        <v>16675907.894450102</v>
      </c>
      <c r="AH77" s="209">
        <f ca="1">BrokerageStocks45[[#This Row],[Simulation BOY Balance ($)]]+(BrokerageStocks45[[#This Row],[Contributions ($)]]/2)</f>
        <v>16675907.894450102</v>
      </c>
      <c r="AI77" s="160">
        <f ca="1">BrokerageStocks45[[#This Row],[Simulation Average Annual Balance ($)]]*Table53[[#This Row],[Simulated Return (%)]]</f>
        <v>367916.13094462012</v>
      </c>
      <c r="AJ77" s="160">
        <f ca="1">BrokerageStocks45[[#This Row],[Simulation BOY Balance ($)]]+BrokerageStocks45[[#This Row],[Contributions ($)]]+BrokerageStocks45[[#This Row],[Simulated Return ($)]]</f>
        <v>17043824.025394723</v>
      </c>
      <c r="AK77" s="164">
        <f t="shared" si="6"/>
        <v>12920737.345725596</v>
      </c>
      <c r="AL77" s="209">
        <f>BrokerageStocks45[[#This Row],[Fixed Return BOY Balance ($)]]+(BrokerageStocks45[[#This Row],[Contributions ($)]]/2)</f>
        <v>12920737.345725596</v>
      </c>
      <c r="AM77" s="160">
        <f>BrokerageStocks45[[#This Row],[Fixed Return Average Annual Balance]]*annual_stock_market_return</f>
        <v>1033658.9876580477</v>
      </c>
      <c r="AN77" s="160">
        <f>BrokerageStocks45[[#This Row],[Fixed Return BOY Balance ($)]]+BrokerageStocks45[[#This Row],[Contributions ($)]]+BrokerageStocks45[[#This Row],[Fixed Average Return ($)]]</f>
        <v>13954396.333383644</v>
      </c>
    </row>
    <row r="78" spans="11:40" x14ac:dyDescent="0.25">
      <c r="K78">
        <v>56</v>
      </c>
      <c r="L78">
        <f t="shared" si="8"/>
        <v>2078</v>
      </c>
      <c r="M78" s="198">
        <f>IF(Table53[[#This Row],[Calendar Year]]&gt;=$C$8,Table53[[#This Row],[Calendar Year]],NA())</f>
        <v>2078</v>
      </c>
      <c r="N78" s="198" t="e">
        <f>IF((Table53[[#This Row],[Calendar Year]]&gt;=$C$8)*(Table53[[#This Row],[Calendar Year]]&lt;=$C$10),Table53[[#This Row],[Calendar Year]],NA())</f>
        <v>#N/A</v>
      </c>
      <c r="O78" s="214" t="e">
        <f>IF((Table53[[#This Row],[Year (Range)]]&gt;=$C$8)*(Table53[[#This Row],[Year (Range)]]&lt;=$C$10),BrokerageStocks4546[[#This Row],[Buy: Simulated EOY Investment Balance ($)]],NA())</f>
        <v>#N/A</v>
      </c>
      <c r="P78" s="214" t="e">
        <f>IF((Table53[[#This Row],[Year (Range)]]&gt;=$C$8)*(Table53[[#This Row],[Year (Range)]]&lt;=$C$10),BrokerageStocks45[[#This Row],[Rent: Simulated EOY Investment Balance ($)]],NA())</f>
        <v>#N/A</v>
      </c>
      <c r="Q78" s="214" t="e">
        <f>IF((Table53[[#This Row],[Year (Range)]]&gt;=$C$8)*(Table53[[#This Row],[Year (Range)]]&lt;=$C$10),BrokerageStocks4546[[#This Row],[Buy: Fixed Average Return EOY Investment Balance ($)]],NA())</f>
        <v>#N/A</v>
      </c>
      <c r="R78" s="214" t="e">
        <f>IF((Table53[[#This Row],[Year (Range)]]&gt;=$C$8)*(Table53[[#This Row],[Year (Range)]]&lt;=$C$10),BrokerageStocks45[[#This Row],[Rent: Fixed Average Return EOY Investment Balance ($)]],NA())</f>
        <v>#N/A</v>
      </c>
      <c r="S78" s="224">
        <f t="shared" ca="1" si="7"/>
        <v>0.16850563060697105</v>
      </c>
      <c r="T78" s="222">
        <f t="shared" si="2"/>
        <v>0.08</v>
      </c>
      <c r="V78" s="208">
        <f>'Difference in Expenses'!AF74</f>
        <v>244677.32042708294</v>
      </c>
      <c r="W78" s="164">
        <f t="shared" ca="1" si="9"/>
        <v>20411369.82948212</v>
      </c>
      <c r="X78" s="209">
        <f ca="1">BrokerageStocks4546[[#This Row],[Simulation BOY Balance ($)]]+(BrokerageStocks4546[[#This Row],[Contributions ($)]]/2)</f>
        <v>20533708.489695661</v>
      </c>
      <c r="Y78" s="160">
        <f ca="1">BrokerageStocks4546[[#This Row],[Simulation Average Annual Balance ($)]]*Table53[[#This Row],[Simulated Return (%)]]</f>
        <v>3460045.4977558823</v>
      </c>
      <c r="Z78" s="160">
        <f ca="1">BrokerageStocks4546[[#This Row],[Simulation BOY Balance ($)]]+BrokerageStocks4546[[#This Row],[Contributions ($)]]+BrokerageStocks4546[[#This Row],[Simulated Return ($)]]</f>
        <v>24116092.647665083</v>
      </c>
      <c r="AA78" s="160">
        <f t="shared" si="5"/>
        <v>15028234.287717037</v>
      </c>
      <c r="AB78" s="160">
        <f>BrokerageStocks4546[[#This Row],[Fixed Return BOY Balance ($)]]+BrokerageStocks4546[[#This Row],[Contributions ($)]]</f>
        <v>15272911.608144119</v>
      </c>
      <c r="AC78" s="160">
        <f>BrokerageStocks4546[[#This Row],[Fixed Return Average Balance ($)]]*annual_stock_market_return</f>
        <v>1221832.9286515296</v>
      </c>
      <c r="AD78" s="160">
        <f>BrokerageStocks4546[[#This Row],[Fixed Return BOY Balance ($)]]+BrokerageStocks4546[[#This Row],[Contributions ($)]]+BrokerageStocks4546[[#This Row],[Fixed Average Return ($)]]</f>
        <v>16494744.53679565</v>
      </c>
      <c r="AF78" s="208">
        <v>0</v>
      </c>
      <c r="AG78" s="164">
        <f t="shared" ca="1" si="10"/>
        <v>17043824.025394723</v>
      </c>
      <c r="AH78" s="209">
        <f ca="1">BrokerageStocks45[[#This Row],[Simulation BOY Balance ($)]]+(BrokerageStocks45[[#This Row],[Contributions ($)]]/2)</f>
        <v>17043824.025394723</v>
      </c>
      <c r="AI78" s="160">
        <f ca="1">BrokerageStocks45[[#This Row],[Simulation Average Annual Balance ($)]]*Table53[[#This Row],[Simulated Return (%)]]</f>
        <v>2871980.3153533814</v>
      </c>
      <c r="AJ78" s="160">
        <f ca="1">BrokerageStocks45[[#This Row],[Simulation BOY Balance ($)]]+BrokerageStocks45[[#This Row],[Contributions ($)]]+BrokerageStocks45[[#This Row],[Simulated Return ($)]]</f>
        <v>19915804.340748105</v>
      </c>
      <c r="AK78" s="164">
        <f t="shared" si="6"/>
        <v>13954396.333383644</v>
      </c>
      <c r="AL78" s="209">
        <f>BrokerageStocks45[[#This Row],[Fixed Return BOY Balance ($)]]+(BrokerageStocks45[[#This Row],[Contributions ($)]]/2)</f>
        <v>13954396.333383644</v>
      </c>
      <c r="AM78" s="160">
        <f>BrokerageStocks45[[#This Row],[Fixed Return Average Annual Balance]]*annual_stock_market_return</f>
        <v>1116351.7066706915</v>
      </c>
      <c r="AN78" s="160">
        <f>BrokerageStocks45[[#This Row],[Fixed Return BOY Balance ($)]]+BrokerageStocks45[[#This Row],[Contributions ($)]]+BrokerageStocks45[[#This Row],[Fixed Average Return ($)]]</f>
        <v>15070748.040054336</v>
      </c>
    </row>
    <row r="79" spans="11:40" x14ac:dyDescent="0.25">
      <c r="K79">
        <v>57</v>
      </c>
      <c r="L79">
        <f t="shared" si="8"/>
        <v>2079</v>
      </c>
      <c r="M79" s="198">
        <f>IF(Table53[[#This Row],[Calendar Year]]&gt;=$C$8,Table53[[#This Row],[Calendar Year]],NA())</f>
        <v>2079</v>
      </c>
      <c r="N79" s="198" t="e">
        <f>IF((Table53[[#This Row],[Calendar Year]]&gt;=$C$8)*(Table53[[#This Row],[Calendar Year]]&lt;=$C$10),Table53[[#This Row],[Calendar Year]],NA())</f>
        <v>#N/A</v>
      </c>
      <c r="O79" s="214" t="e">
        <f>IF((Table53[[#This Row],[Year (Range)]]&gt;=$C$8)*(Table53[[#This Row],[Year (Range)]]&lt;=$C$10),BrokerageStocks4546[[#This Row],[Buy: Simulated EOY Investment Balance ($)]],NA())</f>
        <v>#N/A</v>
      </c>
      <c r="P79" s="214" t="e">
        <f>IF((Table53[[#This Row],[Year (Range)]]&gt;=$C$8)*(Table53[[#This Row],[Year (Range)]]&lt;=$C$10),BrokerageStocks45[[#This Row],[Rent: Simulated EOY Investment Balance ($)]],NA())</f>
        <v>#N/A</v>
      </c>
      <c r="Q79" s="214" t="e">
        <f>IF((Table53[[#This Row],[Year (Range)]]&gt;=$C$8)*(Table53[[#This Row],[Year (Range)]]&lt;=$C$10),BrokerageStocks4546[[#This Row],[Buy: Fixed Average Return EOY Investment Balance ($)]],NA())</f>
        <v>#N/A</v>
      </c>
      <c r="R79" s="214" t="e">
        <f>IF((Table53[[#This Row],[Year (Range)]]&gt;=$C$8)*(Table53[[#This Row],[Year (Range)]]&lt;=$C$10),BrokerageStocks45[[#This Row],[Rent: Fixed Average Return EOY Investment Balance ($)]],NA())</f>
        <v>#N/A</v>
      </c>
      <c r="S79" s="224">
        <f t="shared" ca="1" si="7"/>
        <v>-3.474501210645603E-3</v>
      </c>
      <c r="T79" s="222">
        <f t="shared" si="2"/>
        <v>0.08</v>
      </c>
      <c r="V79" s="208">
        <f>'Difference in Expenses'!AF75</f>
        <v>255254.83981462632</v>
      </c>
      <c r="W79" s="164">
        <f t="shared" ca="1" si="9"/>
        <v>24116092.647665083</v>
      </c>
      <c r="X79" s="209">
        <f ca="1">BrokerageStocks4546[[#This Row],[Simulation BOY Balance ($)]]+(BrokerageStocks4546[[#This Row],[Contributions ($)]]/2)</f>
        <v>24243720.067572396</v>
      </c>
      <c r="Y79" s="160">
        <f ca="1">BrokerageStocks4546[[#This Row],[Simulation Average Annual Balance ($)]]*Table53[[#This Row],[Simulated Return (%)]]</f>
        <v>-84234.834725333392</v>
      </c>
      <c r="Z79" s="160">
        <f ca="1">BrokerageStocks4546[[#This Row],[Simulation BOY Balance ($)]]+BrokerageStocks4546[[#This Row],[Contributions ($)]]+BrokerageStocks4546[[#This Row],[Simulated Return ($)]]</f>
        <v>24287112.652754374</v>
      </c>
      <c r="AA79" s="160">
        <f t="shared" si="5"/>
        <v>16494744.53679565</v>
      </c>
      <c r="AB79" s="160">
        <f>BrokerageStocks4546[[#This Row],[Fixed Return BOY Balance ($)]]+BrokerageStocks4546[[#This Row],[Contributions ($)]]</f>
        <v>16749999.376610275</v>
      </c>
      <c r="AC79" s="160">
        <f>BrokerageStocks4546[[#This Row],[Fixed Return Average Balance ($)]]*annual_stock_market_return</f>
        <v>1339999.9501288221</v>
      </c>
      <c r="AD79" s="160">
        <f>BrokerageStocks4546[[#This Row],[Fixed Return BOY Balance ($)]]+BrokerageStocks4546[[#This Row],[Contributions ($)]]+BrokerageStocks4546[[#This Row],[Fixed Average Return ($)]]</f>
        <v>18089999.326739099</v>
      </c>
      <c r="AF79" s="208">
        <v>0</v>
      </c>
      <c r="AG79" s="164">
        <f t="shared" ca="1" si="10"/>
        <v>19915804.340748105</v>
      </c>
      <c r="AH79" s="209">
        <f ca="1">BrokerageStocks45[[#This Row],[Simulation BOY Balance ($)]]+(BrokerageStocks45[[#This Row],[Contributions ($)]]/2)</f>
        <v>19915804.340748105</v>
      </c>
      <c r="AI79" s="160">
        <f ca="1">BrokerageStocks45[[#This Row],[Simulation Average Annual Balance ($)]]*Table53[[#This Row],[Simulated Return (%)]]</f>
        <v>-69197.486292910253</v>
      </c>
      <c r="AJ79" s="160">
        <f ca="1">BrokerageStocks45[[#This Row],[Simulation BOY Balance ($)]]+BrokerageStocks45[[#This Row],[Contributions ($)]]+BrokerageStocks45[[#This Row],[Simulated Return ($)]]</f>
        <v>19846606.854455195</v>
      </c>
      <c r="AK79" s="164">
        <f t="shared" si="6"/>
        <v>15070748.040054336</v>
      </c>
      <c r="AL79" s="209">
        <f>BrokerageStocks45[[#This Row],[Fixed Return BOY Balance ($)]]+(BrokerageStocks45[[#This Row],[Contributions ($)]]/2)</f>
        <v>15070748.040054336</v>
      </c>
      <c r="AM79" s="160">
        <f>BrokerageStocks45[[#This Row],[Fixed Return Average Annual Balance]]*annual_stock_market_return</f>
        <v>1205659.843204347</v>
      </c>
      <c r="AN79" s="160">
        <f>BrokerageStocks45[[#This Row],[Fixed Return BOY Balance ($)]]+BrokerageStocks45[[#This Row],[Contributions ($)]]+BrokerageStocks45[[#This Row],[Fixed Average Return ($)]]</f>
        <v>16276407.883258684</v>
      </c>
    </row>
    <row r="80" spans="11:40" x14ac:dyDescent="0.25">
      <c r="K80">
        <v>58</v>
      </c>
      <c r="L80">
        <f t="shared" si="8"/>
        <v>2080</v>
      </c>
      <c r="M80" s="198">
        <f>IF(Table53[[#This Row],[Calendar Year]]&gt;=$C$8,Table53[[#This Row],[Calendar Year]],NA())</f>
        <v>2080</v>
      </c>
      <c r="N80" s="198" t="e">
        <f>IF((Table53[[#This Row],[Calendar Year]]&gt;=$C$8)*(Table53[[#This Row],[Calendar Year]]&lt;=$C$10),Table53[[#This Row],[Calendar Year]],NA())</f>
        <v>#N/A</v>
      </c>
      <c r="O80" s="214" t="e">
        <f>IF((Table53[[#This Row],[Year (Range)]]&gt;=$C$8)*(Table53[[#This Row],[Year (Range)]]&lt;=$C$10),BrokerageStocks4546[[#This Row],[Buy: Simulated EOY Investment Balance ($)]],NA())</f>
        <v>#N/A</v>
      </c>
      <c r="P80" s="214" t="e">
        <f>IF((Table53[[#This Row],[Year (Range)]]&gt;=$C$8)*(Table53[[#This Row],[Year (Range)]]&lt;=$C$10),BrokerageStocks45[[#This Row],[Rent: Simulated EOY Investment Balance ($)]],NA())</f>
        <v>#N/A</v>
      </c>
      <c r="Q80" s="214" t="e">
        <f>IF((Table53[[#This Row],[Year (Range)]]&gt;=$C$8)*(Table53[[#This Row],[Year (Range)]]&lt;=$C$10),BrokerageStocks4546[[#This Row],[Buy: Fixed Average Return EOY Investment Balance ($)]],NA())</f>
        <v>#N/A</v>
      </c>
      <c r="R80" s="214" t="e">
        <f>IF((Table53[[#This Row],[Year (Range)]]&gt;=$C$8)*(Table53[[#This Row],[Year (Range)]]&lt;=$C$10),BrokerageStocks45[[#This Row],[Rent: Fixed Average Return EOY Investment Balance ($)]],NA())</f>
        <v>#N/A</v>
      </c>
      <c r="S80" s="224">
        <f t="shared" ca="1" si="7"/>
        <v>-6.008789886152037E-2</v>
      </c>
      <c r="T80" s="222">
        <f t="shared" si="2"/>
        <v>0.08</v>
      </c>
      <c r="V80" s="208">
        <f>'Difference in Expenses'!AF76</f>
        <v>266279.17277478531</v>
      </c>
      <c r="W80" s="164">
        <f t="shared" ca="1" si="9"/>
        <v>24287112.652754374</v>
      </c>
      <c r="X80" s="209">
        <f ca="1">BrokerageStocks4546[[#This Row],[Simulation BOY Balance ($)]]+(BrokerageStocks4546[[#This Row],[Contributions ($)]]/2)</f>
        <v>24420252.239141766</v>
      </c>
      <c r="Y80" s="160">
        <f ca="1">BrokerageStocks4546[[#This Row],[Simulation Average Annual Balance ($)]]*Table53[[#This Row],[Simulated Return (%)]]</f>
        <v>-1467361.6467183668</v>
      </c>
      <c r="Z80" s="160">
        <f ca="1">BrokerageStocks4546[[#This Row],[Simulation BOY Balance ($)]]+BrokerageStocks4546[[#This Row],[Contributions ($)]]+BrokerageStocks4546[[#This Row],[Simulated Return ($)]]</f>
        <v>23086030.17881079</v>
      </c>
      <c r="AA80" s="160">
        <f t="shared" si="5"/>
        <v>18089999.326739099</v>
      </c>
      <c r="AB80" s="160">
        <f>BrokerageStocks4546[[#This Row],[Fixed Return BOY Balance ($)]]+BrokerageStocks4546[[#This Row],[Contributions ($)]]</f>
        <v>18356278.499513883</v>
      </c>
      <c r="AC80" s="160">
        <f>BrokerageStocks4546[[#This Row],[Fixed Return Average Balance ($)]]*annual_stock_market_return</f>
        <v>1468502.2799611108</v>
      </c>
      <c r="AD80" s="160">
        <f>BrokerageStocks4546[[#This Row],[Fixed Return BOY Balance ($)]]+BrokerageStocks4546[[#This Row],[Contributions ($)]]+BrokerageStocks4546[[#This Row],[Fixed Average Return ($)]]</f>
        <v>19824780.779474992</v>
      </c>
      <c r="AF80" s="208">
        <v>0</v>
      </c>
      <c r="AG80" s="164">
        <f t="shared" ca="1" si="10"/>
        <v>19846606.854455195</v>
      </c>
      <c r="AH80" s="209">
        <f ca="1">BrokerageStocks45[[#This Row],[Simulation BOY Balance ($)]]+(BrokerageStocks45[[#This Row],[Contributions ($)]]/2)</f>
        <v>19846606.854455195</v>
      </c>
      <c r="AI80" s="160">
        <f ca="1">BrokerageStocks45[[#This Row],[Simulation Average Annual Balance ($)]]*Table53[[#This Row],[Simulated Return (%)]]</f>
        <v>-1192540.9054148607</v>
      </c>
      <c r="AJ80" s="160">
        <f ca="1">BrokerageStocks45[[#This Row],[Simulation BOY Balance ($)]]+BrokerageStocks45[[#This Row],[Contributions ($)]]+BrokerageStocks45[[#This Row],[Simulated Return ($)]]</f>
        <v>18654065.949040335</v>
      </c>
      <c r="AK80" s="164">
        <f t="shared" si="6"/>
        <v>16276407.883258684</v>
      </c>
      <c r="AL80" s="209">
        <f>BrokerageStocks45[[#This Row],[Fixed Return BOY Balance ($)]]+(BrokerageStocks45[[#This Row],[Contributions ($)]]/2)</f>
        <v>16276407.883258684</v>
      </c>
      <c r="AM80" s="160">
        <f>BrokerageStocks45[[#This Row],[Fixed Return Average Annual Balance]]*annual_stock_market_return</f>
        <v>1302112.6306606948</v>
      </c>
      <c r="AN80" s="160">
        <f>BrokerageStocks45[[#This Row],[Fixed Return BOY Balance ($)]]+BrokerageStocks45[[#This Row],[Contributions ($)]]+BrokerageStocks45[[#This Row],[Fixed Average Return ($)]]</f>
        <v>17578520.51391938</v>
      </c>
    </row>
    <row r="81" spans="11:40" x14ac:dyDescent="0.25">
      <c r="K81">
        <v>59</v>
      </c>
      <c r="L81">
        <f t="shared" si="8"/>
        <v>2081</v>
      </c>
      <c r="M81" s="198">
        <f>IF(Table53[[#This Row],[Calendar Year]]&gt;=$C$8,Table53[[#This Row],[Calendar Year]],NA())</f>
        <v>2081</v>
      </c>
      <c r="N81" s="198" t="e">
        <f>IF((Table53[[#This Row],[Calendar Year]]&gt;=$C$8)*(Table53[[#This Row],[Calendar Year]]&lt;=$C$10),Table53[[#This Row],[Calendar Year]],NA())</f>
        <v>#N/A</v>
      </c>
      <c r="O81" s="214" t="e">
        <f>IF((Table53[[#This Row],[Year (Range)]]&gt;=$C$8)*(Table53[[#This Row],[Year (Range)]]&lt;=$C$10),BrokerageStocks4546[[#This Row],[Buy: Simulated EOY Investment Balance ($)]],NA())</f>
        <v>#N/A</v>
      </c>
      <c r="P81" s="214" t="e">
        <f>IF((Table53[[#This Row],[Year (Range)]]&gt;=$C$8)*(Table53[[#This Row],[Year (Range)]]&lt;=$C$10),BrokerageStocks45[[#This Row],[Rent: Simulated EOY Investment Balance ($)]],NA())</f>
        <v>#N/A</v>
      </c>
      <c r="Q81" s="214" t="e">
        <f>IF((Table53[[#This Row],[Year (Range)]]&gt;=$C$8)*(Table53[[#This Row],[Year (Range)]]&lt;=$C$10),BrokerageStocks4546[[#This Row],[Buy: Fixed Average Return EOY Investment Balance ($)]],NA())</f>
        <v>#N/A</v>
      </c>
      <c r="R81" s="214" t="e">
        <f>IF((Table53[[#This Row],[Year (Range)]]&gt;=$C$8)*(Table53[[#This Row],[Year (Range)]]&lt;=$C$10),BrokerageStocks45[[#This Row],[Rent: Fixed Average Return EOY Investment Balance ($)]],NA())</f>
        <v>#N/A</v>
      </c>
      <c r="S81" s="224">
        <f t="shared" ca="1" si="7"/>
        <v>1.2015046421796391E-2</v>
      </c>
      <c r="T81" s="222">
        <f t="shared" si="2"/>
        <v>0.08</v>
      </c>
      <c r="V81" s="208">
        <f>'Difference in Expenses'!AF77</f>
        <v>277768.90323437779</v>
      </c>
      <c r="W81" s="164">
        <f t="shared" ca="1" si="9"/>
        <v>23086030.17881079</v>
      </c>
      <c r="X81" s="209">
        <f ca="1">BrokerageStocks4546[[#This Row],[Simulation BOY Balance ($)]]+(BrokerageStocks4546[[#This Row],[Contributions ($)]]/2)</f>
        <v>23224914.630427979</v>
      </c>
      <c r="Y81" s="160">
        <f ca="1">BrokerageStocks4546[[#This Row],[Simulation Average Annual Balance ($)]]*Table53[[#This Row],[Simulated Return (%)]]</f>
        <v>279048.42742685037</v>
      </c>
      <c r="Z81" s="160">
        <f ca="1">BrokerageStocks4546[[#This Row],[Simulation BOY Balance ($)]]+BrokerageStocks4546[[#This Row],[Contributions ($)]]+BrokerageStocks4546[[#This Row],[Simulated Return ($)]]</f>
        <v>23642847.509472016</v>
      </c>
      <c r="AA81" s="160">
        <f t="shared" si="5"/>
        <v>19824780.779474992</v>
      </c>
      <c r="AB81" s="160">
        <f>BrokerageStocks4546[[#This Row],[Fixed Return BOY Balance ($)]]+BrokerageStocks4546[[#This Row],[Contributions ($)]]</f>
        <v>20102549.68270937</v>
      </c>
      <c r="AC81" s="160">
        <f>BrokerageStocks4546[[#This Row],[Fixed Return Average Balance ($)]]*annual_stock_market_return</f>
        <v>1608203.9746167497</v>
      </c>
      <c r="AD81" s="160">
        <f>BrokerageStocks4546[[#This Row],[Fixed Return BOY Balance ($)]]+BrokerageStocks4546[[#This Row],[Contributions ($)]]+BrokerageStocks4546[[#This Row],[Fixed Average Return ($)]]</f>
        <v>21710753.657326121</v>
      </c>
      <c r="AF81" s="208">
        <v>0</v>
      </c>
      <c r="AG81" s="164">
        <f t="shared" ca="1" si="10"/>
        <v>18654065.949040335</v>
      </c>
      <c r="AH81" s="209">
        <f ca="1">BrokerageStocks45[[#This Row],[Simulation BOY Balance ($)]]+(BrokerageStocks45[[#This Row],[Contributions ($)]]/2)</f>
        <v>18654065.949040335</v>
      </c>
      <c r="AI81" s="160">
        <f ca="1">BrokerageStocks45[[#This Row],[Simulation Average Annual Balance ($)]]*Table53[[#This Row],[Simulated Return (%)]]</f>
        <v>224129.46833297098</v>
      </c>
      <c r="AJ81" s="160">
        <f ca="1">BrokerageStocks45[[#This Row],[Simulation BOY Balance ($)]]+BrokerageStocks45[[#This Row],[Contributions ($)]]+BrokerageStocks45[[#This Row],[Simulated Return ($)]]</f>
        <v>18878195.417373307</v>
      </c>
      <c r="AK81" s="164">
        <f t="shared" si="6"/>
        <v>17578520.51391938</v>
      </c>
      <c r="AL81" s="209">
        <f>BrokerageStocks45[[#This Row],[Fixed Return BOY Balance ($)]]+(BrokerageStocks45[[#This Row],[Contributions ($)]]/2)</f>
        <v>17578520.51391938</v>
      </c>
      <c r="AM81" s="160">
        <f>BrokerageStocks45[[#This Row],[Fixed Return Average Annual Balance]]*annual_stock_market_return</f>
        <v>1406281.6411135504</v>
      </c>
      <c r="AN81" s="160">
        <f>BrokerageStocks45[[#This Row],[Fixed Return BOY Balance ($)]]+BrokerageStocks45[[#This Row],[Contributions ($)]]+BrokerageStocks45[[#This Row],[Fixed Average Return ($)]]</f>
        <v>18984802.155032929</v>
      </c>
    </row>
    <row r="82" spans="11:40" x14ac:dyDescent="0.25">
      <c r="K82">
        <v>60</v>
      </c>
      <c r="L82">
        <f t="shared" si="8"/>
        <v>2082</v>
      </c>
      <c r="M82" s="198">
        <f>IF(Table53[[#This Row],[Calendar Year]]&gt;=$C$8,Table53[[#This Row],[Calendar Year]],NA())</f>
        <v>2082</v>
      </c>
      <c r="N82" s="198" t="e">
        <f>IF((Table53[[#This Row],[Calendar Year]]&gt;=$C$8)*(Table53[[#This Row],[Calendar Year]]&lt;=$C$10),Table53[[#This Row],[Calendar Year]],NA())</f>
        <v>#N/A</v>
      </c>
      <c r="O82" s="214" t="e">
        <f>IF((Table53[[#This Row],[Year (Range)]]&gt;=$C$8)*(Table53[[#This Row],[Year (Range)]]&lt;=$C$10),BrokerageStocks4546[[#This Row],[Buy: Simulated EOY Investment Balance ($)]],NA())</f>
        <v>#N/A</v>
      </c>
      <c r="P82" s="214" t="e">
        <f>IF((Table53[[#This Row],[Year (Range)]]&gt;=$C$8)*(Table53[[#This Row],[Year (Range)]]&lt;=$C$10),BrokerageStocks45[[#This Row],[Rent: Simulated EOY Investment Balance ($)]],NA())</f>
        <v>#N/A</v>
      </c>
      <c r="Q82" s="214" t="e">
        <f>IF((Table53[[#This Row],[Year (Range)]]&gt;=$C$8)*(Table53[[#This Row],[Year (Range)]]&lt;=$C$10),BrokerageStocks4546[[#This Row],[Buy: Fixed Average Return EOY Investment Balance ($)]],NA())</f>
        <v>#N/A</v>
      </c>
      <c r="R82" s="214" t="e">
        <f>IF((Table53[[#This Row],[Year (Range)]]&gt;=$C$8)*(Table53[[#This Row],[Year (Range)]]&lt;=$C$10),BrokerageStocks45[[#This Row],[Rent: Fixed Average Return EOY Investment Balance ($)]],NA())</f>
        <v>#N/A</v>
      </c>
      <c r="S82" s="224">
        <f t="shared" ca="1" si="7"/>
        <v>-1.9924516720394511E-2</v>
      </c>
      <c r="T82" s="222">
        <f t="shared" si="2"/>
        <v>0.08</v>
      </c>
      <c r="V82" s="208">
        <f>'Difference in Expenses'!AF78</f>
        <v>289743.37981881201</v>
      </c>
      <c r="W82" s="164">
        <f t="shared" ca="1" si="9"/>
        <v>23642847.509472016</v>
      </c>
      <c r="X82" s="209">
        <f ca="1">BrokerageStocks4546[[#This Row],[Simulation BOY Balance ($)]]+(BrokerageStocks4546[[#This Row],[Contributions ($)]]/2)</f>
        <v>23787719.199381422</v>
      </c>
      <c r="Y82" s="160">
        <f ca="1">BrokerageStocks4546[[#This Row],[Simulation Average Annual Balance ($)]]*Table53[[#This Row],[Simulated Return (%)]]</f>
        <v>-473958.80892812466</v>
      </c>
      <c r="Z82" s="160">
        <f ca="1">BrokerageStocks4546[[#This Row],[Simulation BOY Balance ($)]]+BrokerageStocks4546[[#This Row],[Contributions ($)]]+BrokerageStocks4546[[#This Row],[Simulated Return ($)]]</f>
        <v>23458632.080362704</v>
      </c>
      <c r="AA82" s="160">
        <f t="shared" si="5"/>
        <v>21710753.657326121</v>
      </c>
      <c r="AB82" s="160">
        <f>BrokerageStocks4546[[#This Row],[Fixed Return BOY Balance ($)]]+BrokerageStocks4546[[#This Row],[Contributions ($)]]</f>
        <v>22000497.037144933</v>
      </c>
      <c r="AC82" s="160">
        <f>BrokerageStocks4546[[#This Row],[Fixed Return Average Balance ($)]]*annual_stock_market_return</f>
        <v>1760039.7629715947</v>
      </c>
      <c r="AD82" s="160">
        <f>BrokerageStocks4546[[#This Row],[Fixed Return BOY Balance ($)]]+BrokerageStocks4546[[#This Row],[Contributions ($)]]+BrokerageStocks4546[[#This Row],[Fixed Average Return ($)]]</f>
        <v>23760536.800116528</v>
      </c>
      <c r="AF82" s="208">
        <v>0</v>
      </c>
      <c r="AG82" s="164">
        <f t="shared" ca="1" si="10"/>
        <v>18878195.417373307</v>
      </c>
      <c r="AH82" s="209">
        <f ca="1">BrokerageStocks45[[#This Row],[Simulation BOY Balance ($)]]+(BrokerageStocks45[[#This Row],[Contributions ($)]]/2)</f>
        <v>18878195.417373307</v>
      </c>
      <c r="AI82" s="160">
        <f ca="1">BrokerageStocks45[[#This Row],[Simulation Average Annual Balance ($)]]*Table53[[#This Row],[Simulated Return (%)]]</f>
        <v>-376138.92024432949</v>
      </c>
      <c r="AJ82" s="160">
        <f ca="1">BrokerageStocks45[[#This Row],[Simulation BOY Balance ($)]]+BrokerageStocks45[[#This Row],[Contributions ($)]]+BrokerageStocks45[[#This Row],[Simulated Return ($)]]</f>
        <v>18502056.497128978</v>
      </c>
      <c r="AK82" s="164">
        <f t="shared" si="6"/>
        <v>18984802.155032929</v>
      </c>
      <c r="AL82" s="209">
        <f>BrokerageStocks45[[#This Row],[Fixed Return BOY Balance ($)]]+(BrokerageStocks45[[#This Row],[Contributions ($)]]/2)</f>
        <v>18984802.155032929</v>
      </c>
      <c r="AM82" s="160">
        <f>BrokerageStocks45[[#This Row],[Fixed Return Average Annual Balance]]*annual_stock_market_return</f>
        <v>1518784.1724026343</v>
      </c>
      <c r="AN82" s="160">
        <f>BrokerageStocks45[[#This Row],[Fixed Return BOY Balance ($)]]+BrokerageStocks45[[#This Row],[Contributions ($)]]+BrokerageStocks45[[#This Row],[Fixed Average Return ($)]]</f>
        <v>20503586.327435564</v>
      </c>
    </row>
    <row r="83" spans="11:40" x14ac:dyDescent="0.25">
      <c r="K83">
        <v>61</v>
      </c>
      <c r="L83">
        <f t="shared" si="8"/>
        <v>2083</v>
      </c>
      <c r="M83" s="198">
        <f>IF(Table53[[#This Row],[Calendar Year]]&gt;=$C$8,Table53[[#This Row],[Calendar Year]],NA())</f>
        <v>2083</v>
      </c>
      <c r="N83" s="198" t="e">
        <f>IF((Table53[[#This Row],[Calendar Year]]&gt;=$C$8)*(Table53[[#This Row],[Calendar Year]]&lt;=$C$10),Table53[[#This Row],[Calendar Year]],NA())</f>
        <v>#N/A</v>
      </c>
      <c r="O83" s="214" t="e">
        <f>IF((Table53[[#This Row],[Year (Range)]]&gt;=$C$8)*(Table53[[#This Row],[Year (Range)]]&lt;=$C$10),BrokerageStocks4546[[#This Row],[Buy: Simulated EOY Investment Balance ($)]],NA())</f>
        <v>#N/A</v>
      </c>
      <c r="P83" s="214" t="e">
        <f>IF((Table53[[#This Row],[Year (Range)]]&gt;=$C$8)*(Table53[[#This Row],[Year (Range)]]&lt;=$C$10),BrokerageStocks45[[#This Row],[Rent: Simulated EOY Investment Balance ($)]],NA())</f>
        <v>#N/A</v>
      </c>
      <c r="Q83" s="214" t="e">
        <f>IF((Table53[[#This Row],[Year (Range)]]&gt;=$C$8)*(Table53[[#This Row],[Year (Range)]]&lt;=$C$10),BrokerageStocks4546[[#This Row],[Buy: Fixed Average Return EOY Investment Balance ($)]],NA())</f>
        <v>#N/A</v>
      </c>
      <c r="R83" s="214" t="e">
        <f>IF((Table53[[#This Row],[Year (Range)]]&gt;=$C$8)*(Table53[[#This Row],[Year (Range)]]&lt;=$C$10),BrokerageStocks45[[#This Row],[Rent: Fixed Average Return EOY Investment Balance ($)]],NA())</f>
        <v>#N/A</v>
      </c>
      <c r="S83" s="224">
        <f t="shared" ca="1" si="7"/>
        <v>7.053839063069875E-2</v>
      </c>
      <c r="T83" s="222">
        <f t="shared" si="2"/>
        <v>0.08</v>
      </c>
      <c r="V83" s="208">
        <f>'Difference in Expenses'!AF79</f>
        <v>302222.74708027544</v>
      </c>
      <c r="W83" s="164">
        <f t="shared" ca="1" si="9"/>
        <v>23458632.080362704</v>
      </c>
      <c r="X83" s="209">
        <f ca="1">BrokerageStocks4546[[#This Row],[Simulation BOY Balance ($)]]+(BrokerageStocks4546[[#This Row],[Contributions ($)]]/2)</f>
        <v>23609743.453902841</v>
      </c>
      <c r="Y83" s="160">
        <f ca="1">BrokerageStocks4546[[#This Row],[Simulation Average Annual Balance ($)]]*Table53[[#This Row],[Simulated Return (%)]]</f>
        <v>1665393.3064419813</v>
      </c>
      <c r="Z83" s="160">
        <f ca="1">BrokerageStocks4546[[#This Row],[Simulation BOY Balance ($)]]+BrokerageStocks4546[[#This Row],[Contributions ($)]]+BrokerageStocks4546[[#This Row],[Simulated Return ($)]]</f>
        <v>25426248.133884959</v>
      </c>
      <c r="AA83" s="160">
        <f t="shared" si="5"/>
        <v>23760536.800116528</v>
      </c>
      <c r="AB83" s="160">
        <f>BrokerageStocks4546[[#This Row],[Fixed Return BOY Balance ($)]]+BrokerageStocks4546[[#This Row],[Contributions ($)]]</f>
        <v>24062759.547196802</v>
      </c>
      <c r="AC83" s="160">
        <f>BrokerageStocks4546[[#This Row],[Fixed Return Average Balance ($)]]*annual_stock_market_return</f>
        <v>1925020.7637757442</v>
      </c>
      <c r="AD83" s="160">
        <f>BrokerageStocks4546[[#This Row],[Fixed Return BOY Balance ($)]]+BrokerageStocks4546[[#This Row],[Contributions ($)]]+BrokerageStocks4546[[#This Row],[Fixed Average Return ($)]]</f>
        <v>25987780.310972545</v>
      </c>
      <c r="AF83" s="208">
        <v>0</v>
      </c>
      <c r="AG83" s="164">
        <f t="shared" ca="1" si="10"/>
        <v>18502056.497128978</v>
      </c>
      <c r="AH83" s="209">
        <f ca="1">BrokerageStocks45[[#This Row],[Simulation BOY Balance ($)]]+(BrokerageStocks45[[#This Row],[Contributions ($)]]/2)</f>
        <v>18502056.497128978</v>
      </c>
      <c r="AI83" s="160">
        <f ca="1">BrokerageStocks45[[#This Row],[Simulation Average Annual Balance ($)]]*Table53[[#This Row],[Simulated Return (%)]]</f>
        <v>1305105.2886657417</v>
      </c>
      <c r="AJ83" s="160">
        <f ca="1">BrokerageStocks45[[#This Row],[Simulation BOY Balance ($)]]+BrokerageStocks45[[#This Row],[Contributions ($)]]+BrokerageStocks45[[#This Row],[Simulated Return ($)]]</f>
        <v>19807161.78579472</v>
      </c>
      <c r="AK83" s="164">
        <f t="shared" si="6"/>
        <v>20503586.327435564</v>
      </c>
      <c r="AL83" s="209">
        <f>BrokerageStocks45[[#This Row],[Fixed Return BOY Balance ($)]]+(BrokerageStocks45[[#This Row],[Contributions ($)]]/2)</f>
        <v>20503586.327435564</v>
      </c>
      <c r="AM83" s="160">
        <f>BrokerageStocks45[[#This Row],[Fixed Return Average Annual Balance]]*annual_stock_market_return</f>
        <v>1640286.9061948452</v>
      </c>
      <c r="AN83" s="160">
        <f>BrokerageStocks45[[#This Row],[Fixed Return BOY Balance ($)]]+BrokerageStocks45[[#This Row],[Contributions ($)]]+BrokerageStocks45[[#This Row],[Fixed Average Return ($)]]</f>
        <v>22143873.233630411</v>
      </c>
    </row>
    <row r="84" spans="11:40" x14ac:dyDescent="0.25">
      <c r="K84">
        <v>62</v>
      </c>
      <c r="L84">
        <f t="shared" si="8"/>
        <v>2084</v>
      </c>
      <c r="M84" s="198">
        <f>IF(Table53[[#This Row],[Calendar Year]]&gt;=$C$8,Table53[[#This Row],[Calendar Year]],NA())</f>
        <v>2084</v>
      </c>
      <c r="N84" s="198" t="e">
        <f>IF((Table53[[#This Row],[Calendar Year]]&gt;=$C$8)*(Table53[[#This Row],[Calendar Year]]&lt;=$C$10),Table53[[#This Row],[Calendar Year]],NA())</f>
        <v>#N/A</v>
      </c>
      <c r="O84" s="214" t="e">
        <f>IF((Table53[[#This Row],[Year (Range)]]&gt;=$C$8)*(Table53[[#This Row],[Year (Range)]]&lt;=$C$10),BrokerageStocks4546[[#This Row],[Buy: Simulated EOY Investment Balance ($)]],NA())</f>
        <v>#N/A</v>
      </c>
      <c r="P84" s="214" t="e">
        <f>IF((Table53[[#This Row],[Year (Range)]]&gt;=$C$8)*(Table53[[#This Row],[Year (Range)]]&lt;=$C$10),BrokerageStocks45[[#This Row],[Rent: Simulated EOY Investment Balance ($)]],NA())</f>
        <v>#N/A</v>
      </c>
      <c r="Q84" s="214" t="e">
        <f>IF((Table53[[#This Row],[Year (Range)]]&gt;=$C$8)*(Table53[[#This Row],[Year (Range)]]&lt;=$C$10),BrokerageStocks4546[[#This Row],[Buy: Fixed Average Return EOY Investment Balance ($)]],NA())</f>
        <v>#N/A</v>
      </c>
      <c r="R84" s="214" t="e">
        <f>IF((Table53[[#This Row],[Year (Range)]]&gt;=$C$8)*(Table53[[#This Row],[Year (Range)]]&lt;=$C$10),BrokerageStocks45[[#This Row],[Rent: Fixed Average Return EOY Investment Balance ($)]],NA())</f>
        <v>#N/A</v>
      </c>
      <c r="S84" s="224">
        <f t="shared" ca="1" si="7"/>
        <v>0.10039337611558923</v>
      </c>
      <c r="T84" s="222">
        <f t="shared" si="2"/>
        <v>0.08</v>
      </c>
      <c r="V84" s="208">
        <f>'Difference in Expenses'!AF80</f>
        <v>315227.97799425875</v>
      </c>
      <c r="W84" s="164">
        <f t="shared" ca="1" si="9"/>
        <v>25426248.133884959</v>
      </c>
      <c r="X84" s="209">
        <f ca="1">BrokerageStocks4546[[#This Row],[Simulation BOY Balance ($)]]+(BrokerageStocks4546[[#This Row],[Contributions ($)]]/2)</f>
        <v>25583862.122882087</v>
      </c>
      <c r="Y84" s="160">
        <f ca="1">BrokerageStocks4546[[#This Row],[Simulation Average Annual Balance ($)]]*Table53[[#This Row],[Simulated Return (%)]]</f>
        <v>2568450.2925918782</v>
      </c>
      <c r="Z84" s="160">
        <f ca="1">BrokerageStocks4546[[#This Row],[Simulation BOY Balance ($)]]+BrokerageStocks4546[[#This Row],[Contributions ($)]]+BrokerageStocks4546[[#This Row],[Simulated Return ($)]]</f>
        <v>28309926.404471096</v>
      </c>
      <c r="AA84" s="160">
        <f t="shared" si="5"/>
        <v>25987780.310972545</v>
      </c>
      <c r="AB84" s="160">
        <f>BrokerageStocks4546[[#This Row],[Fixed Return BOY Balance ($)]]+BrokerageStocks4546[[#This Row],[Contributions ($)]]</f>
        <v>26303008.288966805</v>
      </c>
      <c r="AC84" s="160">
        <f>BrokerageStocks4546[[#This Row],[Fixed Return Average Balance ($)]]*annual_stock_market_return</f>
        <v>2104240.6631173445</v>
      </c>
      <c r="AD84" s="160">
        <f>BrokerageStocks4546[[#This Row],[Fixed Return BOY Balance ($)]]+BrokerageStocks4546[[#This Row],[Contributions ($)]]+BrokerageStocks4546[[#This Row],[Fixed Average Return ($)]]</f>
        <v>28407248.95208415</v>
      </c>
      <c r="AF84" s="208">
        <v>0</v>
      </c>
      <c r="AG84" s="164">
        <f t="shared" ca="1" si="10"/>
        <v>19807161.78579472</v>
      </c>
      <c r="AH84" s="209">
        <f ca="1">BrokerageStocks45[[#This Row],[Simulation BOY Balance ($)]]+(BrokerageStocks45[[#This Row],[Contributions ($)]]/2)</f>
        <v>19807161.78579472</v>
      </c>
      <c r="AI84" s="160">
        <f ca="1">BrokerageStocks45[[#This Row],[Simulation Average Annual Balance ($)]]*Table53[[#This Row],[Simulated Return (%)]]</f>
        <v>1988507.8429436153</v>
      </c>
      <c r="AJ84" s="160">
        <f ca="1">BrokerageStocks45[[#This Row],[Simulation BOY Balance ($)]]+BrokerageStocks45[[#This Row],[Contributions ($)]]+BrokerageStocks45[[#This Row],[Simulated Return ($)]]</f>
        <v>21795669.628738336</v>
      </c>
      <c r="AK84" s="164">
        <f t="shared" si="6"/>
        <v>22143873.233630411</v>
      </c>
      <c r="AL84" s="209">
        <f>BrokerageStocks45[[#This Row],[Fixed Return BOY Balance ($)]]+(BrokerageStocks45[[#This Row],[Contributions ($)]]/2)</f>
        <v>22143873.233630411</v>
      </c>
      <c r="AM84" s="160">
        <f>BrokerageStocks45[[#This Row],[Fixed Return Average Annual Balance]]*annual_stock_market_return</f>
        <v>1771509.858690433</v>
      </c>
      <c r="AN84" s="160">
        <f>BrokerageStocks45[[#This Row],[Fixed Return BOY Balance ($)]]+BrokerageStocks45[[#This Row],[Contributions ($)]]+BrokerageStocks45[[#This Row],[Fixed Average Return ($)]]</f>
        <v>23915383.092320845</v>
      </c>
    </row>
    <row r="85" spans="11:40" x14ac:dyDescent="0.25">
      <c r="K85">
        <v>63</v>
      </c>
      <c r="L85">
        <f t="shared" si="8"/>
        <v>2085</v>
      </c>
      <c r="M85" s="198">
        <f>IF(Table53[[#This Row],[Calendar Year]]&gt;=$C$8,Table53[[#This Row],[Calendar Year]],NA())</f>
        <v>2085</v>
      </c>
      <c r="N85" s="198" t="e">
        <f>IF((Table53[[#This Row],[Calendar Year]]&gt;=$C$8)*(Table53[[#This Row],[Calendar Year]]&lt;=$C$10),Table53[[#This Row],[Calendar Year]],NA())</f>
        <v>#N/A</v>
      </c>
      <c r="O85" s="214" t="e">
        <f>IF((Table53[[#This Row],[Year (Range)]]&gt;=$C$8)*(Table53[[#This Row],[Year (Range)]]&lt;=$C$10),BrokerageStocks4546[[#This Row],[Buy: Simulated EOY Investment Balance ($)]],NA())</f>
        <v>#N/A</v>
      </c>
      <c r="P85" s="214" t="e">
        <f>IF((Table53[[#This Row],[Year (Range)]]&gt;=$C$8)*(Table53[[#This Row],[Year (Range)]]&lt;=$C$10),BrokerageStocks45[[#This Row],[Rent: Simulated EOY Investment Balance ($)]],NA())</f>
        <v>#N/A</v>
      </c>
      <c r="Q85" s="214" t="e">
        <f>IF((Table53[[#This Row],[Year (Range)]]&gt;=$C$8)*(Table53[[#This Row],[Year (Range)]]&lt;=$C$10),BrokerageStocks4546[[#This Row],[Buy: Fixed Average Return EOY Investment Balance ($)]],NA())</f>
        <v>#N/A</v>
      </c>
      <c r="R85" s="214" t="e">
        <f>IF((Table53[[#This Row],[Year (Range)]]&gt;=$C$8)*(Table53[[#This Row],[Year (Range)]]&lt;=$C$10),BrokerageStocks45[[#This Row],[Rent: Fixed Average Return EOY Investment Balance ($)]],NA())</f>
        <v>#N/A</v>
      </c>
      <c r="S85" s="224">
        <f t="shared" ca="1" si="7"/>
        <v>-7.4786028723953249E-2</v>
      </c>
      <c r="T85" s="222">
        <f t="shared" si="2"/>
        <v>0.08</v>
      </c>
      <c r="V85" s="208">
        <f>'Difference in Expenses'!AF81</f>
        <v>328780.90777572448</v>
      </c>
      <c r="W85" s="164">
        <f t="shared" ca="1" si="9"/>
        <v>28309926.404471096</v>
      </c>
      <c r="X85" s="209">
        <f ca="1">BrokerageStocks4546[[#This Row],[Simulation BOY Balance ($)]]+(BrokerageStocks4546[[#This Row],[Contributions ($)]]/2)</f>
        <v>28474316.858358957</v>
      </c>
      <c r="Y85" s="160">
        <f ca="1">BrokerageStocks4546[[#This Row],[Simulation Average Annual Balance ($)]]*Table53[[#This Row],[Simulated Return (%)]]</f>
        <v>-2129481.0784641793</v>
      </c>
      <c r="Z85" s="160">
        <f ca="1">BrokerageStocks4546[[#This Row],[Simulation BOY Balance ($)]]+BrokerageStocks4546[[#This Row],[Contributions ($)]]+BrokerageStocks4546[[#This Row],[Simulated Return ($)]]</f>
        <v>26509226.233782642</v>
      </c>
      <c r="AA85" s="160">
        <f t="shared" si="5"/>
        <v>28407248.95208415</v>
      </c>
      <c r="AB85" s="160">
        <f>BrokerageStocks4546[[#This Row],[Fixed Return BOY Balance ($)]]+BrokerageStocks4546[[#This Row],[Contributions ($)]]</f>
        <v>28736029.859859876</v>
      </c>
      <c r="AC85" s="160">
        <f>BrokerageStocks4546[[#This Row],[Fixed Return Average Balance ($)]]*annual_stock_market_return</f>
        <v>2298882.38878879</v>
      </c>
      <c r="AD85" s="160">
        <f>BrokerageStocks4546[[#This Row],[Fixed Return BOY Balance ($)]]+BrokerageStocks4546[[#This Row],[Contributions ($)]]+BrokerageStocks4546[[#This Row],[Fixed Average Return ($)]]</f>
        <v>31034912.248648666</v>
      </c>
      <c r="AF85" s="208">
        <v>0</v>
      </c>
      <c r="AG85" s="164">
        <f t="shared" ca="1" si="10"/>
        <v>21795669.628738336</v>
      </c>
      <c r="AH85" s="209">
        <f ca="1">BrokerageStocks45[[#This Row],[Simulation BOY Balance ($)]]+(BrokerageStocks45[[#This Row],[Contributions ($)]]/2)</f>
        <v>21795669.628738336</v>
      </c>
      <c r="AI85" s="160">
        <f ca="1">BrokerageStocks45[[#This Row],[Simulation Average Annual Balance ($)]]*Table53[[#This Row],[Simulated Return (%)]]</f>
        <v>-1630011.5749126207</v>
      </c>
      <c r="AJ85" s="160">
        <f ca="1">BrokerageStocks45[[#This Row],[Simulation BOY Balance ($)]]+BrokerageStocks45[[#This Row],[Contributions ($)]]+BrokerageStocks45[[#This Row],[Simulated Return ($)]]</f>
        <v>20165658.053825714</v>
      </c>
      <c r="AK85" s="164">
        <f t="shared" si="6"/>
        <v>23915383.092320845</v>
      </c>
      <c r="AL85" s="209">
        <f>BrokerageStocks45[[#This Row],[Fixed Return BOY Balance ($)]]+(BrokerageStocks45[[#This Row],[Contributions ($)]]/2)</f>
        <v>23915383.092320845</v>
      </c>
      <c r="AM85" s="160">
        <f>BrokerageStocks45[[#This Row],[Fixed Return Average Annual Balance]]*annual_stock_market_return</f>
        <v>1913230.6473856675</v>
      </c>
      <c r="AN85" s="160">
        <f>BrokerageStocks45[[#This Row],[Fixed Return BOY Balance ($)]]+BrokerageStocks45[[#This Row],[Contributions ($)]]+BrokerageStocks45[[#This Row],[Fixed Average Return ($)]]</f>
        <v>25828613.739706513</v>
      </c>
    </row>
    <row r="86" spans="11:40" x14ac:dyDescent="0.25">
      <c r="K86">
        <v>64</v>
      </c>
      <c r="L86">
        <f t="shared" si="8"/>
        <v>2086</v>
      </c>
      <c r="M86" s="198">
        <f>IF(Table53[[#This Row],[Calendar Year]]&gt;=$C$8,Table53[[#This Row],[Calendar Year]],NA())</f>
        <v>2086</v>
      </c>
      <c r="N86" s="198" t="e">
        <f>IF((Table53[[#This Row],[Calendar Year]]&gt;=$C$8)*(Table53[[#This Row],[Calendar Year]]&lt;=$C$10),Table53[[#This Row],[Calendar Year]],NA())</f>
        <v>#N/A</v>
      </c>
      <c r="O86" s="214" t="e">
        <f>IF((Table53[[#This Row],[Year (Range)]]&gt;=$C$8)*(Table53[[#This Row],[Year (Range)]]&lt;=$C$10),BrokerageStocks4546[[#This Row],[Buy: Simulated EOY Investment Balance ($)]],NA())</f>
        <v>#N/A</v>
      </c>
      <c r="P86" s="214" t="e">
        <f>IF((Table53[[#This Row],[Year (Range)]]&gt;=$C$8)*(Table53[[#This Row],[Year (Range)]]&lt;=$C$10),BrokerageStocks45[[#This Row],[Rent: Simulated EOY Investment Balance ($)]],NA())</f>
        <v>#N/A</v>
      </c>
      <c r="Q86" s="214" t="e">
        <f>IF((Table53[[#This Row],[Year (Range)]]&gt;=$C$8)*(Table53[[#This Row],[Year (Range)]]&lt;=$C$10),BrokerageStocks4546[[#This Row],[Buy: Fixed Average Return EOY Investment Balance ($)]],NA())</f>
        <v>#N/A</v>
      </c>
      <c r="R86" s="214" t="e">
        <f>IF((Table53[[#This Row],[Year (Range)]]&gt;=$C$8)*(Table53[[#This Row],[Year (Range)]]&lt;=$C$10),BrokerageStocks45[[#This Row],[Rent: Fixed Average Return EOY Investment Balance ($)]],NA())</f>
        <v>#N/A</v>
      </c>
      <c r="S86" s="224">
        <f t="shared" ref="S86:S121" ca="1" si="11">NORMINV(RAND(),simulation_stock_market_mean_return,simulation_stock_market_standarddev_return)</f>
        <v>0.170828981477951</v>
      </c>
      <c r="T86" s="222">
        <f t="shared" si="2"/>
        <v>0.08</v>
      </c>
      <c r="V86" s="208">
        <f>'Difference in Expenses'!AF82</f>
        <v>342904.26906829973</v>
      </c>
      <c r="W86" s="164">
        <f t="shared" ca="1" si="9"/>
        <v>26509226.233782642</v>
      </c>
      <c r="X86" s="209">
        <f ca="1">BrokerageStocks4546[[#This Row],[Simulation BOY Balance ($)]]+(BrokerageStocks4546[[#This Row],[Contributions ($)]]/2)</f>
        <v>26680678.368316792</v>
      </c>
      <c r="Y86" s="160">
        <f ca="1">BrokerageStocks4546[[#This Row],[Simulation Average Annual Balance ($)]]*Table53[[#This Row],[Simulated Return (%)]]</f>
        <v>4557833.1108003575</v>
      </c>
      <c r="Z86" s="160">
        <f ca="1">BrokerageStocks4546[[#This Row],[Simulation BOY Balance ($)]]+BrokerageStocks4546[[#This Row],[Contributions ($)]]+BrokerageStocks4546[[#This Row],[Simulated Return ($)]]</f>
        <v>31409963.613651298</v>
      </c>
      <c r="AA86" s="160">
        <f t="shared" si="5"/>
        <v>31034912.248648666</v>
      </c>
      <c r="AB86" s="160">
        <f>BrokerageStocks4546[[#This Row],[Fixed Return BOY Balance ($)]]+BrokerageStocks4546[[#This Row],[Contributions ($)]]</f>
        <v>31377816.517716967</v>
      </c>
      <c r="AC86" s="160">
        <f>BrokerageStocks4546[[#This Row],[Fixed Return Average Balance ($)]]*annual_stock_market_return</f>
        <v>2510225.3214173573</v>
      </c>
      <c r="AD86" s="160">
        <f>BrokerageStocks4546[[#This Row],[Fixed Return BOY Balance ($)]]+BrokerageStocks4546[[#This Row],[Contributions ($)]]+BrokerageStocks4546[[#This Row],[Fixed Average Return ($)]]</f>
        <v>33888041.839134321</v>
      </c>
      <c r="AF86" s="208">
        <v>0</v>
      </c>
      <c r="AG86" s="164">
        <f t="shared" ca="1" si="10"/>
        <v>20165658.053825714</v>
      </c>
      <c r="AH86" s="209">
        <f ca="1">BrokerageStocks45[[#This Row],[Simulation BOY Balance ($)]]+(BrokerageStocks45[[#This Row],[Contributions ($)]]/2)</f>
        <v>20165658.053825714</v>
      </c>
      <c r="AI86" s="160">
        <f ca="1">BrokerageStocks45[[#This Row],[Simulation Average Annual Balance ($)]]*Table53[[#This Row],[Simulated Return (%)]]</f>
        <v>3444878.8261676864</v>
      </c>
      <c r="AJ86" s="160">
        <f ca="1">BrokerageStocks45[[#This Row],[Simulation BOY Balance ($)]]+BrokerageStocks45[[#This Row],[Contributions ($)]]+BrokerageStocks45[[#This Row],[Simulated Return ($)]]</f>
        <v>23610536.879993401</v>
      </c>
      <c r="AK86" s="164">
        <f t="shared" si="6"/>
        <v>25828613.739706513</v>
      </c>
      <c r="AL86" s="209">
        <f>BrokerageStocks45[[#This Row],[Fixed Return BOY Balance ($)]]+(BrokerageStocks45[[#This Row],[Contributions ($)]]/2)</f>
        <v>25828613.739706513</v>
      </c>
      <c r="AM86" s="160">
        <f>BrokerageStocks45[[#This Row],[Fixed Return Average Annual Balance]]*annual_stock_market_return</f>
        <v>2066289.0991765209</v>
      </c>
      <c r="AN86" s="160">
        <f>BrokerageStocks45[[#This Row],[Fixed Return BOY Balance ($)]]+BrokerageStocks45[[#This Row],[Contributions ($)]]+BrokerageStocks45[[#This Row],[Fixed Average Return ($)]]</f>
        <v>27894902.838883035</v>
      </c>
    </row>
    <row r="87" spans="11:40" x14ac:dyDescent="0.25">
      <c r="K87">
        <v>65</v>
      </c>
      <c r="L87">
        <f t="shared" ref="L87:L118" si="12">purchase_year+K87</f>
        <v>2087</v>
      </c>
      <c r="M87" s="198">
        <f>IF(Table53[[#This Row],[Calendar Year]]&gt;=$C$8,Table53[[#This Row],[Calendar Year]],NA())</f>
        <v>2087</v>
      </c>
      <c r="N87" s="198" t="e">
        <f>IF((Table53[[#This Row],[Calendar Year]]&gt;=$C$8)*(Table53[[#This Row],[Calendar Year]]&lt;=$C$10),Table53[[#This Row],[Calendar Year]],NA())</f>
        <v>#N/A</v>
      </c>
      <c r="O87" s="214" t="e">
        <f>IF((Table53[[#This Row],[Year (Range)]]&gt;=$C$8)*(Table53[[#This Row],[Year (Range)]]&lt;=$C$10),BrokerageStocks4546[[#This Row],[Buy: Simulated EOY Investment Balance ($)]],NA())</f>
        <v>#N/A</v>
      </c>
      <c r="P87" s="214" t="e">
        <f>IF((Table53[[#This Row],[Year (Range)]]&gt;=$C$8)*(Table53[[#This Row],[Year (Range)]]&lt;=$C$10),BrokerageStocks45[[#This Row],[Rent: Simulated EOY Investment Balance ($)]],NA())</f>
        <v>#N/A</v>
      </c>
      <c r="Q87" s="214" t="e">
        <f>IF((Table53[[#This Row],[Year (Range)]]&gt;=$C$8)*(Table53[[#This Row],[Year (Range)]]&lt;=$C$10),BrokerageStocks4546[[#This Row],[Buy: Fixed Average Return EOY Investment Balance ($)]],NA())</f>
        <v>#N/A</v>
      </c>
      <c r="R87" s="214" t="e">
        <f>IF((Table53[[#This Row],[Year (Range)]]&gt;=$C$8)*(Table53[[#This Row],[Year (Range)]]&lt;=$C$10),BrokerageStocks45[[#This Row],[Rent: Fixed Average Return EOY Investment Balance ($)]],NA())</f>
        <v>#N/A</v>
      </c>
      <c r="S87" s="224">
        <f t="shared" ca="1" si="11"/>
        <v>7.8869067835898032E-3</v>
      </c>
      <c r="T87" s="222">
        <f t="shared" ref="T87:T121" si="13">$L$5</f>
        <v>0.08</v>
      </c>
      <c r="V87" s="208">
        <f>'Difference in Expenses'!AF83</f>
        <v>357621.72856202442</v>
      </c>
      <c r="W87" s="164">
        <f t="shared" ref="W87:W121" ca="1" si="14">Z86</f>
        <v>31409963.613651298</v>
      </c>
      <c r="X87" s="209">
        <f ca="1">BrokerageStocks4546[[#This Row],[Simulation BOY Balance ($)]]+(BrokerageStocks4546[[#This Row],[Contributions ($)]]/2)</f>
        <v>31588774.477932312</v>
      </c>
      <c r="Y87" s="160">
        <f ca="1">BrokerageStocks4546[[#This Row],[Simulation Average Annual Balance ($)]]*Table53[[#This Row],[Simulated Return (%)]]</f>
        <v>249137.7197152928</v>
      </c>
      <c r="Z87" s="160">
        <f ca="1">BrokerageStocks4546[[#This Row],[Simulation BOY Balance ($)]]+BrokerageStocks4546[[#This Row],[Contributions ($)]]+BrokerageStocks4546[[#This Row],[Simulated Return ($)]]</f>
        <v>32016723.061928615</v>
      </c>
      <c r="AA87" s="160">
        <f t="shared" si="5"/>
        <v>33888041.839134321</v>
      </c>
      <c r="AB87" s="160">
        <f>BrokerageStocks4546[[#This Row],[Fixed Return BOY Balance ($)]]+BrokerageStocks4546[[#This Row],[Contributions ($)]]</f>
        <v>34245663.567696348</v>
      </c>
      <c r="AC87" s="160">
        <f>BrokerageStocks4546[[#This Row],[Fixed Return Average Balance ($)]]*annual_stock_market_return</f>
        <v>2739653.0854157079</v>
      </c>
      <c r="AD87" s="160">
        <f>BrokerageStocks4546[[#This Row],[Fixed Return BOY Balance ($)]]+BrokerageStocks4546[[#This Row],[Contributions ($)]]+BrokerageStocks4546[[#This Row],[Fixed Average Return ($)]]</f>
        <v>36985316.653112054</v>
      </c>
      <c r="AF87" s="208">
        <v>0</v>
      </c>
      <c r="AG87" s="164">
        <f t="shared" ref="AG87:AG121" ca="1" si="15">AJ86</f>
        <v>23610536.879993401</v>
      </c>
      <c r="AH87" s="209">
        <f ca="1">BrokerageStocks45[[#This Row],[Simulation BOY Balance ($)]]+(BrokerageStocks45[[#This Row],[Contributions ($)]]/2)</f>
        <v>23610536.879993401</v>
      </c>
      <c r="AI87" s="160">
        <f ca="1">BrokerageStocks45[[#This Row],[Simulation Average Annual Balance ($)]]*Table53[[#This Row],[Simulated Return (%)]]</f>
        <v>186214.10348301718</v>
      </c>
      <c r="AJ87" s="160">
        <f ca="1">BrokerageStocks45[[#This Row],[Simulation BOY Balance ($)]]+BrokerageStocks45[[#This Row],[Contributions ($)]]+BrokerageStocks45[[#This Row],[Simulated Return ($)]]</f>
        <v>23796750.983476419</v>
      </c>
      <c r="AK87" s="164">
        <f t="shared" si="6"/>
        <v>27894902.838883035</v>
      </c>
      <c r="AL87" s="209">
        <f>BrokerageStocks45[[#This Row],[Fixed Return BOY Balance ($)]]+(BrokerageStocks45[[#This Row],[Contributions ($)]]/2)</f>
        <v>27894902.838883035</v>
      </c>
      <c r="AM87" s="160">
        <f>BrokerageStocks45[[#This Row],[Fixed Return Average Annual Balance]]*annual_stock_market_return</f>
        <v>2231592.2271106429</v>
      </c>
      <c r="AN87" s="160">
        <f>BrokerageStocks45[[#This Row],[Fixed Return BOY Balance ($)]]+BrokerageStocks45[[#This Row],[Contributions ($)]]+BrokerageStocks45[[#This Row],[Fixed Average Return ($)]]</f>
        <v>30126495.065993678</v>
      </c>
    </row>
    <row r="88" spans="11:40" x14ac:dyDescent="0.25">
      <c r="K88">
        <v>66</v>
      </c>
      <c r="L88">
        <f t="shared" si="12"/>
        <v>2088</v>
      </c>
      <c r="M88" s="198">
        <f>IF(Table53[[#This Row],[Calendar Year]]&gt;=$C$8,Table53[[#This Row],[Calendar Year]],NA())</f>
        <v>2088</v>
      </c>
      <c r="N88" s="198" t="e">
        <f>IF((Table53[[#This Row],[Calendar Year]]&gt;=$C$8)*(Table53[[#This Row],[Calendar Year]]&lt;=$C$10),Table53[[#This Row],[Calendar Year]],NA())</f>
        <v>#N/A</v>
      </c>
      <c r="O88" s="214" t="e">
        <f>IF((Table53[[#This Row],[Year (Range)]]&gt;=$C$8)*(Table53[[#This Row],[Year (Range)]]&lt;=$C$10),BrokerageStocks4546[[#This Row],[Buy: Simulated EOY Investment Balance ($)]],NA())</f>
        <v>#N/A</v>
      </c>
      <c r="P88" s="214" t="e">
        <f>IF((Table53[[#This Row],[Year (Range)]]&gt;=$C$8)*(Table53[[#This Row],[Year (Range)]]&lt;=$C$10),BrokerageStocks45[[#This Row],[Rent: Simulated EOY Investment Balance ($)]],NA())</f>
        <v>#N/A</v>
      </c>
      <c r="Q88" s="214" t="e">
        <f>IF((Table53[[#This Row],[Year (Range)]]&gt;=$C$8)*(Table53[[#This Row],[Year (Range)]]&lt;=$C$10),BrokerageStocks4546[[#This Row],[Buy: Fixed Average Return EOY Investment Balance ($)]],NA())</f>
        <v>#N/A</v>
      </c>
      <c r="R88" s="214" t="e">
        <f>IF((Table53[[#This Row],[Year (Range)]]&gt;=$C$8)*(Table53[[#This Row],[Year (Range)]]&lt;=$C$10),BrokerageStocks45[[#This Row],[Rent: Fixed Average Return EOY Investment Balance ($)]],NA())</f>
        <v>#N/A</v>
      </c>
      <c r="S88" s="224">
        <f t="shared" ca="1" si="11"/>
        <v>0.23693928009007037</v>
      </c>
      <c r="T88" s="222">
        <f t="shared" si="13"/>
        <v>0.08</v>
      </c>
      <c r="V88" s="208">
        <f>'Difference in Expenses'!AF84</f>
        <v>372957.9250974278</v>
      </c>
      <c r="W88" s="164">
        <f t="shared" ca="1" si="14"/>
        <v>32016723.061928615</v>
      </c>
      <c r="X88" s="209">
        <f ca="1">BrokerageStocks4546[[#This Row],[Simulation BOY Balance ($)]]+(BrokerageStocks4546[[#This Row],[Contributions ($)]]/2)</f>
        <v>32203202.024477329</v>
      </c>
      <c r="Y88" s="160">
        <f ca="1">BrokerageStocks4546[[#This Row],[Simulation Average Annual Balance ($)]]*Table53[[#This Row],[Simulated Return (%)]]</f>
        <v>7630203.5042747548</v>
      </c>
      <c r="Z88" s="160">
        <f ca="1">BrokerageStocks4546[[#This Row],[Simulation BOY Balance ($)]]+BrokerageStocks4546[[#This Row],[Contributions ($)]]+BrokerageStocks4546[[#This Row],[Simulated Return ($)]]</f>
        <v>40019884.491300799</v>
      </c>
      <c r="AA88" s="160">
        <f t="shared" ref="AA88:AA121" si="16">AD87</f>
        <v>36985316.653112054</v>
      </c>
      <c r="AB88" s="160">
        <f>BrokerageStocks4546[[#This Row],[Fixed Return BOY Balance ($)]]+BrokerageStocks4546[[#This Row],[Contributions ($)]]</f>
        <v>37358274.578209482</v>
      </c>
      <c r="AC88" s="160">
        <f>BrokerageStocks4546[[#This Row],[Fixed Return Average Balance ($)]]*annual_stock_market_return</f>
        <v>2988661.9662567587</v>
      </c>
      <c r="AD88" s="160">
        <f>BrokerageStocks4546[[#This Row],[Fixed Return BOY Balance ($)]]+BrokerageStocks4546[[#This Row],[Contributions ($)]]+BrokerageStocks4546[[#This Row],[Fixed Average Return ($)]]</f>
        <v>40346936.544466242</v>
      </c>
      <c r="AF88" s="208">
        <v>0</v>
      </c>
      <c r="AG88" s="164">
        <f t="shared" ca="1" si="15"/>
        <v>23796750.983476419</v>
      </c>
      <c r="AH88" s="209">
        <f ca="1">BrokerageStocks45[[#This Row],[Simulation BOY Balance ($)]]+(BrokerageStocks45[[#This Row],[Contributions ($)]]/2)</f>
        <v>23796750.983476419</v>
      </c>
      <c r="AI88" s="160">
        <f ca="1">BrokerageStocks45[[#This Row],[Simulation Average Annual Balance ($)]]*Table53[[#This Row],[Simulated Return (%)]]</f>
        <v>5638385.0465075765</v>
      </c>
      <c r="AJ88" s="160">
        <f ca="1">BrokerageStocks45[[#This Row],[Simulation BOY Balance ($)]]+BrokerageStocks45[[#This Row],[Contributions ($)]]+BrokerageStocks45[[#This Row],[Simulated Return ($)]]</f>
        <v>29435136.029983997</v>
      </c>
      <c r="AK88" s="164">
        <f t="shared" ref="AK88:AK121" si="17">AN87</f>
        <v>30126495.065993678</v>
      </c>
      <c r="AL88" s="209">
        <f>BrokerageStocks45[[#This Row],[Fixed Return BOY Balance ($)]]+(BrokerageStocks45[[#This Row],[Contributions ($)]]/2)</f>
        <v>30126495.065993678</v>
      </c>
      <c r="AM88" s="160">
        <f>BrokerageStocks45[[#This Row],[Fixed Return Average Annual Balance]]*annual_stock_market_return</f>
        <v>2410119.6052794941</v>
      </c>
      <c r="AN88" s="160">
        <f>BrokerageStocks45[[#This Row],[Fixed Return BOY Balance ($)]]+BrokerageStocks45[[#This Row],[Contributions ($)]]+BrokerageStocks45[[#This Row],[Fixed Average Return ($)]]</f>
        <v>32536614.671273172</v>
      </c>
    </row>
    <row r="89" spans="11:40" x14ac:dyDescent="0.25">
      <c r="K89">
        <v>67</v>
      </c>
      <c r="L89">
        <f t="shared" si="12"/>
        <v>2089</v>
      </c>
      <c r="M89" s="198">
        <f>IF(Table53[[#This Row],[Calendar Year]]&gt;=$C$8,Table53[[#This Row],[Calendar Year]],NA())</f>
        <v>2089</v>
      </c>
      <c r="N89" s="198" t="e">
        <f>IF((Table53[[#This Row],[Calendar Year]]&gt;=$C$8)*(Table53[[#This Row],[Calendar Year]]&lt;=$C$10),Table53[[#This Row],[Calendar Year]],NA())</f>
        <v>#N/A</v>
      </c>
      <c r="O89" s="214" t="e">
        <f>IF((Table53[[#This Row],[Year (Range)]]&gt;=$C$8)*(Table53[[#This Row],[Year (Range)]]&lt;=$C$10),BrokerageStocks4546[[#This Row],[Buy: Simulated EOY Investment Balance ($)]],NA())</f>
        <v>#N/A</v>
      </c>
      <c r="P89" s="214" t="e">
        <f>IF((Table53[[#This Row],[Year (Range)]]&gt;=$C$8)*(Table53[[#This Row],[Year (Range)]]&lt;=$C$10),BrokerageStocks45[[#This Row],[Rent: Simulated EOY Investment Balance ($)]],NA())</f>
        <v>#N/A</v>
      </c>
      <c r="Q89" s="214" t="e">
        <f>IF((Table53[[#This Row],[Year (Range)]]&gt;=$C$8)*(Table53[[#This Row],[Year (Range)]]&lt;=$C$10),BrokerageStocks4546[[#This Row],[Buy: Fixed Average Return EOY Investment Balance ($)]],NA())</f>
        <v>#N/A</v>
      </c>
      <c r="R89" s="214" t="e">
        <f>IF((Table53[[#This Row],[Year (Range)]]&gt;=$C$8)*(Table53[[#This Row],[Year (Range)]]&lt;=$C$10),BrokerageStocks45[[#This Row],[Rent: Fixed Average Return EOY Investment Balance ($)]],NA())</f>
        <v>#N/A</v>
      </c>
      <c r="S89" s="224">
        <f t="shared" ca="1" si="11"/>
        <v>-0.22915862586876989</v>
      </c>
      <c r="T89" s="222">
        <f t="shared" si="13"/>
        <v>0.08</v>
      </c>
      <c r="V89" s="208">
        <f>'Difference in Expenses'!AF85</f>
        <v>388938.50931603508</v>
      </c>
      <c r="W89" s="164">
        <f t="shared" ca="1" si="14"/>
        <v>40019884.491300799</v>
      </c>
      <c r="X89" s="209">
        <f ca="1">BrokerageStocks4546[[#This Row],[Simulation BOY Balance ($)]]+(BrokerageStocks4546[[#This Row],[Contributions ($)]]/2)</f>
        <v>40214353.74595882</v>
      </c>
      <c r="Y89" s="160">
        <f ca="1">BrokerageStocks4546[[#This Row],[Simulation Average Annual Balance ($)]]*Table53[[#This Row],[Simulated Return (%)]]</f>
        <v>-9215466.0446245428</v>
      </c>
      <c r="Z89" s="160">
        <f ca="1">BrokerageStocks4546[[#This Row],[Simulation BOY Balance ($)]]+BrokerageStocks4546[[#This Row],[Contributions ($)]]+BrokerageStocks4546[[#This Row],[Simulated Return ($)]]</f>
        <v>31193356.955992289</v>
      </c>
      <c r="AA89" s="160">
        <f t="shared" si="16"/>
        <v>40346936.544466242</v>
      </c>
      <c r="AB89" s="160">
        <f>BrokerageStocks4546[[#This Row],[Fixed Return BOY Balance ($)]]+BrokerageStocks4546[[#This Row],[Contributions ($)]]</f>
        <v>40735875.053782277</v>
      </c>
      <c r="AC89" s="160">
        <f>BrokerageStocks4546[[#This Row],[Fixed Return Average Balance ($)]]*annual_stock_market_return</f>
        <v>3258870.0043025822</v>
      </c>
      <c r="AD89" s="160">
        <f>BrokerageStocks4546[[#This Row],[Fixed Return BOY Balance ($)]]+BrokerageStocks4546[[#This Row],[Contributions ($)]]+BrokerageStocks4546[[#This Row],[Fixed Average Return ($)]]</f>
        <v>43994745.05808486</v>
      </c>
      <c r="AF89" s="208">
        <v>0</v>
      </c>
      <c r="AG89" s="164">
        <f t="shared" ca="1" si="15"/>
        <v>29435136.029983997</v>
      </c>
      <c r="AH89" s="209">
        <f ca="1">BrokerageStocks45[[#This Row],[Simulation BOY Balance ($)]]+(BrokerageStocks45[[#This Row],[Contributions ($)]]/2)</f>
        <v>29435136.029983997</v>
      </c>
      <c r="AI89" s="160">
        <f ca="1">BrokerageStocks45[[#This Row],[Simulation Average Annual Balance ($)]]*Table53[[#This Row],[Simulated Return (%)]]</f>
        <v>-6745315.3248914517</v>
      </c>
      <c r="AJ89" s="160">
        <f ca="1">BrokerageStocks45[[#This Row],[Simulation BOY Balance ($)]]+BrokerageStocks45[[#This Row],[Contributions ($)]]+BrokerageStocks45[[#This Row],[Simulated Return ($)]]</f>
        <v>22689820.705092546</v>
      </c>
      <c r="AK89" s="164">
        <f t="shared" si="17"/>
        <v>32536614.671273172</v>
      </c>
      <c r="AL89" s="209">
        <f>BrokerageStocks45[[#This Row],[Fixed Return BOY Balance ($)]]+(BrokerageStocks45[[#This Row],[Contributions ($)]]/2)</f>
        <v>32536614.671273172</v>
      </c>
      <c r="AM89" s="160">
        <f>BrokerageStocks45[[#This Row],[Fixed Return Average Annual Balance]]*annual_stock_market_return</f>
        <v>2602929.173701854</v>
      </c>
      <c r="AN89" s="160">
        <f>BrokerageStocks45[[#This Row],[Fixed Return BOY Balance ($)]]+BrokerageStocks45[[#This Row],[Contributions ($)]]+BrokerageStocks45[[#This Row],[Fixed Average Return ($)]]</f>
        <v>35139543.844975024</v>
      </c>
    </row>
    <row r="90" spans="11:40" x14ac:dyDescent="0.25">
      <c r="K90">
        <v>68</v>
      </c>
      <c r="L90">
        <f t="shared" si="12"/>
        <v>2090</v>
      </c>
      <c r="M90" s="198">
        <f>IF(Table53[[#This Row],[Calendar Year]]&gt;=$C$8,Table53[[#This Row],[Calendar Year]],NA())</f>
        <v>2090</v>
      </c>
      <c r="N90" s="198" t="e">
        <f>IF((Table53[[#This Row],[Calendar Year]]&gt;=$C$8)*(Table53[[#This Row],[Calendar Year]]&lt;=$C$10),Table53[[#This Row],[Calendar Year]],NA())</f>
        <v>#N/A</v>
      </c>
      <c r="O90" s="214" t="e">
        <f>IF((Table53[[#This Row],[Year (Range)]]&gt;=$C$8)*(Table53[[#This Row],[Year (Range)]]&lt;=$C$10),BrokerageStocks4546[[#This Row],[Buy: Simulated EOY Investment Balance ($)]],NA())</f>
        <v>#N/A</v>
      </c>
      <c r="P90" s="214" t="e">
        <f>IF((Table53[[#This Row],[Year (Range)]]&gt;=$C$8)*(Table53[[#This Row],[Year (Range)]]&lt;=$C$10),BrokerageStocks45[[#This Row],[Rent: Simulated EOY Investment Balance ($)]],NA())</f>
        <v>#N/A</v>
      </c>
      <c r="Q90" s="214" t="e">
        <f>IF((Table53[[#This Row],[Year (Range)]]&gt;=$C$8)*(Table53[[#This Row],[Year (Range)]]&lt;=$C$10),BrokerageStocks4546[[#This Row],[Buy: Fixed Average Return EOY Investment Balance ($)]],NA())</f>
        <v>#N/A</v>
      </c>
      <c r="R90" s="214" t="e">
        <f>IF((Table53[[#This Row],[Year (Range)]]&gt;=$C$8)*(Table53[[#This Row],[Year (Range)]]&lt;=$C$10),BrokerageStocks45[[#This Row],[Rent: Fixed Average Return EOY Investment Balance ($)]],NA())</f>
        <v>#N/A</v>
      </c>
      <c r="S90" s="224">
        <f t="shared" ca="1" si="11"/>
        <v>-0.11530225028177281</v>
      </c>
      <c r="T90" s="222">
        <f t="shared" si="13"/>
        <v>0.08</v>
      </c>
      <c r="V90" s="208">
        <f>'Difference in Expenses'!AF86</f>
        <v>405590.18491982785</v>
      </c>
      <c r="W90" s="164">
        <f t="shared" ca="1" si="14"/>
        <v>31193356.955992289</v>
      </c>
      <c r="X90" s="209">
        <f ca="1">BrokerageStocks4546[[#This Row],[Simulation BOY Balance ($)]]+(BrokerageStocks4546[[#This Row],[Contributions ($)]]/2)</f>
        <v>31396152.048452202</v>
      </c>
      <c r="Y90" s="160">
        <f ca="1">BrokerageStocks4546[[#This Row],[Simulation Average Annual Balance ($)]]*Table53[[#This Row],[Simulated Return (%)]]</f>
        <v>-3620046.98137523</v>
      </c>
      <c r="Z90" s="160">
        <f ca="1">BrokerageStocks4546[[#This Row],[Simulation BOY Balance ($)]]+BrokerageStocks4546[[#This Row],[Contributions ($)]]+BrokerageStocks4546[[#This Row],[Simulated Return ($)]]</f>
        <v>27978900.159536887</v>
      </c>
      <c r="AA90" s="160">
        <f t="shared" si="16"/>
        <v>43994745.05808486</v>
      </c>
      <c r="AB90" s="160">
        <f>BrokerageStocks4546[[#This Row],[Fixed Return BOY Balance ($)]]+BrokerageStocks4546[[#This Row],[Contributions ($)]]</f>
        <v>44400335.243004687</v>
      </c>
      <c r="AC90" s="160">
        <f>BrokerageStocks4546[[#This Row],[Fixed Return Average Balance ($)]]*annual_stock_market_return</f>
        <v>3552026.8194403751</v>
      </c>
      <c r="AD90" s="160">
        <f>BrokerageStocks4546[[#This Row],[Fixed Return BOY Balance ($)]]+BrokerageStocks4546[[#This Row],[Contributions ($)]]+BrokerageStocks4546[[#This Row],[Fixed Average Return ($)]]</f>
        <v>47952362.062445059</v>
      </c>
      <c r="AF90" s="208">
        <v>0</v>
      </c>
      <c r="AG90" s="164">
        <f t="shared" ca="1" si="15"/>
        <v>22689820.705092546</v>
      </c>
      <c r="AH90" s="209">
        <f ca="1">BrokerageStocks45[[#This Row],[Simulation BOY Balance ($)]]+(BrokerageStocks45[[#This Row],[Contributions ($)]]/2)</f>
        <v>22689820.705092546</v>
      </c>
      <c r="AI90" s="160">
        <f ca="1">BrokerageStocks45[[#This Row],[Simulation Average Annual Balance ($)]]*Table53[[#This Row],[Simulated Return (%)]]</f>
        <v>-2616187.3857871313</v>
      </c>
      <c r="AJ90" s="160">
        <f ca="1">BrokerageStocks45[[#This Row],[Simulation BOY Balance ($)]]+BrokerageStocks45[[#This Row],[Contributions ($)]]+BrokerageStocks45[[#This Row],[Simulated Return ($)]]</f>
        <v>20073633.319305412</v>
      </c>
      <c r="AK90" s="164">
        <f t="shared" si="17"/>
        <v>35139543.844975024</v>
      </c>
      <c r="AL90" s="209">
        <f>BrokerageStocks45[[#This Row],[Fixed Return BOY Balance ($)]]+(BrokerageStocks45[[#This Row],[Contributions ($)]]/2)</f>
        <v>35139543.844975024</v>
      </c>
      <c r="AM90" s="160">
        <f>BrokerageStocks45[[#This Row],[Fixed Return Average Annual Balance]]*annual_stock_market_return</f>
        <v>2811163.507598002</v>
      </c>
      <c r="AN90" s="160">
        <f>BrokerageStocks45[[#This Row],[Fixed Return BOY Balance ($)]]+BrokerageStocks45[[#This Row],[Contributions ($)]]+BrokerageStocks45[[#This Row],[Fixed Average Return ($)]]</f>
        <v>37950707.35257303</v>
      </c>
    </row>
    <row r="91" spans="11:40" x14ac:dyDescent="0.25">
      <c r="K91">
        <v>69</v>
      </c>
      <c r="L91">
        <f t="shared" si="12"/>
        <v>2091</v>
      </c>
      <c r="M91" s="198">
        <f>IF(Table53[[#This Row],[Calendar Year]]&gt;=$C$8,Table53[[#This Row],[Calendar Year]],NA())</f>
        <v>2091</v>
      </c>
      <c r="N91" s="198" t="e">
        <f>IF((Table53[[#This Row],[Calendar Year]]&gt;=$C$8)*(Table53[[#This Row],[Calendar Year]]&lt;=$C$10),Table53[[#This Row],[Calendar Year]],NA())</f>
        <v>#N/A</v>
      </c>
      <c r="O91" s="214" t="e">
        <f>IF((Table53[[#This Row],[Year (Range)]]&gt;=$C$8)*(Table53[[#This Row],[Year (Range)]]&lt;=$C$10),BrokerageStocks4546[[#This Row],[Buy: Simulated EOY Investment Balance ($)]],NA())</f>
        <v>#N/A</v>
      </c>
      <c r="P91" s="214" t="e">
        <f>IF((Table53[[#This Row],[Year (Range)]]&gt;=$C$8)*(Table53[[#This Row],[Year (Range)]]&lt;=$C$10),BrokerageStocks45[[#This Row],[Rent: Simulated EOY Investment Balance ($)]],NA())</f>
        <v>#N/A</v>
      </c>
      <c r="Q91" s="214" t="e">
        <f>IF((Table53[[#This Row],[Year (Range)]]&gt;=$C$8)*(Table53[[#This Row],[Year (Range)]]&lt;=$C$10),BrokerageStocks4546[[#This Row],[Buy: Fixed Average Return EOY Investment Balance ($)]],NA())</f>
        <v>#N/A</v>
      </c>
      <c r="R91" s="214" t="e">
        <f>IF((Table53[[#This Row],[Year (Range)]]&gt;=$C$8)*(Table53[[#This Row],[Year (Range)]]&lt;=$C$10),BrokerageStocks45[[#This Row],[Rent: Fixed Average Return EOY Investment Balance ($)]],NA())</f>
        <v>#N/A</v>
      </c>
      <c r="S91" s="224">
        <f t="shared" ca="1" si="11"/>
        <v>0.31752159336325048</v>
      </c>
      <c r="T91" s="222">
        <f t="shared" si="13"/>
        <v>0.08</v>
      </c>
      <c r="V91" s="208">
        <f>'Difference in Expenses'!AF87</f>
        <v>422940.75160470698</v>
      </c>
      <c r="W91" s="164">
        <f t="shared" ca="1" si="14"/>
        <v>27978900.159536887</v>
      </c>
      <c r="X91" s="209">
        <f ca="1">BrokerageStocks4546[[#This Row],[Simulation BOY Balance ($)]]+(BrokerageStocks4546[[#This Row],[Contributions ($)]]/2)</f>
        <v>28190370.53533924</v>
      </c>
      <c r="Y91" s="160">
        <f ca="1">BrokerageStocks4546[[#This Row],[Simulation Average Annual Balance ($)]]*Table53[[#This Row],[Simulated Return (%)]]</f>
        <v>8951051.3698813431</v>
      </c>
      <c r="Z91" s="160">
        <f ca="1">BrokerageStocks4546[[#This Row],[Simulation BOY Balance ($)]]+BrokerageStocks4546[[#This Row],[Contributions ($)]]+BrokerageStocks4546[[#This Row],[Simulated Return ($)]]</f>
        <v>37352892.281022936</v>
      </c>
      <c r="AA91" s="160">
        <f t="shared" si="16"/>
        <v>47952362.062445059</v>
      </c>
      <c r="AB91" s="160">
        <f>BrokerageStocks4546[[#This Row],[Fixed Return BOY Balance ($)]]+BrokerageStocks4546[[#This Row],[Contributions ($)]]</f>
        <v>48375302.814049765</v>
      </c>
      <c r="AC91" s="160">
        <f>BrokerageStocks4546[[#This Row],[Fixed Return Average Balance ($)]]*annual_stock_market_return</f>
        <v>3870024.2251239815</v>
      </c>
      <c r="AD91" s="160">
        <f>BrokerageStocks4546[[#This Row],[Fixed Return BOY Balance ($)]]+BrokerageStocks4546[[#This Row],[Contributions ($)]]+BrokerageStocks4546[[#This Row],[Fixed Average Return ($)]]</f>
        <v>52245327.039173745</v>
      </c>
      <c r="AF91" s="208">
        <v>0</v>
      </c>
      <c r="AG91" s="164">
        <f t="shared" ca="1" si="15"/>
        <v>20073633.319305412</v>
      </c>
      <c r="AH91" s="209">
        <f ca="1">BrokerageStocks45[[#This Row],[Simulation BOY Balance ($)]]+(BrokerageStocks45[[#This Row],[Contributions ($)]]/2)</f>
        <v>20073633.319305412</v>
      </c>
      <c r="AI91" s="160">
        <f ca="1">BrokerageStocks45[[#This Row],[Simulation Average Annual Balance ($)]]*Table53[[#This Row],[Simulated Return (%)]]</f>
        <v>6373812.0361354891</v>
      </c>
      <c r="AJ91" s="160">
        <f ca="1">BrokerageStocks45[[#This Row],[Simulation BOY Balance ($)]]+BrokerageStocks45[[#This Row],[Contributions ($)]]+BrokerageStocks45[[#This Row],[Simulated Return ($)]]</f>
        <v>26447445.3554409</v>
      </c>
      <c r="AK91" s="164">
        <f t="shared" si="17"/>
        <v>37950707.35257303</v>
      </c>
      <c r="AL91" s="209">
        <f>BrokerageStocks45[[#This Row],[Fixed Return BOY Balance ($)]]+(BrokerageStocks45[[#This Row],[Contributions ($)]]/2)</f>
        <v>37950707.35257303</v>
      </c>
      <c r="AM91" s="160">
        <f>BrokerageStocks45[[#This Row],[Fixed Return Average Annual Balance]]*annual_stock_market_return</f>
        <v>3036056.5882058423</v>
      </c>
      <c r="AN91" s="160">
        <f>BrokerageStocks45[[#This Row],[Fixed Return BOY Balance ($)]]+BrokerageStocks45[[#This Row],[Contributions ($)]]+BrokerageStocks45[[#This Row],[Fixed Average Return ($)]]</f>
        <v>40986763.940778874</v>
      </c>
    </row>
    <row r="92" spans="11:40" x14ac:dyDescent="0.25">
      <c r="K92">
        <v>70</v>
      </c>
      <c r="L92">
        <f t="shared" si="12"/>
        <v>2092</v>
      </c>
      <c r="M92" s="198">
        <f>IF(Table53[[#This Row],[Calendar Year]]&gt;=$C$8,Table53[[#This Row],[Calendar Year]],NA())</f>
        <v>2092</v>
      </c>
      <c r="N92" s="198" t="e">
        <f>IF((Table53[[#This Row],[Calendar Year]]&gt;=$C$8)*(Table53[[#This Row],[Calendar Year]]&lt;=$C$10),Table53[[#This Row],[Calendar Year]],NA())</f>
        <v>#N/A</v>
      </c>
      <c r="O92" s="214" t="e">
        <f>IF((Table53[[#This Row],[Year (Range)]]&gt;=$C$8)*(Table53[[#This Row],[Year (Range)]]&lt;=$C$10),BrokerageStocks4546[[#This Row],[Buy: Simulated EOY Investment Balance ($)]],NA())</f>
        <v>#N/A</v>
      </c>
      <c r="P92" s="214" t="e">
        <f>IF((Table53[[#This Row],[Year (Range)]]&gt;=$C$8)*(Table53[[#This Row],[Year (Range)]]&lt;=$C$10),BrokerageStocks45[[#This Row],[Rent: Simulated EOY Investment Balance ($)]],NA())</f>
        <v>#N/A</v>
      </c>
      <c r="Q92" s="214" t="e">
        <f>IF((Table53[[#This Row],[Year (Range)]]&gt;=$C$8)*(Table53[[#This Row],[Year (Range)]]&lt;=$C$10),BrokerageStocks4546[[#This Row],[Buy: Fixed Average Return EOY Investment Balance ($)]],NA())</f>
        <v>#N/A</v>
      </c>
      <c r="R92" s="214" t="e">
        <f>IF((Table53[[#This Row],[Year (Range)]]&gt;=$C$8)*(Table53[[#This Row],[Year (Range)]]&lt;=$C$10),BrokerageStocks45[[#This Row],[Rent: Fixed Average Return EOY Investment Balance ($)]],NA())</f>
        <v>#N/A</v>
      </c>
      <c r="S92" s="224">
        <f t="shared" ca="1" si="11"/>
        <v>0.20854473771532389</v>
      </c>
      <c r="T92" s="222">
        <f t="shared" si="13"/>
        <v>0.08</v>
      </c>
      <c r="V92" s="208">
        <f>'Difference in Expenses'!AF88</f>
        <v>441019.14973562385</v>
      </c>
      <c r="W92" s="164">
        <f t="shared" ca="1" si="14"/>
        <v>37352892.281022936</v>
      </c>
      <c r="X92" s="209">
        <f ca="1">BrokerageStocks4546[[#This Row],[Simulation BOY Balance ($)]]+(BrokerageStocks4546[[#This Row],[Contributions ($)]]/2)</f>
        <v>37573401.855890751</v>
      </c>
      <c r="Y92" s="160">
        <f ca="1">BrokerageStocks4546[[#This Row],[Simulation Average Annual Balance ($)]]*Table53[[#This Row],[Simulated Return (%)]]</f>
        <v>7835735.2351092007</v>
      </c>
      <c r="Z92" s="160">
        <f ca="1">BrokerageStocks4546[[#This Row],[Simulation BOY Balance ($)]]+BrokerageStocks4546[[#This Row],[Contributions ($)]]+BrokerageStocks4546[[#This Row],[Simulated Return ($)]]</f>
        <v>45629646.665867761</v>
      </c>
      <c r="AA92" s="160">
        <f t="shared" si="16"/>
        <v>52245327.039173745</v>
      </c>
      <c r="AB92" s="160">
        <f>BrokerageStocks4546[[#This Row],[Fixed Return BOY Balance ($)]]+BrokerageStocks4546[[#This Row],[Contributions ($)]]</f>
        <v>52686346.188909367</v>
      </c>
      <c r="AC92" s="160">
        <f>BrokerageStocks4546[[#This Row],[Fixed Return Average Balance ($)]]*annual_stock_market_return</f>
        <v>4214907.695112749</v>
      </c>
      <c r="AD92" s="160">
        <f>BrokerageStocks4546[[#This Row],[Fixed Return BOY Balance ($)]]+BrokerageStocks4546[[#This Row],[Contributions ($)]]+BrokerageStocks4546[[#This Row],[Fixed Average Return ($)]]</f>
        <v>56901253.884022117</v>
      </c>
      <c r="AF92" s="208">
        <v>0</v>
      </c>
      <c r="AG92" s="164">
        <f t="shared" ca="1" si="15"/>
        <v>26447445.3554409</v>
      </c>
      <c r="AH92" s="209">
        <f ca="1">BrokerageStocks45[[#This Row],[Simulation BOY Balance ($)]]+(BrokerageStocks45[[#This Row],[Contributions ($)]]/2)</f>
        <v>26447445.3554409</v>
      </c>
      <c r="AI92" s="160">
        <f ca="1">BrokerageStocks45[[#This Row],[Simulation Average Annual Balance ($)]]*Table53[[#This Row],[Simulated Return (%)]]</f>
        <v>5515475.5548907835</v>
      </c>
      <c r="AJ92" s="160">
        <f ca="1">BrokerageStocks45[[#This Row],[Simulation BOY Balance ($)]]+BrokerageStocks45[[#This Row],[Contributions ($)]]+BrokerageStocks45[[#This Row],[Simulated Return ($)]]</f>
        <v>31962920.910331681</v>
      </c>
      <c r="AK92" s="164">
        <f t="shared" si="17"/>
        <v>40986763.940778874</v>
      </c>
      <c r="AL92" s="209">
        <f>BrokerageStocks45[[#This Row],[Fixed Return BOY Balance ($)]]+(BrokerageStocks45[[#This Row],[Contributions ($)]]/2)</f>
        <v>40986763.940778874</v>
      </c>
      <c r="AM92" s="160">
        <f>BrokerageStocks45[[#This Row],[Fixed Return Average Annual Balance]]*annual_stock_market_return</f>
        <v>3278941.11526231</v>
      </c>
      <c r="AN92" s="160">
        <f>BrokerageStocks45[[#This Row],[Fixed Return BOY Balance ($)]]+BrokerageStocks45[[#This Row],[Contributions ($)]]+BrokerageStocks45[[#This Row],[Fixed Average Return ($)]]</f>
        <v>44265705.056041181</v>
      </c>
    </row>
    <row r="93" spans="11:40" x14ac:dyDescent="0.25">
      <c r="K93">
        <v>71</v>
      </c>
      <c r="L93">
        <f t="shared" si="12"/>
        <v>2093</v>
      </c>
      <c r="M93" s="198">
        <f>IF(Table53[[#This Row],[Calendar Year]]&gt;=$C$8,Table53[[#This Row],[Calendar Year]],NA())</f>
        <v>2093</v>
      </c>
      <c r="N93" s="198" t="e">
        <f>IF((Table53[[#This Row],[Calendar Year]]&gt;=$C$8)*(Table53[[#This Row],[Calendar Year]]&lt;=$C$10),Table53[[#This Row],[Calendar Year]],NA())</f>
        <v>#N/A</v>
      </c>
      <c r="O93" s="214" t="e">
        <f>IF((Table53[[#This Row],[Year (Range)]]&gt;=$C$8)*(Table53[[#This Row],[Year (Range)]]&lt;=$C$10),BrokerageStocks4546[[#This Row],[Buy: Simulated EOY Investment Balance ($)]],NA())</f>
        <v>#N/A</v>
      </c>
      <c r="P93" s="214" t="e">
        <f>IF((Table53[[#This Row],[Year (Range)]]&gt;=$C$8)*(Table53[[#This Row],[Year (Range)]]&lt;=$C$10),BrokerageStocks45[[#This Row],[Rent: Simulated EOY Investment Balance ($)]],NA())</f>
        <v>#N/A</v>
      </c>
      <c r="Q93" s="214" t="e">
        <f>IF((Table53[[#This Row],[Year (Range)]]&gt;=$C$8)*(Table53[[#This Row],[Year (Range)]]&lt;=$C$10),BrokerageStocks4546[[#This Row],[Buy: Fixed Average Return EOY Investment Balance ($)]],NA())</f>
        <v>#N/A</v>
      </c>
      <c r="R93" s="214" t="e">
        <f>IF((Table53[[#This Row],[Year (Range)]]&gt;=$C$8)*(Table53[[#This Row],[Year (Range)]]&lt;=$C$10),BrokerageStocks45[[#This Row],[Rent: Fixed Average Return EOY Investment Balance ($)]],NA())</f>
        <v>#N/A</v>
      </c>
      <c r="S93" s="224">
        <f t="shared" ca="1" si="11"/>
        <v>-0.11058626537861833</v>
      </c>
      <c r="T93" s="222">
        <f t="shared" si="13"/>
        <v>0.08</v>
      </c>
      <c r="V93" s="208">
        <f>'Difference in Expenses'!AF89</f>
        <v>459855.50683377922</v>
      </c>
      <c r="W93" s="164">
        <f t="shared" ca="1" si="14"/>
        <v>45629646.665867761</v>
      </c>
      <c r="X93" s="209">
        <f ca="1">BrokerageStocks4546[[#This Row],[Simulation BOY Balance ($)]]+(BrokerageStocks4546[[#This Row],[Contributions ($)]]/2)</f>
        <v>45859574.419284649</v>
      </c>
      <c r="Y93" s="160">
        <f ca="1">BrokerageStocks4546[[#This Row],[Simulation Average Annual Balance ($)]]*Table53[[#This Row],[Simulated Return (%)]]</f>
        <v>-5071439.0668815086</v>
      </c>
      <c r="Z93" s="160">
        <f ca="1">BrokerageStocks4546[[#This Row],[Simulation BOY Balance ($)]]+BrokerageStocks4546[[#This Row],[Contributions ($)]]+BrokerageStocks4546[[#This Row],[Simulated Return ($)]]</f>
        <v>41018063.10582003</v>
      </c>
      <c r="AA93" s="160">
        <f t="shared" si="16"/>
        <v>56901253.884022117</v>
      </c>
      <c r="AB93" s="160">
        <f>BrokerageStocks4546[[#This Row],[Fixed Return BOY Balance ($)]]+BrokerageStocks4546[[#This Row],[Contributions ($)]]</f>
        <v>57361109.390855893</v>
      </c>
      <c r="AC93" s="160">
        <f>BrokerageStocks4546[[#This Row],[Fixed Return Average Balance ($)]]*annual_stock_market_return</f>
        <v>4588888.7512684716</v>
      </c>
      <c r="AD93" s="160">
        <f>BrokerageStocks4546[[#This Row],[Fixed Return BOY Balance ($)]]+BrokerageStocks4546[[#This Row],[Contributions ($)]]+BrokerageStocks4546[[#This Row],[Fixed Average Return ($)]]</f>
        <v>61949998.142124362</v>
      </c>
      <c r="AF93" s="208">
        <v>0</v>
      </c>
      <c r="AG93" s="164">
        <f t="shared" ca="1" si="15"/>
        <v>31962920.910331681</v>
      </c>
      <c r="AH93" s="209">
        <f ca="1">BrokerageStocks45[[#This Row],[Simulation BOY Balance ($)]]+(BrokerageStocks45[[#This Row],[Contributions ($)]]/2)</f>
        <v>31962920.910331681</v>
      </c>
      <c r="AI93" s="160">
        <f ca="1">BrokerageStocks45[[#This Row],[Simulation Average Annual Balance ($)]]*Table53[[#This Row],[Simulated Return (%)]]</f>
        <v>-3534660.0540657286</v>
      </c>
      <c r="AJ93" s="160">
        <f ca="1">BrokerageStocks45[[#This Row],[Simulation BOY Balance ($)]]+BrokerageStocks45[[#This Row],[Contributions ($)]]+BrokerageStocks45[[#This Row],[Simulated Return ($)]]</f>
        <v>28428260.856265955</v>
      </c>
      <c r="AK93" s="164">
        <f t="shared" si="17"/>
        <v>44265705.056041181</v>
      </c>
      <c r="AL93" s="209">
        <f>BrokerageStocks45[[#This Row],[Fixed Return BOY Balance ($)]]+(BrokerageStocks45[[#This Row],[Contributions ($)]]/2)</f>
        <v>44265705.056041181</v>
      </c>
      <c r="AM93" s="160">
        <f>BrokerageStocks45[[#This Row],[Fixed Return Average Annual Balance]]*annual_stock_market_return</f>
        <v>3541256.4044832946</v>
      </c>
      <c r="AN93" s="160">
        <f>BrokerageStocks45[[#This Row],[Fixed Return BOY Balance ($)]]+BrokerageStocks45[[#This Row],[Contributions ($)]]+BrokerageStocks45[[#This Row],[Fixed Average Return ($)]]</f>
        <v>47806961.460524477</v>
      </c>
    </row>
    <row r="94" spans="11:40" x14ac:dyDescent="0.25">
      <c r="K94">
        <v>72</v>
      </c>
      <c r="L94">
        <f t="shared" si="12"/>
        <v>2094</v>
      </c>
      <c r="M94" s="198">
        <f>IF(Table53[[#This Row],[Calendar Year]]&gt;=$C$8,Table53[[#This Row],[Calendar Year]],NA())</f>
        <v>2094</v>
      </c>
      <c r="N94" s="198" t="e">
        <f>IF((Table53[[#This Row],[Calendar Year]]&gt;=$C$8)*(Table53[[#This Row],[Calendar Year]]&lt;=$C$10),Table53[[#This Row],[Calendar Year]],NA())</f>
        <v>#N/A</v>
      </c>
      <c r="O94" s="214" t="e">
        <f>IF((Table53[[#This Row],[Year (Range)]]&gt;=$C$8)*(Table53[[#This Row],[Year (Range)]]&lt;=$C$10),BrokerageStocks4546[[#This Row],[Buy: Simulated EOY Investment Balance ($)]],NA())</f>
        <v>#N/A</v>
      </c>
      <c r="P94" s="214" t="e">
        <f>IF((Table53[[#This Row],[Year (Range)]]&gt;=$C$8)*(Table53[[#This Row],[Year (Range)]]&lt;=$C$10),BrokerageStocks45[[#This Row],[Rent: Simulated EOY Investment Balance ($)]],NA())</f>
        <v>#N/A</v>
      </c>
      <c r="Q94" s="214" t="e">
        <f>IF((Table53[[#This Row],[Year (Range)]]&gt;=$C$8)*(Table53[[#This Row],[Year (Range)]]&lt;=$C$10),BrokerageStocks4546[[#This Row],[Buy: Fixed Average Return EOY Investment Balance ($)]],NA())</f>
        <v>#N/A</v>
      </c>
      <c r="R94" s="214" t="e">
        <f>IF((Table53[[#This Row],[Year (Range)]]&gt;=$C$8)*(Table53[[#This Row],[Year (Range)]]&lt;=$C$10),BrokerageStocks45[[#This Row],[Rent: Fixed Average Return EOY Investment Balance ($)]],NA())</f>
        <v>#N/A</v>
      </c>
      <c r="S94" s="224">
        <f t="shared" ca="1" si="11"/>
        <v>0.1806943769391319</v>
      </c>
      <c r="T94" s="222">
        <f t="shared" si="13"/>
        <v>0.08</v>
      </c>
      <c r="V94" s="208">
        <f>'Difference in Expenses'!AF90</f>
        <v>479481.18594912277</v>
      </c>
      <c r="W94" s="164">
        <f t="shared" ca="1" si="14"/>
        <v>41018063.10582003</v>
      </c>
      <c r="X94" s="209">
        <f ca="1">BrokerageStocks4546[[#This Row],[Simulation BOY Balance ($)]]+(BrokerageStocks4546[[#This Row],[Contributions ($)]]/2)</f>
        <v>41257803.698794588</v>
      </c>
      <c r="Y94" s="160">
        <f ca="1">BrokerageStocks4546[[#This Row],[Simulation Average Annual Balance ($)]]*Table53[[#This Row],[Simulated Return (%)]]</f>
        <v>7455053.1332307002</v>
      </c>
      <c r="Z94" s="160">
        <f ca="1">BrokerageStocks4546[[#This Row],[Simulation BOY Balance ($)]]+BrokerageStocks4546[[#This Row],[Contributions ($)]]+BrokerageStocks4546[[#This Row],[Simulated Return ($)]]</f>
        <v>48952597.424999855</v>
      </c>
      <c r="AA94" s="160">
        <f t="shared" si="16"/>
        <v>61949998.142124362</v>
      </c>
      <c r="AB94" s="160">
        <f>BrokerageStocks4546[[#This Row],[Fixed Return BOY Balance ($)]]+BrokerageStocks4546[[#This Row],[Contributions ($)]]</f>
        <v>62429479.328073487</v>
      </c>
      <c r="AC94" s="160">
        <f>BrokerageStocks4546[[#This Row],[Fixed Return Average Balance ($)]]*annual_stock_market_return</f>
        <v>4994358.3462458793</v>
      </c>
      <c r="AD94" s="160">
        <f>BrokerageStocks4546[[#This Row],[Fixed Return BOY Balance ($)]]+BrokerageStocks4546[[#This Row],[Contributions ($)]]+BrokerageStocks4546[[#This Row],[Fixed Average Return ($)]]</f>
        <v>67423837.674319372</v>
      </c>
      <c r="AF94" s="208">
        <v>0</v>
      </c>
      <c r="AG94" s="164">
        <f t="shared" ca="1" si="15"/>
        <v>28428260.856265955</v>
      </c>
      <c r="AH94" s="209">
        <f ca="1">BrokerageStocks45[[#This Row],[Simulation BOY Balance ($)]]+(BrokerageStocks45[[#This Row],[Contributions ($)]]/2)</f>
        <v>28428260.856265955</v>
      </c>
      <c r="AI94" s="160">
        <f ca="1">BrokerageStocks45[[#This Row],[Simulation Average Annual Balance ($)]]*Table53[[#This Row],[Simulated Return (%)]]</f>
        <v>5136826.8828860894</v>
      </c>
      <c r="AJ94" s="160">
        <f ca="1">BrokerageStocks45[[#This Row],[Simulation BOY Balance ($)]]+BrokerageStocks45[[#This Row],[Contributions ($)]]+BrokerageStocks45[[#This Row],[Simulated Return ($)]]</f>
        <v>33565087.739152044</v>
      </c>
      <c r="AK94" s="164">
        <f t="shared" si="17"/>
        <v>47806961.460524477</v>
      </c>
      <c r="AL94" s="209">
        <f>BrokerageStocks45[[#This Row],[Fixed Return BOY Balance ($)]]+(BrokerageStocks45[[#This Row],[Contributions ($)]]/2)</f>
        <v>47806961.460524477</v>
      </c>
      <c r="AM94" s="160">
        <f>BrokerageStocks45[[#This Row],[Fixed Return Average Annual Balance]]*annual_stock_market_return</f>
        <v>3824556.9168419582</v>
      </c>
      <c r="AN94" s="160">
        <f>BrokerageStocks45[[#This Row],[Fixed Return BOY Balance ($)]]+BrokerageStocks45[[#This Row],[Contributions ($)]]+BrokerageStocks45[[#This Row],[Fixed Average Return ($)]]</f>
        <v>51631518.377366439</v>
      </c>
    </row>
    <row r="95" spans="11:40" x14ac:dyDescent="0.25">
      <c r="K95">
        <v>73</v>
      </c>
      <c r="L95">
        <f t="shared" si="12"/>
        <v>2095</v>
      </c>
      <c r="M95" s="198">
        <f>IF(Table53[[#This Row],[Calendar Year]]&gt;=$C$8,Table53[[#This Row],[Calendar Year]],NA())</f>
        <v>2095</v>
      </c>
      <c r="N95" s="198" t="e">
        <f>IF((Table53[[#This Row],[Calendar Year]]&gt;=$C$8)*(Table53[[#This Row],[Calendar Year]]&lt;=$C$10),Table53[[#This Row],[Calendar Year]],NA())</f>
        <v>#N/A</v>
      </c>
      <c r="O95" s="214" t="e">
        <f>IF((Table53[[#This Row],[Year (Range)]]&gt;=$C$8)*(Table53[[#This Row],[Year (Range)]]&lt;=$C$10),BrokerageStocks4546[[#This Row],[Buy: Simulated EOY Investment Balance ($)]],NA())</f>
        <v>#N/A</v>
      </c>
      <c r="P95" s="214" t="e">
        <f>IF((Table53[[#This Row],[Year (Range)]]&gt;=$C$8)*(Table53[[#This Row],[Year (Range)]]&lt;=$C$10),BrokerageStocks45[[#This Row],[Rent: Simulated EOY Investment Balance ($)]],NA())</f>
        <v>#N/A</v>
      </c>
      <c r="Q95" s="214" t="e">
        <f>IF((Table53[[#This Row],[Year (Range)]]&gt;=$C$8)*(Table53[[#This Row],[Year (Range)]]&lt;=$C$10),BrokerageStocks4546[[#This Row],[Buy: Fixed Average Return EOY Investment Balance ($)]],NA())</f>
        <v>#N/A</v>
      </c>
      <c r="R95" s="214" t="e">
        <f>IF((Table53[[#This Row],[Year (Range)]]&gt;=$C$8)*(Table53[[#This Row],[Year (Range)]]&lt;=$C$10),BrokerageStocks45[[#This Row],[Rent: Fixed Average Return EOY Investment Balance ($)]],NA())</f>
        <v>#N/A</v>
      </c>
      <c r="S95" s="224">
        <f t="shared" ca="1" si="11"/>
        <v>0.20462440382071134</v>
      </c>
      <c r="T95" s="222">
        <f t="shared" si="13"/>
        <v>0.08</v>
      </c>
      <c r="V95" s="208">
        <f>'Difference in Expenses'!AF91</f>
        <v>499928.83599433972</v>
      </c>
      <c r="W95" s="164">
        <f t="shared" ca="1" si="14"/>
        <v>48952597.424999855</v>
      </c>
      <c r="X95" s="209">
        <f ca="1">BrokerageStocks4546[[#This Row],[Simulation BOY Balance ($)]]+(BrokerageStocks4546[[#This Row],[Contributions ($)]]/2)</f>
        <v>49202561.842997022</v>
      </c>
      <c r="Y95" s="160">
        <f ca="1">BrokerageStocks4546[[#This Row],[Simulation Average Annual Balance ($)]]*Table53[[#This Row],[Simulated Return (%)]]</f>
        <v>10068044.883574946</v>
      </c>
      <c r="Z95" s="160">
        <f ca="1">BrokerageStocks4546[[#This Row],[Simulation BOY Balance ($)]]+BrokerageStocks4546[[#This Row],[Contributions ($)]]+BrokerageStocks4546[[#This Row],[Simulated Return ($)]]</f>
        <v>59520571.144569144</v>
      </c>
      <c r="AA95" s="160">
        <f t="shared" si="16"/>
        <v>67423837.674319372</v>
      </c>
      <c r="AB95" s="160">
        <f>BrokerageStocks4546[[#This Row],[Fixed Return BOY Balance ($)]]+BrokerageStocks4546[[#This Row],[Contributions ($)]]</f>
        <v>67923766.510313705</v>
      </c>
      <c r="AC95" s="160">
        <f>BrokerageStocks4546[[#This Row],[Fixed Return Average Balance ($)]]*annual_stock_market_return</f>
        <v>5433901.3208250962</v>
      </c>
      <c r="AD95" s="160">
        <f>BrokerageStocks4546[[#This Row],[Fixed Return BOY Balance ($)]]+BrokerageStocks4546[[#This Row],[Contributions ($)]]+BrokerageStocks4546[[#This Row],[Fixed Average Return ($)]]</f>
        <v>73357667.831138805</v>
      </c>
      <c r="AF95" s="208">
        <v>0</v>
      </c>
      <c r="AG95" s="164">
        <f t="shared" ca="1" si="15"/>
        <v>33565087.739152044</v>
      </c>
      <c r="AH95" s="209">
        <f ca="1">BrokerageStocks45[[#This Row],[Simulation BOY Balance ($)]]+(BrokerageStocks45[[#This Row],[Contributions ($)]]/2)</f>
        <v>33565087.739152044</v>
      </c>
      <c r="AI95" s="160">
        <f ca="1">BrokerageStocks45[[#This Row],[Simulation Average Annual Balance ($)]]*Table53[[#This Row],[Simulated Return (%)]]</f>
        <v>6868236.0678138547</v>
      </c>
      <c r="AJ95" s="160">
        <f ca="1">BrokerageStocks45[[#This Row],[Simulation BOY Balance ($)]]+BrokerageStocks45[[#This Row],[Contributions ($)]]+BrokerageStocks45[[#This Row],[Simulated Return ($)]]</f>
        <v>40433323.806965902</v>
      </c>
      <c r="AK95" s="164">
        <f t="shared" si="17"/>
        <v>51631518.377366439</v>
      </c>
      <c r="AL95" s="209">
        <f>BrokerageStocks45[[#This Row],[Fixed Return BOY Balance ($)]]+(BrokerageStocks45[[#This Row],[Contributions ($)]]/2)</f>
        <v>51631518.377366439</v>
      </c>
      <c r="AM95" s="160">
        <f>BrokerageStocks45[[#This Row],[Fixed Return Average Annual Balance]]*annual_stock_market_return</f>
        <v>4130521.4701893153</v>
      </c>
      <c r="AN95" s="160">
        <f>BrokerageStocks45[[#This Row],[Fixed Return BOY Balance ($)]]+BrokerageStocks45[[#This Row],[Contributions ($)]]+BrokerageStocks45[[#This Row],[Fixed Average Return ($)]]</f>
        <v>55762039.847555757</v>
      </c>
    </row>
    <row r="96" spans="11:40" x14ac:dyDescent="0.25">
      <c r="K96">
        <v>74</v>
      </c>
      <c r="L96">
        <f t="shared" si="12"/>
        <v>2096</v>
      </c>
      <c r="M96" s="198">
        <f>IF(Table53[[#This Row],[Calendar Year]]&gt;=$C$8,Table53[[#This Row],[Calendar Year]],NA())</f>
        <v>2096</v>
      </c>
      <c r="N96" s="198" t="e">
        <f>IF((Table53[[#This Row],[Calendar Year]]&gt;=$C$8)*(Table53[[#This Row],[Calendar Year]]&lt;=$C$10),Table53[[#This Row],[Calendar Year]],NA())</f>
        <v>#N/A</v>
      </c>
      <c r="O96" s="214" t="e">
        <f>IF((Table53[[#This Row],[Year (Range)]]&gt;=$C$8)*(Table53[[#This Row],[Year (Range)]]&lt;=$C$10),BrokerageStocks4546[[#This Row],[Buy: Simulated EOY Investment Balance ($)]],NA())</f>
        <v>#N/A</v>
      </c>
      <c r="P96" s="214" t="e">
        <f>IF((Table53[[#This Row],[Year (Range)]]&gt;=$C$8)*(Table53[[#This Row],[Year (Range)]]&lt;=$C$10),BrokerageStocks45[[#This Row],[Rent: Simulated EOY Investment Balance ($)]],NA())</f>
        <v>#N/A</v>
      </c>
      <c r="Q96" s="214" t="e">
        <f>IF((Table53[[#This Row],[Year (Range)]]&gt;=$C$8)*(Table53[[#This Row],[Year (Range)]]&lt;=$C$10),BrokerageStocks4546[[#This Row],[Buy: Fixed Average Return EOY Investment Balance ($)]],NA())</f>
        <v>#N/A</v>
      </c>
      <c r="R96" s="214" t="e">
        <f>IF((Table53[[#This Row],[Year (Range)]]&gt;=$C$8)*(Table53[[#This Row],[Year (Range)]]&lt;=$C$10),BrokerageStocks45[[#This Row],[Rent: Fixed Average Return EOY Investment Balance ($)]],NA())</f>
        <v>#N/A</v>
      </c>
      <c r="S96" s="224">
        <f t="shared" ca="1" si="11"/>
        <v>0.24344364493109111</v>
      </c>
      <c r="T96" s="222">
        <f t="shared" si="13"/>
        <v>0.08</v>
      </c>
      <c r="V96" s="208">
        <f>'Difference in Expenses'!AF92</f>
        <v>521232.44411958288</v>
      </c>
      <c r="W96" s="164">
        <f t="shared" ca="1" si="14"/>
        <v>59520571.144569144</v>
      </c>
      <c r="X96" s="209">
        <f ca="1">BrokerageStocks4546[[#This Row],[Simulation BOY Balance ($)]]+(BrokerageStocks4546[[#This Row],[Contributions ($)]]/2)</f>
        <v>59781187.366628937</v>
      </c>
      <c r="Y96" s="160">
        <f ca="1">BrokerageStocks4546[[#This Row],[Simulation Average Annual Balance ($)]]*Table53[[#This Row],[Simulated Return (%)]]</f>
        <v>14553350.150840644</v>
      </c>
      <c r="Z96" s="160">
        <f ca="1">BrokerageStocks4546[[#This Row],[Simulation BOY Balance ($)]]+BrokerageStocks4546[[#This Row],[Contributions ($)]]+BrokerageStocks4546[[#This Row],[Simulated Return ($)]]</f>
        <v>74595153.739529371</v>
      </c>
      <c r="AA96" s="160">
        <f t="shared" si="16"/>
        <v>73357667.831138805</v>
      </c>
      <c r="AB96" s="160">
        <f>BrokerageStocks4546[[#This Row],[Fixed Return BOY Balance ($)]]+BrokerageStocks4546[[#This Row],[Contributions ($)]]</f>
        <v>73878900.275258392</v>
      </c>
      <c r="AC96" s="160">
        <f>BrokerageStocks4546[[#This Row],[Fixed Return Average Balance ($)]]*annual_stock_market_return</f>
        <v>5910312.0220206715</v>
      </c>
      <c r="AD96" s="160">
        <f>BrokerageStocks4546[[#This Row],[Fixed Return BOY Balance ($)]]+BrokerageStocks4546[[#This Row],[Contributions ($)]]+BrokerageStocks4546[[#This Row],[Fixed Average Return ($)]]</f>
        <v>79789212.29727906</v>
      </c>
      <c r="AF96" s="208">
        <v>0</v>
      </c>
      <c r="AG96" s="164">
        <f t="shared" ca="1" si="15"/>
        <v>40433323.806965902</v>
      </c>
      <c r="AH96" s="209">
        <f ca="1">BrokerageStocks45[[#This Row],[Simulation BOY Balance ($)]]+(BrokerageStocks45[[#This Row],[Contributions ($)]]/2)</f>
        <v>40433323.806965902</v>
      </c>
      <c r="AI96" s="160">
        <f ca="1">BrokerageStocks45[[#This Row],[Simulation Average Annual Balance ($)]]*Table53[[#This Row],[Simulated Return (%)]]</f>
        <v>9843235.7242468409</v>
      </c>
      <c r="AJ96" s="160">
        <f ca="1">BrokerageStocks45[[#This Row],[Simulation BOY Balance ($)]]+BrokerageStocks45[[#This Row],[Contributions ($)]]+BrokerageStocks45[[#This Row],[Simulated Return ($)]]</f>
        <v>50276559.531212747</v>
      </c>
      <c r="AK96" s="164">
        <f t="shared" si="17"/>
        <v>55762039.847555757</v>
      </c>
      <c r="AL96" s="209">
        <f>BrokerageStocks45[[#This Row],[Fixed Return BOY Balance ($)]]+(BrokerageStocks45[[#This Row],[Contributions ($)]]/2)</f>
        <v>55762039.847555757</v>
      </c>
      <c r="AM96" s="160">
        <f>BrokerageStocks45[[#This Row],[Fixed Return Average Annual Balance]]*annual_stock_market_return</f>
        <v>4460963.1878044605</v>
      </c>
      <c r="AN96" s="160">
        <f>BrokerageStocks45[[#This Row],[Fixed Return BOY Balance ($)]]+BrokerageStocks45[[#This Row],[Contributions ($)]]+BrokerageStocks45[[#This Row],[Fixed Average Return ($)]]</f>
        <v>60223003.035360217</v>
      </c>
    </row>
    <row r="97" spans="11:40" x14ac:dyDescent="0.25">
      <c r="K97">
        <v>75</v>
      </c>
      <c r="L97">
        <f t="shared" si="12"/>
        <v>2097</v>
      </c>
      <c r="M97" s="198">
        <f>IF(Table53[[#This Row],[Calendar Year]]&gt;=$C$8,Table53[[#This Row],[Calendar Year]],NA())</f>
        <v>2097</v>
      </c>
      <c r="N97" s="198" t="e">
        <f>IF((Table53[[#This Row],[Calendar Year]]&gt;=$C$8)*(Table53[[#This Row],[Calendar Year]]&lt;=$C$10),Table53[[#This Row],[Calendar Year]],NA())</f>
        <v>#N/A</v>
      </c>
      <c r="O97" s="214" t="e">
        <f>IF((Table53[[#This Row],[Year (Range)]]&gt;=$C$8)*(Table53[[#This Row],[Year (Range)]]&lt;=$C$10),BrokerageStocks4546[[#This Row],[Buy: Simulated EOY Investment Balance ($)]],NA())</f>
        <v>#N/A</v>
      </c>
      <c r="P97" s="214" t="e">
        <f>IF((Table53[[#This Row],[Year (Range)]]&gt;=$C$8)*(Table53[[#This Row],[Year (Range)]]&lt;=$C$10),BrokerageStocks45[[#This Row],[Rent: Simulated EOY Investment Balance ($)]],NA())</f>
        <v>#N/A</v>
      </c>
      <c r="Q97" s="214" t="e">
        <f>IF((Table53[[#This Row],[Year (Range)]]&gt;=$C$8)*(Table53[[#This Row],[Year (Range)]]&lt;=$C$10),BrokerageStocks4546[[#This Row],[Buy: Fixed Average Return EOY Investment Balance ($)]],NA())</f>
        <v>#N/A</v>
      </c>
      <c r="R97" s="214" t="e">
        <f>IF((Table53[[#This Row],[Year (Range)]]&gt;=$C$8)*(Table53[[#This Row],[Year (Range)]]&lt;=$C$10),BrokerageStocks45[[#This Row],[Rent: Fixed Average Return EOY Investment Balance ($)]],NA())</f>
        <v>#N/A</v>
      </c>
      <c r="S97" s="224">
        <f t="shared" ca="1" si="11"/>
        <v>7.0423497248876643E-2</v>
      </c>
      <c r="T97" s="222">
        <f t="shared" si="13"/>
        <v>0.08</v>
      </c>
      <c r="V97" s="208">
        <f>'Difference in Expenses'!AF93</f>
        <v>543427.39021039987</v>
      </c>
      <c r="W97" s="164">
        <f t="shared" ca="1" si="14"/>
        <v>74595153.739529371</v>
      </c>
      <c r="X97" s="209">
        <f ca="1">BrokerageStocks4546[[#This Row],[Simulation BOY Balance ($)]]+(BrokerageStocks4546[[#This Row],[Contributions ($)]]/2)</f>
        <v>74866867.434634566</v>
      </c>
      <c r="Y97" s="160">
        <f ca="1">BrokerageStocks4546[[#This Row],[Simulation Average Annual Balance ($)]]*Table53[[#This Row],[Simulated Return (%)]]</f>
        <v>5272386.6328149997</v>
      </c>
      <c r="Z97" s="160">
        <f ca="1">BrokerageStocks4546[[#This Row],[Simulation BOY Balance ($)]]+BrokerageStocks4546[[#This Row],[Contributions ($)]]+BrokerageStocks4546[[#This Row],[Simulated Return ($)]]</f>
        <v>80410967.76255478</v>
      </c>
      <c r="AA97" s="160">
        <f t="shared" si="16"/>
        <v>79789212.29727906</v>
      </c>
      <c r="AB97" s="160">
        <f>BrokerageStocks4546[[#This Row],[Fixed Return BOY Balance ($)]]+BrokerageStocks4546[[#This Row],[Contributions ($)]]</f>
        <v>80332639.687489465</v>
      </c>
      <c r="AC97" s="160">
        <f>BrokerageStocks4546[[#This Row],[Fixed Return Average Balance ($)]]*annual_stock_market_return</f>
        <v>6426611.174999157</v>
      </c>
      <c r="AD97" s="160">
        <f>BrokerageStocks4546[[#This Row],[Fixed Return BOY Balance ($)]]+BrokerageStocks4546[[#This Row],[Contributions ($)]]+BrokerageStocks4546[[#This Row],[Fixed Average Return ($)]]</f>
        <v>86759250.862488627</v>
      </c>
      <c r="AF97" s="208">
        <v>0</v>
      </c>
      <c r="AG97" s="164">
        <f t="shared" ca="1" si="15"/>
        <v>50276559.531212747</v>
      </c>
      <c r="AH97" s="209">
        <f ca="1">BrokerageStocks45[[#This Row],[Simulation BOY Balance ($)]]+(BrokerageStocks45[[#This Row],[Contributions ($)]]/2)</f>
        <v>50276559.531212747</v>
      </c>
      <c r="AI97" s="160">
        <f ca="1">BrokerageStocks45[[#This Row],[Simulation Average Annual Balance ($)]]*Table53[[#This Row],[Simulated Return (%)]]</f>
        <v>3540651.1518293438</v>
      </c>
      <c r="AJ97" s="160">
        <f ca="1">BrokerageStocks45[[#This Row],[Simulation BOY Balance ($)]]+BrokerageStocks45[[#This Row],[Contributions ($)]]+BrokerageStocks45[[#This Row],[Simulated Return ($)]]</f>
        <v>53817210.683042094</v>
      </c>
      <c r="AK97" s="164">
        <f t="shared" si="17"/>
        <v>60223003.035360217</v>
      </c>
      <c r="AL97" s="209">
        <f>BrokerageStocks45[[#This Row],[Fixed Return BOY Balance ($)]]+(BrokerageStocks45[[#This Row],[Contributions ($)]]/2)</f>
        <v>60223003.035360217</v>
      </c>
      <c r="AM97" s="160">
        <f>BrokerageStocks45[[#This Row],[Fixed Return Average Annual Balance]]*annual_stock_market_return</f>
        <v>4817840.2428288171</v>
      </c>
      <c r="AN97" s="160">
        <f>BrokerageStocks45[[#This Row],[Fixed Return BOY Balance ($)]]+BrokerageStocks45[[#This Row],[Contributions ($)]]+BrokerageStocks45[[#This Row],[Fixed Average Return ($)]]</f>
        <v>65040843.278189033</v>
      </c>
    </row>
    <row r="98" spans="11:40" x14ac:dyDescent="0.25">
      <c r="K98">
        <v>76</v>
      </c>
      <c r="L98">
        <f t="shared" si="12"/>
        <v>2098</v>
      </c>
      <c r="M98" s="198">
        <f>IF(Table53[[#This Row],[Calendar Year]]&gt;=$C$8,Table53[[#This Row],[Calendar Year]],NA())</f>
        <v>2098</v>
      </c>
      <c r="N98" s="198" t="e">
        <f>IF((Table53[[#This Row],[Calendar Year]]&gt;=$C$8)*(Table53[[#This Row],[Calendar Year]]&lt;=$C$10),Table53[[#This Row],[Calendar Year]],NA())</f>
        <v>#N/A</v>
      </c>
      <c r="O98" s="214" t="e">
        <f>IF((Table53[[#This Row],[Year (Range)]]&gt;=$C$8)*(Table53[[#This Row],[Year (Range)]]&lt;=$C$10),BrokerageStocks4546[[#This Row],[Buy: Simulated EOY Investment Balance ($)]],NA())</f>
        <v>#N/A</v>
      </c>
      <c r="P98" s="214" t="e">
        <f>IF((Table53[[#This Row],[Year (Range)]]&gt;=$C$8)*(Table53[[#This Row],[Year (Range)]]&lt;=$C$10),BrokerageStocks45[[#This Row],[Rent: Simulated EOY Investment Balance ($)]],NA())</f>
        <v>#N/A</v>
      </c>
      <c r="Q98" s="214" t="e">
        <f>IF((Table53[[#This Row],[Year (Range)]]&gt;=$C$8)*(Table53[[#This Row],[Year (Range)]]&lt;=$C$10),BrokerageStocks4546[[#This Row],[Buy: Fixed Average Return EOY Investment Balance ($)]],NA())</f>
        <v>#N/A</v>
      </c>
      <c r="R98" s="214" t="e">
        <f>IF((Table53[[#This Row],[Year (Range)]]&gt;=$C$8)*(Table53[[#This Row],[Year (Range)]]&lt;=$C$10),BrokerageStocks45[[#This Row],[Rent: Fixed Average Return EOY Investment Balance ($)]],NA())</f>
        <v>#N/A</v>
      </c>
      <c r="S98" s="224">
        <f t="shared" ca="1" si="11"/>
        <v>4.554837398160249E-2</v>
      </c>
      <c r="T98" s="222">
        <f t="shared" si="13"/>
        <v>0.08</v>
      </c>
      <c r="V98" s="208">
        <f>'Difference in Expenses'!AF94</f>
        <v>566550.50359463063</v>
      </c>
      <c r="W98" s="164">
        <f t="shared" ca="1" si="14"/>
        <v>80410967.76255478</v>
      </c>
      <c r="X98" s="209">
        <f ca="1">BrokerageStocks4546[[#This Row],[Simulation BOY Balance ($)]]+(BrokerageStocks4546[[#This Row],[Contributions ($)]]/2)</f>
        <v>80694243.014352098</v>
      </c>
      <c r="Y98" s="160">
        <f ca="1">BrokerageStocks4546[[#This Row],[Simulation Average Annual Balance ($)]]*Table53[[#This Row],[Simulated Return (%)]]</f>
        <v>3675491.5589800235</v>
      </c>
      <c r="Z98" s="160">
        <f ca="1">BrokerageStocks4546[[#This Row],[Simulation BOY Balance ($)]]+BrokerageStocks4546[[#This Row],[Contributions ($)]]+BrokerageStocks4546[[#This Row],[Simulated Return ($)]]</f>
        <v>84653009.825129434</v>
      </c>
      <c r="AA98" s="160">
        <f t="shared" si="16"/>
        <v>86759250.862488627</v>
      </c>
      <c r="AB98" s="160">
        <f>BrokerageStocks4546[[#This Row],[Fixed Return BOY Balance ($)]]+BrokerageStocks4546[[#This Row],[Contributions ($)]]</f>
        <v>87325801.366083264</v>
      </c>
      <c r="AC98" s="160">
        <f>BrokerageStocks4546[[#This Row],[Fixed Return Average Balance ($)]]*annual_stock_market_return</f>
        <v>6986064.1092866613</v>
      </c>
      <c r="AD98" s="160">
        <f>BrokerageStocks4546[[#This Row],[Fixed Return BOY Balance ($)]]+BrokerageStocks4546[[#This Row],[Contributions ($)]]+BrokerageStocks4546[[#This Row],[Fixed Average Return ($)]]</f>
        <v>94311865.47536993</v>
      </c>
      <c r="AF98" s="208">
        <v>0</v>
      </c>
      <c r="AG98" s="164">
        <f t="shared" ca="1" si="15"/>
        <v>53817210.683042094</v>
      </c>
      <c r="AH98" s="209">
        <f ca="1">BrokerageStocks45[[#This Row],[Simulation BOY Balance ($)]]+(BrokerageStocks45[[#This Row],[Contributions ($)]]/2)</f>
        <v>53817210.683042094</v>
      </c>
      <c r="AI98" s="160">
        <f ca="1">BrokerageStocks45[[#This Row],[Simulation Average Annual Balance ($)]]*Table53[[#This Row],[Simulated Return (%)]]</f>
        <v>2451286.4388378942</v>
      </c>
      <c r="AJ98" s="160">
        <f ca="1">BrokerageStocks45[[#This Row],[Simulation BOY Balance ($)]]+BrokerageStocks45[[#This Row],[Contributions ($)]]+BrokerageStocks45[[#This Row],[Simulated Return ($)]]</f>
        <v>56268497.121879987</v>
      </c>
      <c r="AK98" s="164">
        <f t="shared" si="17"/>
        <v>65040843.278189033</v>
      </c>
      <c r="AL98" s="209">
        <f>BrokerageStocks45[[#This Row],[Fixed Return BOY Balance ($)]]+(BrokerageStocks45[[#This Row],[Contributions ($)]]/2)</f>
        <v>65040843.278189033</v>
      </c>
      <c r="AM98" s="160">
        <f>BrokerageStocks45[[#This Row],[Fixed Return Average Annual Balance]]*annual_stock_market_return</f>
        <v>5203267.4622551231</v>
      </c>
      <c r="AN98" s="160">
        <f>BrokerageStocks45[[#This Row],[Fixed Return BOY Balance ($)]]+BrokerageStocks45[[#This Row],[Contributions ($)]]+BrokerageStocks45[[#This Row],[Fixed Average Return ($)]]</f>
        <v>70244110.740444154</v>
      </c>
    </row>
    <row r="99" spans="11:40" x14ac:dyDescent="0.25">
      <c r="K99">
        <v>77</v>
      </c>
      <c r="L99">
        <f t="shared" si="12"/>
        <v>2099</v>
      </c>
      <c r="M99" s="198">
        <f>IF(Table53[[#This Row],[Calendar Year]]&gt;=$C$8,Table53[[#This Row],[Calendar Year]],NA())</f>
        <v>2099</v>
      </c>
      <c r="N99" s="198" t="e">
        <f>IF((Table53[[#This Row],[Calendar Year]]&gt;=$C$8)*(Table53[[#This Row],[Calendar Year]]&lt;=$C$10),Table53[[#This Row],[Calendar Year]],NA())</f>
        <v>#N/A</v>
      </c>
      <c r="O99" s="214" t="e">
        <f>IF((Table53[[#This Row],[Year (Range)]]&gt;=$C$8)*(Table53[[#This Row],[Year (Range)]]&lt;=$C$10),BrokerageStocks4546[[#This Row],[Buy: Simulated EOY Investment Balance ($)]],NA())</f>
        <v>#N/A</v>
      </c>
      <c r="P99" s="214" t="e">
        <f>IF((Table53[[#This Row],[Year (Range)]]&gt;=$C$8)*(Table53[[#This Row],[Year (Range)]]&lt;=$C$10),BrokerageStocks45[[#This Row],[Rent: Simulated EOY Investment Balance ($)]],NA())</f>
        <v>#N/A</v>
      </c>
      <c r="Q99" s="214" t="e">
        <f>IF((Table53[[#This Row],[Year (Range)]]&gt;=$C$8)*(Table53[[#This Row],[Year (Range)]]&lt;=$C$10),BrokerageStocks4546[[#This Row],[Buy: Fixed Average Return EOY Investment Balance ($)]],NA())</f>
        <v>#N/A</v>
      </c>
      <c r="R99" s="214" t="e">
        <f>IF((Table53[[#This Row],[Year (Range)]]&gt;=$C$8)*(Table53[[#This Row],[Year (Range)]]&lt;=$C$10),BrokerageStocks45[[#This Row],[Rent: Fixed Average Return EOY Investment Balance ($)]],NA())</f>
        <v>#N/A</v>
      </c>
      <c r="S99" s="224">
        <f t="shared" ca="1" si="11"/>
        <v>0.19148324746594608</v>
      </c>
      <c r="T99" s="222">
        <f t="shared" si="13"/>
        <v>0.08</v>
      </c>
      <c r="V99" s="208">
        <f>'Difference in Expenses'!AF95</f>
        <v>590640.12204750511</v>
      </c>
      <c r="W99" s="164">
        <f t="shared" ca="1" si="14"/>
        <v>84653009.825129434</v>
      </c>
      <c r="X99" s="209">
        <f ca="1">BrokerageStocks4546[[#This Row],[Simulation BOY Balance ($)]]+(BrokerageStocks4546[[#This Row],[Contributions ($)]]/2)</f>
        <v>84948329.886153191</v>
      </c>
      <c r="Y99" s="160">
        <f ca="1">BrokerageStocks4546[[#This Row],[Simulation Average Annual Balance ($)]]*Table53[[#This Row],[Simulated Return (%)]]</f>
        <v>16266182.073409095</v>
      </c>
      <c r="Z99" s="160">
        <f ca="1">BrokerageStocks4546[[#This Row],[Simulation BOY Balance ($)]]+BrokerageStocks4546[[#This Row],[Contributions ($)]]+BrokerageStocks4546[[#This Row],[Simulated Return ($)]]</f>
        <v>101509832.02058603</v>
      </c>
      <c r="AA99" s="160">
        <f t="shared" si="16"/>
        <v>94311865.47536993</v>
      </c>
      <c r="AB99" s="160">
        <f>BrokerageStocks4546[[#This Row],[Fixed Return BOY Balance ($)]]+BrokerageStocks4546[[#This Row],[Contributions ($)]]</f>
        <v>94902505.597417429</v>
      </c>
      <c r="AC99" s="160">
        <f>BrokerageStocks4546[[#This Row],[Fixed Return Average Balance ($)]]*annual_stock_market_return</f>
        <v>7592200.4477933943</v>
      </c>
      <c r="AD99" s="160">
        <f>BrokerageStocks4546[[#This Row],[Fixed Return BOY Balance ($)]]+BrokerageStocks4546[[#This Row],[Contributions ($)]]+BrokerageStocks4546[[#This Row],[Fixed Average Return ($)]]</f>
        <v>102494706.04521082</v>
      </c>
      <c r="AF99" s="208">
        <v>0</v>
      </c>
      <c r="AG99" s="164">
        <f t="shared" ca="1" si="15"/>
        <v>56268497.121879987</v>
      </c>
      <c r="AH99" s="209">
        <f ca="1">BrokerageStocks45[[#This Row],[Simulation BOY Balance ($)]]+(BrokerageStocks45[[#This Row],[Contributions ($)]]/2)</f>
        <v>56268497.121879987</v>
      </c>
      <c r="AI99" s="160">
        <f ca="1">BrokerageStocks45[[#This Row],[Simulation Average Annual Balance ($)]]*Table53[[#This Row],[Simulated Return (%)]]</f>
        <v>10774474.558925821</v>
      </c>
      <c r="AJ99" s="160">
        <f ca="1">BrokerageStocks45[[#This Row],[Simulation BOY Balance ($)]]+BrokerageStocks45[[#This Row],[Contributions ($)]]+BrokerageStocks45[[#This Row],[Simulated Return ($)]]</f>
        <v>67042971.68080581</v>
      </c>
      <c r="AK99" s="164">
        <f t="shared" si="17"/>
        <v>70244110.740444154</v>
      </c>
      <c r="AL99" s="209">
        <f>BrokerageStocks45[[#This Row],[Fixed Return BOY Balance ($)]]+(BrokerageStocks45[[#This Row],[Contributions ($)]]/2)</f>
        <v>70244110.740444154</v>
      </c>
      <c r="AM99" s="160">
        <f>BrokerageStocks45[[#This Row],[Fixed Return Average Annual Balance]]*annual_stock_market_return</f>
        <v>5619528.8592355326</v>
      </c>
      <c r="AN99" s="160">
        <f>BrokerageStocks45[[#This Row],[Fixed Return BOY Balance ($)]]+BrokerageStocks45[[#This Row],[Contributions ($)]]+BrokerageStocks45[[#This Row],[Fixed Average Return ($)]]</f>
        <v>75863639.599679679</v>
      </c>
    </row>
    <row r="100" spans="11:40" x14ac:dyDescent="0.25">
      <c r="K100">
        <v>78</v>
      </c>
      <c r="L100">
        <f t="shared" si="12"/>
        <v>2100</v>
      </c>
      <c r="M100" s="198">
        <f>IF(Table53[[#This Row],[Calendar Year]]&gt;=$C$8,Table53[[#This Row],[Calendar Year]],NA())</f>
        <v>2100</v>
      </c>
      <c r="N100" s="198" t="e">
        <f>IF((Table53[[#This Row],[Calendar Year]]&gt;=$C$8)*(Table53[[#This Row],[Calendar Year]]&lt;=$C$10),Table53[[#This Row],[Calendar Year]],NA())</f>
        <v>#N/A</v>
      </c>
      <c r="O100" s="214" t="e">
        <f>IF((Table53[[#This Row],[Year (Range)]]&gt;=$C$8)*(Table53[[#This Row],[Year (Range)]]&lt;=$C$10),BrokerageStocks4546[[#This Row],[Buy: Simulated EOY Investment Balance ($)]],NA())</f>
        <v>#N/A</v>
      </c>
      <c r="P100" s="214" t="e">
        <f>IF((Table53[[#This Row],[Year (Range)]]&gt;=$C$8)*(Table53[[#This Row],[Year (Range)]]&lt;=$C$10),BrokerageStocks45[[#This Row],[Rent: Simulated EOY Investment Balance ($)]],NA())</f>
        <v>#N/A</v>
      </c>
      <c r="Q100" s="214" t="e">
        <f>IF((Table53[[#This Row],[Year (Range)]]&gt;=$C$8)*(Table53[[#This Row],[Year (Range)]]&lt;=$C$10),BrokerageStocks4546[[#This Row],[Buy: Fixed Average Return EOY Investment Balance ($)]],NA())</f>
        <v>#N/A</v>
      </c>
      <c r="R100" s="214" t="e">
        <f>IF((Table53[[#This Row],[Year (Range)]]&gt;=$C$8)*(Table53[[#This Row],[Year (Range)]]&lt;=$C$10),BrokerageStocks45[[#This Row],[Rent: Fixed Average Return EOY Investment Balance ($)]],NA())</f>
        <v>#N/A</v>
      </c>
      <c r="S100" s="224">
        <f t="shared" ca="1" si="11"/>
        <v>1.4222605978832945E-2</v>
      </c>
      <c r="T100" s="222">
        <f t="shared" si="13"/>
        <v>0.08</v>
      </c>
      <c r="V100" s="208">
        <f>'Difference in Expenses'!AF96</f>
        <v>615736.15318776714</v>
      </c>
      <c r="W100" s="164">
        <f t="shared" ca="1" si="14"/>
        <v>101509832.02058603</v>
      </c>
      <c r="X100" s="209">
        <f ca="1">BrokerageStocks4546[[#This Row],[Simulation BOY Balance ($)]]+(BrokerageStocks4546[[#This Row],[Contributions ($)]]/2)</f>
        <v>101817700.09717992</v>
      </c>
      <c r="Y100" s="160">
        <f ca="1">BrokerageStocks4546[[#This Row],[Simulation Average Annual Balance ($)]]*Table53[[#This Row],[Simulated Return (%)]]</f>
        <v>1448113.0301531707</v>
      </c>
      <c r="Z100" s="160">
        <f ca="1">BrokerageStocks4546[[#This Row],[Simulation BOY Balance ($)]]+BrokerageStocks4546[[#This Row],[Contributions ($)]]+BrokerageStocks4546[[#This Row],[Simulated Return ($)]]</f>
        <v>103573681.20392697</v>
      </c>
      <c r="AA100" s="160">
        <f t="shared" si="16"/>
        <v>102494706.04521082</v>
      </c>
      <c r="AB100" s="160">
        <f>BrokerageStocks4546[[#This Row],[Fixed Return BOY Balance ($)]]+BrokerageStocks4546[[#This Row],[Contributions ($)]]</f>
        <v>103110442.19839859</v>
      </c>
      <c r="AC100" s="160">
        <f>BrokerageStocks4546[[#This Row],[Fixed Return Average Balance ($)]]*annual_stock_market_return</f>
        <v>8248835.3758718874</v>
      </c>
      <c r="AD100" s="160">
        <f>BrokerageStocks4546[[#This Row],[Fixed Return BOY Balance ($)]]+BrokerageStocks4546[[#This Row],[Contributions ($)]]+BrokerageStocks4546[[#This Row],[Fixed Average Return ($)]]</f>
        <v>111359277.57427047</v>
      </c>
      <c r="AF100" s="208">
        <v>0</v>
      </c>
      <c r="AG100" s="164">
        <f t="shared" ca="1" si="15"/>
        <v>67042971.68080581</v>
      </c>
      <c r="AH100" s="209">
        <f ca="1">BrokerageStocks45[[#This Row],[Simulation BOY Balance ($)]]+(BrokerageStocks45[[#This Row],[Contributions ($)]]/2)</f>
        <v>67042971.68080581</v>
      </c>
      <c r="AI100" s="160">
        <f ca="1">BrokerageStocks45[[#This Row],[Simulation Average Annual Balance ($)]]*Table53[[#This Row],[Simulated Return (%)]]</f>
        <v>953525.76986615651</v>
      </c>
      <c r="AJ100" s="160">
        <f ca="1">BrokerageStocks45[[#This Row],[Simulation BOY Balance ($)]]+BrokerageStocks45[[#This Row],[Contributions ($)]]+BrokerageStocks45[[#This Row],[Simulated Return ($)]]</f>
        <v>67996497.450671971</v>
      </c>
      <c r="AK100" s="164">
        <f t="shared" si="17"/>
        <v>75863639.599679679</v>
      </c>
      <c r="AL100" s="209">
        <f>BrokerageStocks45[[#This Row],[Fixed Return BOY Balance ($)]]+(BrokerageStocks45[[#This Row],[Contributions ($)]]/2)</f>
        <v>75863639.599679679</v>
      </c>
      <c r="AM100" s="160">
        <f>BrokerageStocks45[[#This Row],[Fixed Return Average Annual Balance]]*annual_stock_market_return</f>
        <v>6069091.1679743743</v>
      </c>
      <c r="AN100" s="160">
        <f>BrokerageStocks45[[#This Row],[Fixed Return BOY Balance ($)]]+BrokerageStocks45[[#This Row],[Contributions ($)]]+BrokerageStocks45[[#This Row],[Fixed Average Return ($)]]</f>
        <v>81932730.767654046</v>
      </c>
    </row>
    <row r="101" spans="11:40" x14ac:dyDescent="0.25">
      <c r="K101">
        <v>79</v>
      </c>
      <c r="L101">
        <f t="shared" si="12"/>
        <v>2101</v>
      </c>
      <c r="M101" s="198">
        <f>IF(Table53[[#This Row],[Calendar Year]]&gt;=$C$8,Table53[[#This Row],[Calendar Year]],NA())</f>
        <v>2101</v>
      </c>
      <c r="N101" s="198" t="e">
        <f>IF((Table53[[#This Row],[Calendar Year]]&gt;=$C$8)*(Table53[[#This Row],[Calendar Year]]&lt;=$C$10),Table53[[#This Row],[Calendar Year]],NA())</f>
        <v>#N/A</v>
      </c>
      <c r="O101" s="214" t="e">
        <f>IF((Table53[[#This Row],[Year (Range)]]&gt;=$C$8)*(Table53[[#This Row],[Year (Range)]]&lt;=$C$10),BrokerageStocks4546[[#This Row],[Buy: Simulated EOY Investment Balance ($)]],NA())</f>
        <v>#N/A</v>
      </c>
      <c r="P101" s="214" t="e">
        <f>IF((Table53[[#This Row],[Year (Range)]]&gt;=$C$8)*(Table53[[#This Row],[Year (Range)]]&lt;=$C$10),BrokerageStocks45[[#This Row],[Rent: Simulated EOY Investment Balance ($)]],NA())</f>
        <v>#N/A</v>
      </c>
      <c r="Q101" s="214" t="e">
        <f>IF((Table53[[#This Row],[Year (Range)]]&gt;=$C$8)*(Table53[[#This Row],[Year (Range)]]&lt;=$C$10),BrokerageStocks4546[[#This Row],[Buy: Fixed Average Return EOY Investment Balance ($)]],NA())</f>
        <v>#N/A</v>
      </c>
      <c r="R101" s="214" t="e">
        <f>IF((Table53[[#This Row],[Year (Range)]]&gt;=$C$8)*(Table53[[#This Row],[Year (Range)]]&lt;=$C$10),BrokerageStocks45[[#This Row],[Rent: Fixed Average Return EOY Investment Balance ($)]],NA())</f>
        <v>#N/A</v>
      </c>
      <c r="S101" s="224">
        <f t="shared" ca="1" si="11"/>
        <v>0.19849686743996625</v>
      </c>
      <c r="T101" s="222">
        <f t="shared" si="13"/>
        <v>0.08</v>
      </c>
      <c r="V101" s="208">
        <f>'Difference in Expenses'!AF97</f>
        <v>641880.13836139045</v>
      </c>
      <c r="W101" s="164">
        <f t="shared" ca="1" si="14"/>
        <v>103573681.20392697</v>
      </c>
      <c r="X101" s="209">
        <f ca="1">BrokerageStocks4546[[#This Row],[Simulation BOY Balance ($)]]+(BrokerageStocks4546[[#This Row],[Contributions ($)]]/2)</f>
        <v>103894621.27310766</v>
      </c>
      <c r="Y101" s="160">
        <f ca="1">BrokerageStocks4546[[#This Row],[Simulation Average Annual Balance ($)]]*Table53[[#This Row],[Simulated Return (%)]]</f>
        <v>20622756.86657355</v>
      </c>
      <c r="Z101" s="160">
        <f ca="1">BrokerageStocks4546[[#This Row],[Simulation BOY Balance ($)]]+BrokerageStocks4546[[#This Row],[Contributions ($)]]+BrokerageStocks4546[[#This Row],[Simulated Return ($)]]</f>
        <v>124838318.20886192</v>
      </c>
      <c r="AA101" s="160">
        <f t="shared" si="16"/>
        <v>111359277.57427047</v>
      </c>
      <c r="AB101" s="160">
        <f>BrokerageStocks4546[[#This Row],[Fixed Return BOY Balance ($)]]+BrokerageStocks4546[[#This Row],[Contributions ($)]]</f>
        <v>112001157.71263187</v>
      </c>
      <c r="AC101" s="160">
        <f>BrokerageStocks4546[[#This Row],[Fixed Return Average Balance ($)]]*annual_stock_market_return</f>
        <v>8960092.6170105487</v>
      </c>
      <c r="AD101" s="160">
        <f>BrokerageStocks4546[[#This Row],[Fixed Return BOY Balance ($)]]+BrokerageStocks4546[[#This Row],[Contributions ($)]]+BrokerageStocks4546[[#This Row],[Fixed Average Return ($)]]</f>
        <v>120961250.32964242</v>
      </c>
      <c r="AF101" s="208">
        <v>0</v>
      </c>
      <c r="AG101" s="164">
        <f t="shared" ca="1" si="15"/>
        <v>67996497.450671971</v>
      </c>
      <c r="AH101" s="209">
        <f ca="1">BrokerageStocks45[[#This Row],[Simulation BOY Balance ($)]]+(BrokerageStocks45[[#This Row],[Contributions ($)]]/2)</f>
        <v>67996497.450671971</v>
      </c>
      <c r="AI101" s="160">
        <f ca="1">BrokerageStocks45[[#This Row],[Simulation Average Annual Balance ($)]]*Table53[[#This Row],[Simulated Return (%)]]</f>
        <v>13497091.740848036</v>
      </c>
      <c r="AJ101" s="160">
        <f ca="1">BrokerageStocks45[[#This Row],[Simulation BOY Balance ($)]]+BrokerageStocks45[[#This Row],[Contributions ($)]]+BrokerageStocks45[[#This Row],[Simulated Return ($)]]</f>
        <v>81493589.191520005</v>
      </c>
      <c r="AK101" s="164">
        <f t="shared" si="17"/>
        <v>81932730.767654046</v>
      </c>
      <c r="AL101" s="209">
        <f>BrokerageStocks45[[#This Row],[Fixed Return BOY Balance ($)]]+(BrokerageStocks45[[#This Row],[Contributions ($)]]/2)</f>
        <v>81932730.767654046</v>
      </c>
      <c r="AM101" s="160">
        <f>BrokerageStocks45[[#This Row],[Fixed Return Average Annual Balance]]*annual_stock_market_return</f>
        <v>6554618.4614123236</v>
      </c>
      <c r="AN101" s="160">
        <f>BrokerageStocks45[[#This Row],[Fixed Return BOY Balance ($)]]+BrokerageStocks45[[#This Row],[Contributions ($)]]+BrokerageStocks45[[#This Row],[Fixed Average Return ($)]]</f>
        <v>88487349.229066372</v>
      </c>
    </row>
    <row r="102" spans="11:40" x14ac:dyDescent="0.25">
      <c r="K102">
        <v>80</v>
      </c>
      <c r="L102">
        <f t="shared" si="12"/>
        <v>2102</v>
      </c>
      <c r="M102" s="198">
        <f>IF(Table53[[#This Row],[Calendar Year]]&gt;=$C$8,Table53[[#This Row],[Calendar Year]],NA())</f>
        <v>2102</v>
      </c>
      <c r="N102" s="198" t="e">
        <f>IF((Table53[[#This Row],[Calendar Year]]&gt;=$C$8)*(Table53[[#This Row],[Calendar Year]]&lt;=$C$10),Table53[[#This Row],[Calendar Year]],NA())</f>
        <v>#N/A</v>
      </c>
      <c r="O102" s="214" t="e">
        <f>IF((Table53[[#This Row],[Year (Range)]]&gt;=$C$8)*(Table53[[#This Row],[Year (Range)]]&lt;=$C$10),BrokerageStocks4546[[#This Row],[Buy: Simulated EOY Investment Balance ($)]],NA())</f>
        <v>#N/A</v>
      </c>
      <c r="P102" s="214" t="e">
        <f>IF((Table53[[#This Row],[Year (Range)]]&gt;=$C$8)*(Table53[[#This Row],[Year (Range)]]&lt;=$C$10),BrokerageStocks45[[#This Row],[Rent: Simulated EOY Investment Balance ($)]],NA())</f>
        <v>#N/A</v>
      </c>
      <c r="Q102" s="214" t="e">
        <f>IF((Table53[[#This Row],[Year (Range)]]&gt;=$C$8)*(Table53[[#This Row],[Year (Range)]]&lt;=$C$10),BrokerageStocks4546[[#This Row],[Buy: Fixed Average Return EOY Investment Balance ($)]],NA())</f>
        <v>#N/A</v>
      </c>
      <c r="R102" s="214" t="e">
        <f>IF((Table53[[#This Row],[Year (Range)]]&gt;=$C$8)*(Table53[[#This Row],[Year (Range)]]&lt;=$C$10),BrokerageStocks45[[#This Row],[Rent: Fixed Average Return EOY Investment Balance ($)]],NA())</f>
        <v>#N/A</v>
      </c>
      <c r="S102" s="224">
        <f t="shared" ca="1" si="11"/>
        <v>0.2525462038497106</v>
      </c>
      <c r="T102" s="222">
        <f t="shared" si="13"/>
        <v>0.08</v>
      </c>
      <c r="V102" s="208">
        <f>'Difference in Expenses'!AF98</f>
        <v>669115.31911334232</v>
      </c>
      <c r="W102" s="164">
        <f t="shared" ca="1" si="14"/>
        <v>124838318.20886192</v>
      </c>
      <c r="X102" s="209">
        <f ca="1">BrokerageStocks4546[[#This Row],[Simulation BOY Balance ($)]]+(BrokerageStocks4546[[#This Row],[Contributions ($)]]/2)</f>
        <v>125172875.86841859</v>
      </c>
      <c r="Y102" s="160">
        <f ca="1">BrokerageStocks4546[[#This Row],[Simulation Average Annual Balance ($)]]*Table53[[#This Row],[Simulated Return (%)]]</f>
        <v>31611934.625520162</v>
      </c>
      <c r="Z102" s="160">
        <f ca="1">BrokerageStocks4546[[#This Row],[Simulation BOY Balance ($)]]+BrokerageStocks4546[[#This Row],[Contributions ($)]]+BrokerageStocks4546[[#This Row],[Simulated Return ($)]]</f>
        <v>157119368.15349543</v>
      </c>
      <c r="AA102" s="160">
        <f t="shared" si="16"/>
        <v>120961250.32964242</v>
      </c>
      <c r="AB102" s="160">
        <f>BrokerageStocks4546[[#This Row],[Fixed Return BOY Balance ($)]]+BrokerageStocks4546[[#This Row],[Contributions ($)]]</f>
        <v>121630365.64875576</v>
      </c>
      <c r="AC102" s="160">
        <f>BrokerageStocks4546[[#This Row],[Fixed Return Average Balance ($)]]*annual_stock_market_return</f>
        <v>9730429.2519004606</v>
      </c>
      <c r="AD102" s="160">
        <f>BrokerageStocks4546[[#This Row],[Fixed Return BOY Balance ($)]]+BrokerageStocks4546[[#This Row],[Contributions ($)]]+BrokerageStocks4546[[#This Row],[Fixed Average Return ($)]]</f>
        <v>131360794.90065622</v>
      </c>
      <c r="AF102" s="208">
        <v>0</v>
      </c>
      <c r="AG102" s="164">
        <f t="shared" ca="1" si="15"/>
        <v>81493589.191520005</v>
      </c>
      <c r="AH102" s="209">
        <f ca="1">BrokerageStocks45[[#This Row],[Simulation BOY Balance ($)]]+(BrokerageStocks45[[#This Row],[Contributions ($)]]/2)</f>
        <v>81493589.191520005</v>
      </c>
      <c r="AI102" s="160">
        <f ca="1">BrokerageStocks45[[#This Row],[Simulation Average Annual Balance ($)]]*Table53[[#This Row],[Simulated Return (%)]]</f>
        <v>20580896.588406183</v>
      </c>
      <c r="AJ102" s="160">
        <f ca="1">BrokerageStocks45[[#This Row],[Simulation BOY Balance ($)]]+BrokerageStocks45[[#This Row],[Contributions ($)]]+BrokerageStocks45[[#This Row],[Simulated Return ($)]]</f>
        <v>102074485.77992618</v>
      </c>
      <c r="AK102" s="164">
        <f t="shared" si="17"/>
        <v>88487349.229066372</v>
      </c>
      <c r="AL102" s="209">
        <f>BrokerageStocks45[[#This Row],[Fixed Return BOY Balance ($)]]+(BrokerageStocks45[[#This Row],[Contributions ($)]]/2)</f>
        <v>88487349.229066372</v>
      </c>
      <c r="AM102" s="160">
        <f>BrokerageStocks45[[#This Row],[Fixed Return Average Annual Balance]]*annual_stock_market_return</f>
        <v>7078987.9383253101</v>
      </c>
      <c r="AN102" s="160">
        <f>BrokerageStocks45[[#This Row],[Fixed Return BOY Balance ($)]]+BrokerageStocks45[[#This Row],[Contributions ($)]]+BrokerageStocks45[[#This Row],[Fixed Average Return ($)]]</f>
        <v>95566337.167391688</v>
      </c>
    </row>
    <row r="103" spans="11:40" x14ac:dyDescent="0.25">
      <c r="K103">
        <v>81</v>
      </c>
      <c r="L103">
        <f t="shared" si="12"/>
        <v>2103</v>
      </c>
      <c r="M103" s="198">
        <f>IF(Table53[[#This Row],[Calendar Year]]&gt;=$C$8,Table53[[#This Row],[Calendar Year]],NA())</f>
        <v>2103</v>
      </c>
      <c r="N103" s="198" t="e">
        <f>IF((Table53[[#This Row],[Calendar Year]]&gt;=$C$8)*(Table53[[#This Row],[Calendar Year]]&lt;=$C$10),Table53[[#This Row],[Calendar Year]],NA())</f>
        <v>#N/A</v>
      </c>
      <c r="O103" s="214" t="e">
        <f>IF((Table53[[#This Row],[Year (Range)]]&gt;=$C$8)*(Table53[[#This Row],[Year (Range)]]&lt;=$C$10),BrokerageStocks4546[[#This Row],[Buy: Simulated EOY Investment Balance ($)]],NA())</f>
        <v>#N/A</v>
      </c>
      <c r="P103" s="214" t="e">
        <f>IF((Table53[[#This Row],[Year (Range)]]&gt;=$C$8)*(Table53[[#This Row],[Year (Range)]]&lt;=$C$10),BrokerageStocks45[[#This Row],[Rent: Simulated EOY Investment Balance ($)]],NA())</f>
        <v>#N/A</v>
      </c>
      <c r="Q103" s="214" t="e">
        <f>IF((Table53[[#This Row],[Year (Range)]]&gt;=$C$8)*(Table53[[#This Row],[Year (Range)]]&lt;=$C$10),BrokerageStocks4546[[#This Row],[Buy: Fixed Average Return EOY Investment Balance ($)]],NA())</f>
        <v>#N/A</v>
      </c>
      <c r="R103" s="214" t="e">
        <f>IF((Table53[[#This Row],[Year (Range)]]&gt;=$C$8)*(Table53[[#This Row],[Year (Range)]]&lt;=$C$10),BrokerageStocks45[[#This Row],[Rent: Fixed Average Return EOY Investment Balance ($)]],NA())</f>
        <v>#N/A</v>
      </c>
      <c r="S103" s="224">
        <f t="shared" ca="1" si="11"/>
        <v>0.3218215652195755</v>
      </c>
      <c r="T103" s="222">
        <f t="shared" si="13"/>
        <v>0.08</v>
      </c>
      <c r="V103" s="208">
        <f>'Difference in Expenses'!AF99</f>
        <v>697486.70635189698</v>
      </c>
      <c r="W103" s="164">
        <f t="shared" ca="1" si="14"/>
        <v>157119368.15349543</v>
      </c>
      <c r="X103" s="209">
        <f ca="1">BrokerageStocks4546[[#This Row],[Simulation BOY Balance ($)]]+(BrokerageStocks4546[[#This Row],[Contributions ($)]]/2)</f>
        <v>157468111.50667137</v>
      </c>
      <c r="Y103" s="160">
        <f ca="1">BrokerageStocks4546[[#This Row],[Simulation Average Annual Balance ($)]]*Table53[[#This Row],[Simulated Return (%)]]</f>
        <v>50676634.117247626</v>
      </c>
      <c r="Z103" s="160">
        <f ca="1">BrokerageStocks4546[[#This Row],[Simulation BOY Balance ($)]]+BrokerageStocks4546[[#This Row],[Contributions ($)]]+BrokerageStocks4546[[#This Row],[Simulated Return ($)]]</f>
        <v>208493488.97709495</v>
      </c>
      <c r="AA103" s="160">
        <f t="shared" si="16"/>
        <v>131360794.90065622</v>
      </c>
      <c r="AB103" s="160">
        <f>BrokerageStocks4546[[#This Row],[Fixed Return BOY Balance ($)]]+BrokerageStocks4546[[#This Row],[Contributions ($)]]</f>
        <v>132058281.60700811</v>
      </c>
      <c r="AC103" s="160">
        <f>BrokerageStocks4546[[#This Row],[Fixed Return Average Balance ($)]]*annual_stock_market_return</f>
        <v>10564662.52856065</v>
      </c>
      <c r="AD103" s="160">
        <f>BrokerageStocks4546[[#This Row],[Fixed Return BOY Balance ($)]]+BrokerageStocks4546[[#This Row],[Contributions ($)]]+BrokerageStocks4546[[#This Row],[Fixed Average Return ($)]]</f>
        <v>142622944.13556877</v>
      </c>
      <c r="AF103" s="208">
        <v>0</v>
      </c>
      <c r="AG103" s="164">
        <f t="shared" ca="1" si="15"/>
        <v>102074485.77992618</v>
      </c>
      <c r="AH103" s="209">
        <f ca="1">BrokerageStocks45[[#This Row],[Simulation BOY Balance ($)]]+(BrokerageStocks45[[#This Row],[Contributions ($)]]/2)</f>
        <v>102074485.77992618</v>
      </c>
      <c r="AI103" s="160">
        <f ca="1">BrokerageStocks45[[#This Row],[Simulation Average Annual Balance ($)]]*Table53[[#This Row],[Simulated Return (%)]]</f>
        <v>32849770.782679144</v>
      </c>
      <c r="AJ103" s="160">
        <f ca="1">BrokerageStocks45[[#This Row],[Simulation BOY Balance ($)]]+BrokerageStocks45[[#This Row],[Contributions ($)]]+BrokerageStocks45[[#This Row],[Simulated Return ($)]]</f>
        <v>134924256.56260532</v>
      </c>
      <c r="AK103" s="164">
        <f t="shared" si="17"/>
        <v>95566337.167391688</v>
      </c>
      <c r="AL103" s="209">
        <f>BrokerageStocks45[[#This Row],[Fixed Return BOY Balance ($)]]+(BrokerageStocks45[[#This Row],[Contributions ($)]]/2)</f>
        <v>95566337.167391688</v>
      </c>
      <c r="AM103" s="160">
        <f>BrokerageStocks45[[#This Row],[Fixed Return Average Annual Balance]]*annual_stock_market_return</f>
        <v>7645306.9733913355</v>
      </c>
      <c r="AN103" s="160">
        <f>BrokerageStocks45[[#This Row],[Fixed Return BOY Balance ($)]]+BrokerageStocks45[[#This Row],[Contributions ($)]]+BrokerageStocks45[[#This Row],[Fixed Average Return ($)]]</f>
        <v>103211644.14078303</v>
      </c>
    </row>
    <row r="104" spans="11:40" x14ac:dyDescent="0.25">
      <c r="K104">
        <v>82</v>
      </c>
      <c r="L104">
        <f t="shared" si="12"/>
        <v>2104</v>
      </c>
      <c r="M104" s="198">
        <f>IF(Table53[[#This Row],[Calendar Year]]&gt;=$C$8,Table53[[#This Row],[Calendar Year]],NA())</f>
        <v>2104</v>
      </c>
      <c r="N104" s="198" t="e">
        <f>IF((Table53[[#This Row],[Calendar Year]]&gt;=$C$8)*(Table53[[#This Row],[Calendar Year]]&lt;=$C$10),Table53[[#This Row],[Calendar Year]],NA())</f>
        <v>#N/A</v>
      </c>
      <c r="O104" s="214" t="e">
        <f>IF((Table53[[#This Row],[Year (Range)]]&gt;=$C$8)*(Table53[[#This Row],[Year (Range)]]&lt;=$C$10),BrokerageStocks4546[[#This Row],[Buy: Simulated EOY Investment Balance ($)]],NA())</f>
        <v>#N/A</v>
      </c>
      <c r="P104" s="214" t="e">
        <f>IF((Table53[[#This Row],[Year (Range)]]&gt;=$C$8)*(Table53[[#This Row],[Year (Range)]]&lt;=$C$10),BrokerageStocks45[[#This Row],[Rent: Simulated EOY Investment Balance ($)]],NA())</f>
        <v>#N/A</v>
      </c>
      <c r="Q104" s="214" t="e">
        <f>IF((Table53[[#This Row],[Year (Range)]]&gt;=$C$8)*(Table53[[#This Row],[Year (Range)]]&lt;=$C$10),BrokerageStocks4546[[#This Row],[Buy: Fixed Average Return EOY Investment Balance ($)]],NA())</f>
        <v>#N/A</v>
      </c>
      <c r="R104" s="214" t="e">
        <f>IF((Table53[[#This Row],[Year (Range)]]&gt;=$C$8)*(Table53[[#This Row],[Year (Range)]]&lt;=$C$10),BrokerageStocks45[[#This Row],[Rent: Fixed Average Return EOY Investment Balance ($)]],NA())</f>
        <v>#N/A</v>
      </c>
      <c r="S104" s="224">
        <f t="shared" ca="1" si="11"/>
        <v>0.24187667157807125</v>
      </c>
      <c r="T104" s="222">
        <f t="shared" si="13"/>
        <v>0.08</v>
      </c>
      <c r="V104" s="208">
        <f>'Difference in Expenses'!AF100</f>
        <v>727041.1523142145</v>
      </c>
      <c r="W104" s="164">
        <f t="shared" ca="1" si="14"/>
        <v>208493488.97709495</v>
      </c>
      <c r="X104" s="209">
        <f ca="1">BrokerageStocks4546[[#This Row],[Simulation BOY Balance ($)]]+(BrokerageStocks4546[[#This Row],[Contributions ($)]]/2)</f>
        <v>208857009.55325204</v>
      </c>
      <c r="Y104" s="160">
        <f ca="1">BrokerageStocks4546[[#This Row],[Simulation Average Annual Balance ($)]]*Table53[[#This Row],[Simulated Return (%)]]</f>
        <v>50517638.306490034</v>
      </c>
      <c r="Z104" s="160">
        <f ca="1">BrokerageStocks4546[[#This Row],[Simulation BOY Balance ($)]]+BrokerageStocks4546[[#This Row],[Contributions ($)]]+BrokerageStocks4546[[#This Row],[Simulated Return ($)]]</f>
        <v>259738168.4358992</v>
      </c>
      <c r="AA104" s="160">
        <f t="shared" si="16"/>
        <v>142622944.13556877</v>
      </c>
      <c r="AB104" s="160">
        <f>BrokerageStocks4546[[#This Row],[Fixed Return BOY Balance ($)]]+BrokerageStocks4546[[#This Row],[Contributions ($)]]</f>
        <v>143349985.28788298</v>
      </c>
      <c r="AC104" s="160">
        <f>BrokerageStocks4546[[#This Row],[Fixed Return Average Balance ($)]]*annual_stock_market_return</f>
        <v>11467998.823030639</v>
      </c>
      <c r="AD104" s="160">
        <f>BrokerageStocks4546[[#This Row],[Fixed Return BOY Balance ($)]]+BrokerageStocks4546[[#This Row],[Contributions ($)]]+BrokerageStocks4546[[#This Row],[Fixed Average Return ($)]]</f>
        <v>154817984.11091363</v>
      </c>
      <c r="AF104" s="208">
        <v>0</v>
      </c>
      <c r="AG104" s="164">
        <f t="shared" ca="1" si="15"/>
        <v>134924256.56260532</v>
      </c>
      <c r="AH104" s="209">
        <f ca="1">BrokerageStocks45[[#This Row],[Simulation BOY Balance ($)]]+(BrokerageStocks45[[#This Row],[Contributions ($)]]/2)</f>
        <v>134924256.56260532</v>
      </c>
      <c r="AI104" s="160">
        <f ca="1">BrokerageStocks45[[#This Row],[Simulation Average Annual Balance ($)]]*Table53[[#This Row],[Simulated Return (%)]]</f>
        <v>32635030.092508711</v>
      </c>
      <c r="AJ104" s="160">
        <f ca="1">BrokerageStocks45[[#This Row],[Simulation BOY Balance ($)]]+BrokerageStocks45[[#This Row],[Contributions ($)]]+BrokerageStocks45[[#This Row],[Simulated Return ($)]]</f>
        <v>167559286.65511402</v>
      </c>
      <c r="AK104" s="164">
        <f t="shared" si="17"/>
        <v>103211644.14078303</v>
      </c>
      <c r="AL104" s="209">
        <f>BrokerageStocks45[[#This Row],[Fixed Return BOY Balance ($)]]+(BrokerageStocks45[[#This Row],[Contributions ($)]]/2)</f>
        <v>103211644.14078303</v>
      </c>
      <c r="AM104" s="160">
        <f>BrokerageStocks45[[#This Row],[Fixed Return Average Annual Balance]]*annual_stock_market_return</f>
        <v>8256931.5312626427</v>
      </c>
      <c r="AN104" s="160">
        <f>BrokerageStocks45[[#This Row],[Fixed Return BOY Balance ($)]]+BrokerageStocks45[[#This Row],[Contributions ($)]]+BrokerageStocks45[[#This Row],[Fixed Average Return ($)]]</f>
        <v>111468575.67204566</v>
      </c>
    </row>
    <row r="105" spans="11:40" x14ac:dyDescent="0.25">
      <c r="K105">
        <v>83</v>
      </c>
      <c r="L105">
        <f t="shared" si="12"/>
        <v>2105</v>
      </c>
      <c r="M105" s="198">
        <f>IF(Table53[[#This Row],[Calendar Year]]&gt;=$C$8,Table53[[#This Row],[Calendar Year]],NA())</f>
        <v>2105</v>
      </c>
      <c r="N105" s="198" t="e">
        <f>IF((Table53[[#This Row],[Calendar Year]]&gt;=$C$8)*(Table53[[#This Row],[Calendar Year]]&lt;=$C$10),Table53[[#This Row],[Calendar Year]],NA())</f>
        <v>#N/A</v>
      </c>
      <c r="O105" s="214" t="e">
        <f>IF((Table53[[#This Row],[Year (Range)]]&gt;=$C$8)*(Table53[[#This Row],[Year (Range)]]&lt;=$C$10),BrokerageStocks4546[[#This Row],[Buy: Simulated EOY Investment Balance ($)]],NA())</f>
        <v>#N/A</v>
      </c>
      <c r="P105" s="214" t="e">
        <f>IF((Table53[[#This Row],[Year (Range)]]&gt;=$C$8)*(Table53[[#This Row],[Year (Range)]]&lt;=$C$10),BrokerageStocks45[[#This Row],[Rent: Simulated EOY Investment Balance ($)]],NA())</f>
        <v>#N/A</v>
      </c>
      <c r="Q105" s="214" t="e">
        <f>IF((Table53[[#This Row],[Year (Range)]]&gt;=$C$8)*(Table53[[#This Row],[Year (Range)]]&lt;=$C$10),BrokerageStocks4546[[#This Row],[Buy: Fixed Average Return EOY Investment Balance ($)]],NA())</f>
        <v>#N/A</v>
      </c>
      <c r="R105" s="214" t="e">
        <f>IF((Table53[[#This Row],[Year (Range)]]&gt;=$C$8)*(Table53[[#This Row],[Year (Range)]]&lt;=$C$10),BrokerageStocks45[[#This Row],[Rent: Fixed Average Return EOY Investment Balance ($)]],NA())</f>
        <v>#N/A</v>
      </c>
      <c r="S105" s="224">
        <f t="shared" ca="1" si="11"/>
        <v>0.19304665303226093</v>
      </c>
      <c r="T105" s="222">
        <f t="shared" si="13"/>
        <v>0.08</v>
      </c>
      <c r="V105" s="208">
        <f>'Difference in Expenses'!AF101</f>
        <v>757827.4254462719</v>
      </c>
      <c r="W105" s="164">
        <f t="shared" ca="1" si="14"/>
        <v>259738168.4358992</v>
      </c>
      <c r="X105" s="209">
        <f ca="1">BrokerageStocks4546[[#This Row],[Simulation BOY Balance ($)]]+(BrokerageStocks4546[[#This Row],[Contributions ($)]]/2)</f>
        <v>260117082.14862233</v>
      </c>
      <c r="Y105" s="160">
        <f ca="1">BrokerageStocks4546[[#This Row],[Simulation Average Annual Balance ($)]]*Table53[[#This Row],[Simulated Return (%)]]</f>
        <v>50214732.105309211</v>
      </c>
      <c r="Z105" s="160">
        <f ca="1">BrokerageStocks4546[[#This Row],[Simulation BOY Balance ($)]]+BrokerageStocks4546[[#This Row],[Contributions ($)]]+BrokerageStocks4546[[#This Row],[Simulated Return ($)]]</f>
        <v>310710727.96665466</v>
      </c>
      <c r="AA105" s="160">
        <f t="shared" si="16"/>
        <v>154817984.11091363</v>
      </c>
      <c r="AB105" s="160">
        <f>BrokerageStocks4546[[#This Row],[Fixed Return BOY Balance ($)]]+BrokerageStocks4546[[#This Row],[Contributions ($)]]</f>
        <v>155575811.53635991</v>
      </c>
      <c r="AC105" s="160">
        <f>BrokerageStocks4546[[#This Row],[Fixed Return Average Balance ($)]]*annual_stock_market_return</f>
        <v>12446064.922908792</v>
      </c>
      <c r="AD105" s="160">
        <f>BrokerageStocks4546[[#This Row],[Fixed Return BOY Balance ($)]]+BrokerageStocks4546[[#This Row],[Contributions ($)]]+BrokerageStocks4546[[#This Row],[Fixed Average Return ($)]]</f>
        <v>168021876.45926869</v>
      </c>
      <c r="AF105" s="208">
        <v>0</v>
      </c>
      <c r="AG105" s="164">
        <f t="shared" ca="1" si="15"/>
        <v>167559286.65511402</v>
      </c>
      <c r="AH105" s="209">
        <f ca="1">BrokerageStocks45[[#This Row],[Simulation BOY Balance ($)]]+(BrokerageStocks45[[#This Row],[Contributions ($)]]/2)</f>
        <v>167559286.65511402</v>
      </c>
      <c r="AI105" s="160">
        <f ca="1">BrokerageStocks45[[#This Row],[Simulation Average Annual Balance ($)]]*Table53[[#This Row],[Simulated Return (%)]]</f>
        <v>32346759.473242946</v>
      </c>
      <c r="AJ105" s="160">
        <f ca="1">BrokerageStocks45[[#This Row],[Simulation BOY Balance ($)]]+BrokerageStocks45[[#This Row],[Contributions ($)]]+BrokerageStocks45[[#This Row],[Simulated Return ($)]]</f>
        <v>199906046.12835696</v>
      </c>
      <c r="AK105" s="164">
        <f t="shared" si="17"/>
        <v>111468575.67204566</v>
      </c>
      <c r="AL105" s="209">
        <f>BrokerageStocks45[[#This Row],[Fixed Return BOY Balance ($)]]+(BrokerageStocks45[[#This Row],[Contributions ($)]]/2)</f>
        <v>111468575.67204566</v>
      </c>
      <c r="AM105" s="160">
        <f>BrokerageStocks45[[#This Row],[Fixed Return Average Annual Balance]]*annual_stock_market_return</f>
        <v>8917486.0537636541</v>
      </c>
      <c r="AN105" s="160">
        <f>BrokerageStocks45[[#This Row],[Fixed Return BOY Balance ($)]]+BrokerageStocks45[[#This Row],[Contributions ($)]]+BrokerageStocks45[[#This Row],[Fixed Average Return ($)]]</f>
        <v>120386061.72580932</v>
      </c>
    </row>
    <row r="106" spans="11:40" x14ac:dyDescent="0.25">
      <c r="K106">
        <v>84</v>
      </c>
      <c r="L106">
        <f t="shared" si="12"/>
        <v>2106</v>
      </c>
      <c r="M106" s="198">
        <f>IF(Table53[[#This Row],[Calendar Year]]&gt;=$C$8,Table53[[#This Row],[Calendar Year]],NA())</f>
        <v>2106</v>
      </c>
      <c r="N106" s="198" t="e">
        <f>IF((Table53[[#This Row],[Calendar Year]]&gt;=$C$8)*(Table53[[#This Row],[Calendar Year]]&lt;=$C$10),Table53[[#This Row],[Calendar Year]],NA())</f>
        <v>#N/A</v>
      </c>
      <c r="O106" s="214" t="e">
        <f>IF((Table53[[#This Row],[Year (Range)]]&gt;=$C$8)*(Table53[[#This Row],[Year (Range)]]&lt;=$C$10),BrokerageStocks4546[[#This Row],[Buy: Simulated EOY Investment Balance ($)]],NA())</f>
        <v>#N/A</v>
      </c>
      <c r="P106" s="214" t="e">
        <f>IF((Table53[[#This Row],[Year (Range)]]&gt;=$C$8)*(Table53[[#This Row],[Year (Range)]]&lt;=$C$10),BrokerageStocks45[[#This Row],[Rent: Simulated EOY Investment Balance ($)]],NA())</f>
        <v>#N/A</v>
      </c>
      <c r="Q106" s="214" t="e">
        <f>IF((Table53[[#This Row],[Year (Range)]]&gt;=$C$8)*(Table53[[#This Row],[Year (Range)]]&lt;=$C$10),BrokerageStocks4546[[#This Row],[Buy: Fixed Average Return EOY Investment Balance ($)]],NA())</f>
        <v>#N/A</v>
      </c>
      <c r="R106" s="214" t="e">
        <f>IF((Table53[[#This Row],[Year (Range)]]&gt;=$C$8)*(Table53[[#This Row],[Year (Range)]]&lt;=$C$10),BrokerageStocks45[[#This Row],[Rent: Fixed Average Return EOY Investment Balance ($)]],NA())</f>
        <v>#N/A</v>
      </c>
      <c r="S106" s="224">
        <f t="shared" ca="1" si="11"/>
        <v>0.22876432415984882</v>
      </c>
      <c r="T106" s="222">
        <f t="shared" si="13"/>
        <v>0.08</v>
      </c>
      <c r="V106" s="208">
        <f>'Difference in Expenses'!AF102</f>
        <v>789896.28831479629</v>
      </c>
      <c r="W106" s="164">
        <f t="shared" ca="1" si="14"/>
        <v>310710727.96665466</v>
      </c>
      <c r="X106" s="209">
        <f ca="1">BrokerageStocks4546[[#This Row],[Simulation BOY Balance ($)]]+(BrokerageStocks4546[[#This Row],[Contributions ($)]]/2)</f>
        <v>311105676.11081207</v>
      </c>
      <c r="Y106" s="160">
        <f ca="1">BrokerageStocks4546[[#This Row],[Simulation Average Annual Balance ($)]]*Table53[[#This Row],[Simulated Return (%)]]</f>
        <v>71169879.737782747</v>
      </c>
      <c r="Z106" s="160">
        <f ca="1">BrokerageStocks4546[[#This Row],[Simulation BOY Balance ($)]]+BrokerageStocks4546[[#This Row],[Contributions ($)]]+BrokerageStocks4546[[#This Row],[Simulated Return ($)]]</f>
        <v>382670503.99275219</v>
      </c>
      <c r="AA106" s="160">
        <f t="shared" si="16"/>
        <v>168021876.45926869</v>
      </c>
      <c r="AB106" s="160">
        <f>BrokerageStocks4546[[#This Row],[Fixed Return BOY Balance ($)]]+BrokerageStocks4546[[#This Row],[Contributions ($)]]</f>
        <v>168811772.74758348</v>
      </c>
      <c r="AC106" s="160">
        <f>BrokerageStocks4546[[#This Row],[Fixed Return Average Balance ($)]]*annual_stock_market_return</f>
        <v>13504941.819806678</v>
      </c>
      <c r="AD106" s="160">
        <f>BrokerageStocks4546[[#This Row],[Fixed Return BOY Balance ($)]]+BrokerageStocks4546[[#This Row],[Contributions ($)]]+BrokerageStocks4546[[#This Row],[Fixed Average Return ($)]]</f>
        <v>182316714.56739014</v>
      </c>
      <c r="AF106" s="208">
        <v>0</v>
      </c>
      <c r="AG106" s="164">
        <f t="shared" ca="1" si="15"/>
        <v>199906046.12835696</v>
      </c>
      <c r="AH106" s="209">
        <f ca="1">BrokerageStocks45[[#This Row],[Simulation BOY Balance ($)]]+(BrokerageStocks45[[#This Row],[Contributions ($)]]/2)</f>
        <v>199906046.12835696</v>
      </c>
      <c r="AI106" s="160">
        <f ca="1">BrokerageStocks45[[#This Row],[Simulation Average Annual Balance ($)]]*Table53[[#This Row],[Simulated Return (%)]]</f>
        <v>45731371.53802114</v>
      </c>
      <c r="AJ106" s="160">
        <f ca="1">BrokerageStocks45[[#This Row],[Simulation BOY Balance ($)]]+BrokerageStocks45[[#This Row],[Contributions ($)]]+BrokerageStocks45[[#This Row],[Simulated Return ($)]]</f>
        <v>245637417.66637811</v>
      </c>
      <c r="AK106" s="164">
        <f t="shared" si="17"/>
        <v>120386061.72580932</v>
      </c>
      <c r="AL106" s="209">
        <f>BrokerageStocks45[[#This Row],[Fixed Return BOY Balance ($)]]+(BrokerageStocks45[[#This Row],[Contributions ($)]]/2)</f>
        <v>120386061.72580932</v>
      </c>
      <c r="AM106" s="160">
        <f>BrokerageStocks45[[#This Row],[Fixed Return Average Annual Balance]]*annual_stock_market_return</f>
        <v>9630884.9380647466</v>
      </c>
      <c r="AN106" s="160">
        <f>BrokerageStocks45[[#This Row],[Fixed Return BOY Balance ($)]]+BrokerageStocks45[[#This Row],[Contributions ($)]]+BrokerageStocks45[[#This Row],[Fixed Average Return ($)]]</f>
        <v>130016946.66387406</v>
      </c>
    </row>
    <row r="107" spans="11:40" x14ac:dyDescent="0.25">
      <c r="K107">
        <v>85</v>
      </c>
      <c r="L107">
        <f t="shared" si="12"/>
        <v>2107</v>
      </c>
      <c r="M107" s="198">
        <f>IF(Table53[[#This Row],[Calendar Year]]&gt;=$C$8,Table53[[#This Row],[Calendar Year]],NA())</f>
        <v>2107</v>
      </c>
      <c r="N107" s="198" t="e">
        <f>IF((Table53[[#This Row],[Calendar Year]]&gt;=$C$8)*(Table53[[#This Row],[Calendar Year]]&lt;=$C$10),Table53[[#This Row],[Calendar Year]],NA())</f>
        <v>#N/A</v>
      </c>
      <c r="O107" s="214" t="e">
        <f>IF((Table53[[#This Row],[Year (Range)]]&gt;=$C$8)*(Table53[[#This Row],[Year (Range)]]&lt;=$C$10),BrokerageStocks4546[[#This Row],[Buy: Simulated EOY Investment Balance ($)]],NA())</f>
        <v>#N/A</v>
      </c>
      <c r="P107" s="214" t="e">
        <f>IF((Table53[[#This Row],[Year (Range)]]&gt;=$C$8)*(Table53[[#This Row],[Year (Range)]]&lt;=$C$10),BrokerageStocks45[[#This Row],[Rent: Simulated EOY Investment Balance ($)]],NA())</f>
        <v>#N/A</v>
      </c>
      <c r="Q107" s="214" t="e">
        <f>IF((Table53[[#This Row],[Year (Range)]]&gt;=$C$8)*(Table53[[#This Row],[Year (Range)]]&lt;=$C$10),BrokerageStocks4546[[#This Row],[Buy: Fixed Average Return EOY Investment Balance ($)]],NA())</f>
        <v>#N/A</v>
      </c>
      <c r="R107" s="214" t="e">
        <f>IF((Table53[[#This Row],[Year (Range)]]&gt;=$C$8)*(Table53[[#This Row],[Year (Range)]]&lt;=$C$10),BrokerageStocks45[[#This Row],[Rent: Fixed Average Return EOY Investment Balance ($)]],NA())</f>
        <v>#N/A</v>
      </c>
      <c r="S107" s="224">
        <f t="shared" ca="1" si="11"/>
        <v>0.27561719053109135</v>
      </c>
      <c r="T107" s="222">
        <f t="shared" si="13"/>
        <v>0.08</v>
      </c>
      <c r="V107" s="208">
        <f>'Difference in Expenses'!AF103</f>
        <v>823300.57867358194</v>
      </c>
      <c r="W107" s="164">
        <f t="shared" ca="1" si="14"/>
        <v>382670503.99275219</v>
      </c>
      <c r="X107" s="209">
        <f ca="1">BrokerageStocks4546[[#This Row],[Simulation BOY Balance ($)]]+(BrokerageStocks4546[[#This Row],[Contributions ($)]]/2)</f>
        <v>383082154.28208899</v>
      </c>
      <c r="Y107" s="160">
        <f ca="1">BrokerageStocks4546[[#This Row],[Simulation Average Annual Balance ($)]]*Table53[[#This Row],[Simulated Return (%)]]</f>
        <v>105584027.10582745</v>
      </c>
      <c r="Z107" s="160">
        <f ca="1">BrokerageStocks4546[[#This Row],[Simulation BOY Balance ($)]]+BrokerageStocks4546[[#This Row],[Contributions ($)]]+BrokerageStocks4546[[#This Row],[Simulated Return ($)]]</f>
        <v>489077831.67725325</v>
      </c>
      <c r="AA107" s="160">
        <f t="shared" si="16"/>
        <v>182316714.56739014</v>
      </c>
      <c r="AB107" s="160">
        <f>BrokerageStocks4546[[#This Row],[Fixed Return BOY Balance ($)]]+BrokerageStocks4546[[#This Row],[Contributions ($)]]</f>
        <v>183140015.14606372</v>
      </c>
      <c r="AC107" s="160">
        <f>BrokerageStocks4546[[#This Row],[Fixed Return Average Balance ($)]]*annual_stock_market_return</f>
        <v>14651201.211685097</v>
      </c>
      <c r="AD107" s="160">
        <f>BrokerageStocks4546[[#This Row],[Fixed Return BOY Balance ($)]]+BrokerageStocks4546[[#This Row],[Contributions ($)]]+BrokerageStocks4546[[#This Row],[Fixed Average Return ($)]]</f>
        <v>197791216.35774881</v>
      </c>
      <c r="AF107" s="208">
        <v>0</v>
      </c>
      <c r="AG107" s="164">
        <f t="shared" ca="1" si="15"/>
        <v>245637417.66637811</v>
      </c>
      <c r="AH107" s="209">
        <f ca="1">BrokerageStocks45[[#This Row],[Simulation BOY Balance ($)]]+(BrokerageStocks45[[#This Row],[Contributions ($)]]/2)</f>
        <v>245637417.66637811</v>
      </c>
      <c r="AI107" s="160">
        <f ca="1">BrokerageStocks45[[#This Row],[Simulation Average Annual Balance ($)]]*Table53[[#This Row],[Simulated Return (%)]]</f>
        <v>67701894.946519405</v>
      </c>
      <c r="AJ107" s="160">
        <f ca="1">BrokerageStocks45[[#This Row],[Simulation BOY Balance ($)]]+BrokerageStocks45[[#This Row],[Contributions ($)]]+BrokerageStocks45[[#This Row],[Simulated Return ($)]]</f>
        <v>313339312.61289752</v>
      </c>
      <c r="AK107" s="164">
        <f t="shared" si="17"/>
        <v>130016946.66387406</v>
      </c>
      <c r="AL107" s="209">
        <f>BrokerageStocks45[[#This Row],[Fixed Return BOY Balance ($)]]+(BrokerageStocks45[[#This Row],[Contributions ($)]]/2)</f>
        <v>130016946.66387406</v>
      </c>
      <c r="AM107" s="160">
        <f>BrokerageStocks45[[#This Row],[Fixed Return Average Annual Balance]]*annual_stock_market_return</f>
        <v>10401355.733109925</v>
      </c>
      <c r="AN107" s="160">
        <f>BrokerageStocks45[[#This Row],[Fixed Return BOY Balance ($)]]+BrokerageStocks45[[#This Row],[Contributions ($)]]+BrokerageStocks45[[#This Row],[Fixed Average Return ($)]]</f>
        <v>140418302.39698398</v>
      </c>
    </row>
    <row r="108" spans="11:40" x14ac:dyDescent="0.25">
      <c r="K108">
        <v>86</v>
      </c>
      <c r="L108">
        <f t="shared" si="12"/>
        <v>2108</v>
      </c>
      <c r="M108" s="198">
        <f>IF(Table53[[#This Row],[Calendar Year]]&gt;=$C$8,Table53[[#This Row],[Calendar Year]],NA())</f>
        <v>2108</v>
      </c>
      <c r="N108" s="198" t="e">
        <f>IF((Table53[[#This Row],[Calendar Year]]&gt;=$C$8)*(Table53[[#This Row],[Calendar Year]]&lt;=$C$10),Table53[[#This Row],[Calendar Year]],NA())</f>
        <v>#N/A</v>
      </c>
      <c r="O108" s="214" t="e">
        <f>IF((Table53[[#This Row],[Year (Range)]]&gt;=$C$8)*(Table53[[#This Row],[Year (Range)]]&lt;=$C$10),BrokerageStocks4546[[#This Row],[Buy: Simulated EOY Investment Balance ($)]],NA())</f>
        <v>#N/A</v>
      </c>
      <c r="P108" s="214" t="e">
        <f>IF((Table53[[#This Row],[Year (Range)]]&gt;=$C$8)*(Table53[[#This Row],[Year (Range)]]&lt;=$C$10),BrokerageStocks45[[#This Row],[Rent: Simulated EOY Investment Balance ($)]],NA())</f>
        <v>#N/A</v>
      </c>
      <c r="Q108" s="214" t="e">
        <f>IF((Table53[[#This Row],[Year (Range)]]&gt;=$C$8)*(Table53[[#This Row],[Year (Range)]]&lt;=$C$10),BrokerageStocks4546[[#This Row],[Buy: Fixed Average Return EOY Investment Balance ($)]],NA())</f>
        <v>#N/A</v>
      </c>
      <c r="R108" s="214" t="e">
        <f>IF((Table53[[#This Row],[Year (Range)]]&gt;=$C$8)*(Table53[[#This Row],[Year (Range)]]&lt;=$C$10),BrokerageStocks45[[#This Row],[Rent: Fixed Average Return EOY Investment Balance ($)]],NA())</f>
        <v>#N/A</v>
      </c>
      <c r="S108" s="224">
        <f t="shared" ca="1" si="11"/>
        <v>-0.20471338307828729</v>
      </c>
      <c r="T108" s="222">
        <f t="shared" si="13"/>
        <v>0.08</v>
      </c>
      <c r="V108" s="208">
        <f>'Difference in Expenses'!AF104</f>
        <v>858095.29381150485</v>
      </c>
      <c r="W108" s="164">
        <f t="shared" ca="1" si="14"/>
        <v>489077831.67725325</v>
      </c>
      <c r="X108" s="209">
        <f ca="1">BrokerageStocks4546[[#This Row],[Simulation BOY Balance ($)]]+(BrokerageStocks4546[[#This Row],[Contributions ($)]]/2)</f>
        <v>489506879.32415903</v>
      </c>
      <c r="Y108" s="160">
        <f ca="1">BrokerageStocks4546[[#This Row],[Simulation Average Annual Balance ($)]]*Table53[[#This Row],[Simulated Return (%)]]</f>
        <v>-100208609.30654351</v>
      </c>
      <c r="Z108" s="160">
        <f ca="1">BrokerageStocks4546[[#This Row],[Simulation BOY Balance ($)]]+BrokerageStocks4546[[#This Row],[Contributions ($)]]+BrokerageStocks4546[[#This Row],[Simulated Return ($)]]</f>
        <v>389727317.66452122</v>
      </c>
      <c r="AA108" s="160">
        <f t="shared" si="16"/>
        <v>197791216.35774881</v>
      </c>
      <c r="AB108" s="160">
        <f>BrokerageStocks4546[[#This Row],[Fixed Return BOY Balance ($)]]+BrokerageStocks4546[[#This Row],[Contributions ($)]]</f>
        <v>198649311.65156031</v>
      </c>
      <c r="AC108" s="160">
        <f>BrokerageStocks4546[[#This Row],[Fixed Return Average Balance ($)]]*annual_stock_market_return</f>
        <v>15891944.932124825</v>
      </c>
      <c r="AD108" s="160">
        <f>BrokerageStocks4546[[#This Row],[Fixed Return BOY Balance ($)]]+BrokerageStocks4546[[#This Row],[Contributions ($)]]+BrokerageStocks4546[[#This Row],[Fixed Average Return ($)]]</f>
        <v>214541256.58368513</v>
      </c>
      <c r="AF108" s="208">
        <v>0</v>
      </c>
      <c r="AG108" s="164">
        <f t="shared" ca="1" si="15"/>
        <v>313339312.61289752</v>
      </c>
      <c r="AH108" s="209">
        <f ca="1">BrokerageStocks45[[#This Row],[Simulation BOY Balance ($)]]+(BrokerageStocks45[[#This Row],[Contributions ($)]]/2)</f>
        <v>313339312.61289752</v>
      </c>
      <c r="AI108" s="160">
        <f ca="1">BrokerageStocks45[[#This Row],[Simulation Average Annual Balance ($)]]*Table53[[#This Row],[Simulated Return (%)]]</f>
        <v>-64144750.736411303</v>
      </c>
      <c r="AJ108" s="160">
        <f ca="1">BrokerageStocks45[[#This Row],[Simulation BOY Balance ($)]]+BrokerageStocks45[[#This Row],[Contributions ($)]]+BrokerageStocks45[[#This Row],[Simulated Return ($)]]</f>
        <v>249194561.87648621</v>
      </c>
      <c r="AK108" s="164">
        <f t="shared" si="17"/>
        <v>140418302.39698398</v>
      </c>
      <c r="AL108" s="209">
        <f>BrokerageStocks45[[#This Row],[Fixed Return BOY Balance ($)]]+(BrokerageStocks45[[#This Row],[Contributions ($)]]/2)</f>
        <v>140418302.39698398</v>
      </c>
      <c r="AM108" s="160">
        <f>BrokerageStocks45[[#This Row],[Fixed Return Average Annual Balance]]*annual_stock_market_return</f>
        <v>11233464.191758718</v>
      </c>
      <c r="AN108" s="160">
        <f>BrokerageStocks45[[#This Row],[Fixed Return BOY Balance ($)]]+BrokerageStocks45[[#This Row],[Contributions ($)]]+BrokerageStocks45[[#This Row],[Fixed Average Return ($)]]</f>
        <v>151651766.5887427</v>
      </c>
    </row>
    <row r="109" spans="11:40" x14ac:dyDescent="0.25">
      <c r="K109">
        <v>87</v>
      </c>
      <c r="L109">
        <f t="shared" si="12"/>
        <v>2109</v>
      </c>
      <c r="M109" s="198">
        <f>IF(Table53[[#This Row],[Calendar Year]]&gt;=$C$8,Table53[[#This Row],[Calendar Year]],NA())</f>
        <v>2109</v>
      </c>
      <c r="N109" s="198" t="e">
        <f>IF((Table53[[#This Row],[Calendar Year]]&gt;=$C$8)*(Table53[[#This Row],[Calendar Year]]&lt;=$C$10),Table53[[#This Row],[Calendar Year]],NA())</f>
        <v>#N/A</v>
      </c>
      <c r="O109" s="214" t="e">
        <f>IF((Table53[[#This Row],[Year (Range)]]&gt;=$C$8)*(Table53[[#This Row],[Year (Range)]]&lt;=$C$10),BrokerageStocks4546[[#This Row],[Buy: Simulated EOY Investment Balance ($)]],NA())</f>
        <v>#N/A</v>
      </c>
      <c r="P109" s="214" t="e">
        <f>IF((Table53[[#This Row],[Year (Range)]]&gt;=$C$8)*(Table53[[#This Row],[Year (Range)]]&lt;=$C$10),BrokerageStocks45[[#This Row],[Rent: Simulated EOY Investment Balance ($)]],NA())</f>
        <v>#N/A</v>
      </c>
      <c r="Q109" s="214" t="e">
        <f>IF((Table53[[#This Row],[Year (Range)]]&gt;=$C$8)*(Table53[[#This Row],[Year (Range)]]&lt;=$C$10),BrokerageStocks4546[[#This Row],[Buy: Fixed Average Return EOY Investment Balance ($)]],NA())</f>
        <v>#N/A</v>
      </c>
      <c r="R109" s="214" t="e">
        <f>IF((Table53[[#This Row],[Year (Range)]]&gt;=$C$8)*(Table53[[#This Row],[Year (Range)]]&lt;=$C$10),BrokerageStocks45[[#This Row],[Rent: Fixed Average Return EOY Investment Balance ($)]],NA())</f>
        <v>#N/A</v>
      </c>
      <c r="S109" s="224">
        <f t="shared" ca="1" si="11"/>
        <v>1.6992072300940186E-2</v>
      </c>
      <c r="T109" s="222">
        <f t="shared" si="13"/>
        <v>0.08</v>
      </c>
      <c r="V109" s="208">
        <f>'Difference in Expenses'!AF105</f>
        <v>894337.67831467395</v>
      </c>
      <c r="W109" s="164">
        <f t="shared" ca="1" si="14"/>
        <v>389727317.66452122</v>
      </c>
      <c r="X109" s="209">
        <f ca="1">BrokerageStocks4546[[#This Row],[Simulation BOY Balance ($)]]+(BrokerageStocks4546[[#This Row],[Contributions ($)]]/2)</f>
        <v>390174486.50367856</v>
      </c>
      <c r="Y109" s="160">
        <f ca="1">BrokerageStocks4546[[#This Row],[Simulation Average Annual Balance ($)]]*Table53[[#This Row],[Simulated Return (%)]]</f>
        <v>6629873.0846527172</v>
      </c>
      <c r="Z109" s="160">
        <f ca="1">BrokerageStocks4546[[#This Row],[Simulation BOY Balance ($)]]+BrokerageStocks4546[[#This Row],[Contributions ($)]]+BrokerageStocks4546[[#This Row],[Simulated Return ($)]]</f>
        <v>397251528.42748863</v>
      </c>
      <c r="AA109" s="160">
        <f t="shared" si="16"/>
        <v>214541256.58368513</v>
      </c>
      <c r="AB109" s="160">
        <f>BrokerageStocks4546[[#This Row],[Fixed Return BOY Balance ($)]]+BrokerageStocks4546[[#This Row],[Contributions ($)]]</f>
        <v>215435594.26199982</v>
      </c>
      <c r="AC109" s="160">
        <f>BrokerageStocks4546[[#This Row],[Fixed Return Average Balance ($)]]*annual_stock_market_return</f>
        <v>17234847.540959984</v>
      </c>
      <c r="AD109" s="160">
        <f>BrokerageStocks4546[[#This Row],[Fixed Return BOY Balance ($)]]+BrokerageStocks4546[[#This Row],[Contributions ($)]]+BrokerageStocks4546[[#This Row],[Fixed Average Return ($)]]</f>
        <v>232670441.8029598</v>
      </c>
      <c r="AF109" s="208">
        <v>0</v>
      </c>
      <c r="AG109" s="164">
        <f t="shared" ca="1" si="15"/>
        <v>249194561.87648621</v>
      </c>
      <c r="AH109" s="209">
        <f ca="1">BrokerageStocks45[[#This Row],[Simulation BOY Balance ($)]]+(BrokerageStocks45[[#This Row],[Contributions ($)]]/2)</f>
        <v>249194561.87648621</v>
      </c>
      <c r="AI109" s="160">
        <f ca="1">BrokerageStocks45[[#This Row],[Simulation Average Annual Balance ($)]]*Table53[[#This Row],[Simulated Return (%)]]</f>
        <v>4234332.0124063669</v>
      </c>
      <c r="AJ109" s="160">
        <f ca="1">BrokerageStocks45[[#This Row],[Simulation BOY Balance ($)]]+BrokerageStocks45[[#This Row],[Contributions ($)]]+BrokerageStocks45[[#This Row],[Simulated Return ($)]]</f>
        <v>253428893.88889259</v>
      </c>
      <c r="AK109" s="164">
        <f t="shared" si="17"/>
        <v>151651766.5887427</v>
      </c>
      <c r="AL109" s="209">
        <f>BrokerageStocks45[[#This Row],[Fixed Return BOY Balance ($)]]+(BrokerageStocks45[[#This Row],[Contributions ($)]]/2)</f>
        <v>151651766.5887427</v>
      </c>
      <c r="AM109" s="160">
        <f>BrokerageStocks45[[#This Row],[Fixed Return Average Annual Balance]]*annual_stock_market_return</f>
        <v>12132141.327099416</v>
      </c>
      <c r="AN109" s="160">
        <f>BrokerageStocks45[[#This Row],[Fixed Return BOY Balance ($)]]+BrokerageStocks45[[#This Row],[Contributions ($)]]+BrokerageStocks45[[#This Row],[Fixed Average Return ($)]]</f>
        <v>163783907.91584212</v>
      </c>
    </row>
    <row r="110" spans="11:40" x14ac:dyDescent="0.25">
      <c r="K110">
        <v>88</v>
      </c>
      <c r="L110">
        <f t="shared" si="12"/>
        <v>2110</v>
      </c>
      <c r="M110" s="198">
        <f>IF(Table53[[#This Row],[Calendar Year]]&gt;=$C$8,Table53[[#This Row],[Calendar Year]],NA())</f>
        <v>2110</v>
      </c>
      <c r="N110" s="198" t="e">
        <f>IF((Table53[[#This Row],[Calendar Year]]&gt;=$C$8)*(Table53[[#This Row],[Calendar Year]]&lt;=$C$10),Table53[[#This Row],[Calendar Year]],NA())</f>
        <v>#N/A</v>
      </c>
      <c r="O110" s="214" t="e">
        <f>IF((Table53[[#This Row],[Year (Range)]]&gt;=$C$8)*(Table53[[#This Row],[Year (Range)]]&lt;=$C$10),BrokerageStocks4546[[#This Row],[Buy: Simulated EOY Investment Balance ($)]],NA())</f>
        <v>#N/A</v>
      </c>
      <c r="P110" s="214" t="e">
        <f>IF((Table53[[#This Row],[Year (Range)]]&gt;=$C$8)*(Table53[[#This Row],[Year (Range)]]&lt;=$C$10),BrokerageStocks45[[#This Row],[Rent: Simulated EOY Investment Balance ($)]],NA())</f>
        <v>#N/A</v>
      </c>
      <c r="Q110" s="214" t="e">
        <f>IF((Table53[[#This Row],[Year (Range)]]&gt;=$C$8)*(Table53[[#This Row],[Year (Range)]]&lt;=$C$10),BrokerageStocks4546[[#This Row],[Buy: Fixed Average Return EOY Investment Balance ($)]],NA())</f>
        <v>#N/A</v>
      </c>
      <c r="R110" s="214" t="e">
        <f>IF((Table53[[#This Row],[Year (Range)]]&gt;=$C$8)*(Table53[[#This Row],[Year (Range)]]&lt;=$C$10),BrokerageStocks45[[#This Row],[Rent: Fixed Average Return EOY Investment Balance ($)]],NA())</f>
        <v>#N/A</v>
      </c>
      <c r="S110" s="224">
        <f t="shared" ca="1" si="11"/>
        <v>3.5460808387116793E-2</v>
      </c>
      <c r="T110" s="222">
        <f t="shared" si="13"/>
        <v>0.08</v>
      </c>
      <c r="V110" s="208">
        <f>'Difference in Expenses'!AF106</f>
        <v>932087.31538049108</v>
      </c>
      <c r="W110" s="164">
        <f t="shared" ca="1" si="14"/>
        <v>397251528.42748863</v>
      </c>
      <c r="X110" s="209">
        <f ca="1">BrokerageStocks4546[[#This Row],[Simulation BOY Balance ($)]]+(BrokerageStocks4546[[#This Row],[Contributions ($)]]/2)</f>
        <v>397717572.08517885</v>
      </c>
      <c r="Y110" s="160">
        <f ca="1">BrokerageStocks4546[[#This Row],[Simulation Average Annual Balance ($)]]*Table53[[#This Row],[Simulated Return (%)]]</f>
        <v>14103386.615901839</v>
      </c>
      <c r="Z110" s="160">
        <f ca="1">BrokerageStocks4546[[#This Row],[Simulation BOY Balance ($)]]+BrokerageStocks4546[[#This Row],[Contributions ($)]]+BrokerageStocks4546[[#This Row],[Simulated Return ($)]]</f>
        <v>412287002.35877097</v>
      </c>
      <c r="AA110" s="160">
        <f t="shared" si="16"/>
        <v>232670441.8029598</v>
      </c>
      <c r="AB110" s="160">
        <f>BrokerageStocks4546[[#This Row],[Fixed Return BOY Balance ($)]]+BrokerageStocks4546[[#This Row],[Contributions ($)]]</f>
        <v>233602529.11834028</v>
      </c>
      <c r="AC110" s="160">
        <f>BrokerageStocks4546[[#This Row],[Fixed Return Average Balance ($)]]*annual_stock_market_return</f>
        <v>18688202.329467222</v>
      </c>
      <c r="AD110" s="160">
        <f>BrokerageStocks4546[[#This Row],[Fixed Return BOY Balance ($)]]+BrokerageStocks4546[[#This Row],[Contributions ($)]]+BrokerageStocks4546[[#This Row],[Fixed Average Return ($)]]</f>
        <v>252290731.44780749</v>
      </c>
      <c r="AF110" s="208">
        <v>0</v>
      </c>
      <c r="AG110" s="164">
        <f t="shared" ca="1" si="15"/>
        <v>253428893.88889259</v>
      </c>
      <c r="AH110" s="209">
        <f ca="1">BrokerageStocks45[[#This Row],[Simulation BOY Balance ($)]]+(BrokerageStocks45[[#This Row],[Contributions ($)]]/2)</f>
        <v>253428893.88889259</v>
      </c>
      <c r="AI110" s="160">
        <f ca="1">BrokerageStocks45[[#This Row],[Simulation Average Annual Balance ($)]]*Table53[[#This Row],[Simulated Return (%)]]</f>
        <v>8986793.4459529743</v>
      </c>
      <c r="AJ110" s="160">
        <f ca="1">BrokerageStocks45[[#This Row],[Simulation BOY Balance ($)]]+BrokerageStocks45[[#This Row],[Contributions ($)]]+BrokerageStocks45[[#This Row],[Simulated Return ($)]]</f>
        <v>262415687.33484557</v>
      </c>
      <c r="AK110" s="164">
        <f t="shared" si="17"/>
        <v>163783907.91584212</v>
      </c>
      <c r="AL110" s="209">
        <f>BrokerageStocks45[[#This Row],[Fixed Return BOY Balance ($)]]+(BrokerageStocks45[[#This Row],[Contributions ($)]]/2)</f>
        <v>163783907.91584212</v>
      </c>
      <c r="AM110" s="160">
        <f>BrokerageStocks45[[#This Row],[Fixed Return Average Annual Balance]]*annual_stock_market_return</f>
        <v>13102712.633267369</v>
      </c>
      <c r="AN110" s="160">
        <f>BrokerageStocks45[[#This Row],[Fixed Return BOY Balance ($)]]+BrokerageStocks45[[#This Row],[Contributions ($)]]+BrokerageStocks45[[#This Row],[Fixed Average Return ($)]]</f>
        <v>176886620.54910949</v>
      </c>
    </row>
    <row r="111" spans="11:40" x14ac:dyDescent="0.25">
      <c r="K111">
        <v>89</v>
      </c>
      <c r="L111">
        <f t="shared" si="12"/>
        <v>2111</v>
      </c>
      <c r="M111" s="198">
        <f>IF(Table53[[#This Row],[Calendar Year]]&gt;=$C$8,Table53[[#This Row],[Calendar Year]],NA())</f>
        <v>2111</v>
      </c>
      <c r="N111" s="198" t="e">
        <f>IF((Table53[[#This Row],[Calendar Year]]&gt;=$C$8)*(Table53[[#This Row],[Calendar Year]]&lt;=$C$10),Table53[[#This Row],[Calendar Year]],NA())</f>
        <v>#N/A</v>
      </c>
      <c r="O111" s="214" t="e">
        <f>IF((Table53[[#This Row],[Year (Range)]]&gt;=$C$8)*(Table53[[#This Row],[Year (Range)]]&lt;=$C$10),BrokerageStocks4546[[#This Row],[Buy: Simulated EOY Investment Balance ($)]],NA())</f>
        <v>#N/A</v>
      </c>
      <c r="P111" s="214" t="e">
        <f>IF((Table53[[#This Row],[Year (Range)]]&gt;=$C$8)*(Table53[[#This Row],[Year (Range)]]&lt;=$C$10),BrokerageStocks45[[#This Row],[Rent: Simulated EOY Investment Balance ($)]],NA())</f>
        <v>#N/A</v>
      </c>
      <c r="Q111" s="214" t="e">
        <f>IF((Table53[[#This Row],[Year (Range)]]&gt;=$C$8)*(Table53[[#This Row],[Year (Range)]]&lt;=$C$10),BrokerageStocks4546[[#This Row],[Buy: Fixed Average Return EOY Investment Balance ($)]],NA())</f>
        <v>#N/A</v>
      </c>
      <c r="R111" s="214" t="e">
        <f>IF((Table53[[#This Row],[Year (Range)]]&gt;=$C$8)*(Table53[[#This Row],[Year (Range)]]&lt;=$C$10),BrokerageStocks45[[#This Row],[Rent: Fixed Average Return EOY Investment Balance ($)]],NA())</f>
        <v>#N/A</v>
      </c>
      <c r="S111" s="224">
        <f t="shared" ca="1" si="11"/>
        <v>0.31980687002137886</v>
      </c>
      <c r="T111" s="222">
        <f t="shared" si="13"/>
        <v>0.08</v>
      </c>
      <c r="V111" s="208">
        <f>'Difference in Expenses'!AF107</f>
        <v>971406.22182693798</v>
      </c>
      <c r="W111" s="164">
        <f t="shared" ca="1" si="14"/>
        <v>412287002.35877097</v>
      </c>
      <c r="X111" s="209">
        <f ca="1">BrokerageStocks4546[[#This Row],[Simulation BOY Balance ($)]]+(BrokerageStocks4546[[#This Row],[Contributions ($)]]/2)</f>
        <v>412772705.46968442</v>
      </c>
      <c r="Y111" s="160">
        <f ca="1">BrokerageStocks4546[[#This Row],[Simulation Average Annual Balance ($)]]*Table53[[#This Row],[Simulated Return (%)]]</f>
        <v>132007546.96651627</v>
      </c>
      <c r="Z111" s="160">
        <f ca="1">BrokerageStocks4546[[#This Row],[Simulation BOY Balance ($)]]+BrokerageStocks4546[[#This Row],[Contributions ($)]]+BrokerageStocks4546[[#This Row],[Simulated Return ($)]]</f>
        <v>545265955.54711413</v>
      </c>
      <c r="AA111" s="160">
        <f t="shared" si="16"/>
        <v>252290731.44780749</v>
      </c>
      <c r="AB111" s="160">
        <f>BrokerageStocks4546[[#This Row],[Fixed Return BOY Balance ($)]]+BrokerageStocks4546[[#This Row],[Contributions ($)]]</f>
        <v>253262137.66963443</v>
      </c>
      <c r="AC111" s="160">
        <f>BrokerageStocks4546[[#This Row],[Fixed Return Average Balance ($)]]*annual_stock_market_return</f>
        <v>20260971.013570756</v>
      </c>
      <c r="AD111" s="160">
        <f>BrokerageStocks4546[[#This Row],[Fixed Return BOY Balance ($)]]+BrokerageStocks4546[[#This Row],[Contributions ($)]]+BrokerageStocks4546[[#This Row],[Fixed Average Return ($)]]</f>
        <v>273523108.68320519</v>
      </c>
      <c r="AF111" s="208">
        <v>0</v>
      </c>
      <c r="AG111" s="164">
        <f t="shared" ca="1" si="15"/>
        <v>262415687.33484557</v>
      </c>
      <c r="AH111" s="209">
        <f ca="1">BrokerageStocks45[[#This Row],[Simulation BOY Balance ($)]]+(BrokerageStocks45[[#This Row],[Contributions ($)]]/2)</f>
        <v>262415687.33484557</v>
      </c>
      <c r="AI111" s="160">
        <f ca="1">BrokerageStocks45[[#This Row],[Simulation Average Annual Balance ($)]]*Table53[[#This Row],[Simulated Return (%)]]</f>
        <v>83922339.61106576</v>
      </c>
      <c r="AJ111" s="160">
        <f ca="1">BrokerageStocks45[[#This Row],[Simulation BOY Balance ($)]]+BrokerageStocks45[[#This Row],[Contributions ($)]]+BrokerageStocks45[[#This Row],[Simulated Return ($)]]</f>
        <v>346338026.94591135</v>
      </c>
      <c r="AK111" s="164">
        <f t="shared" si="17"/>
        <v>176886620.54910949</v>
      </c>
      <c r="AL111" s="209">
        <f>BrokerageStocks45[[#This Row],[Fixed Return BOY Balance ($)]]+(BrokerageStocks45[[#This Row],[Contributions ($)]]/2)</f>
        <v>176886620.54910949</v>
      </c>
      <c r="AM111" s="160">
        <f>BrokerageStocks45[[#This Row],[Fixed Return Average Annual Balance]]*annual_stock_market_return</f>
        <v>14150929.643928759</v>
      </c>
      <c r="AN111" s="160">
        <f>BrokerageStocks45[[#This Row],[Fixed Return BOY Balance ($)]]+BrokerageStocks45[[#This Row],[Contributions ($)]]+BrokerageStocks45[[#This Row],[Fixed Average Return ($)]]</f>
        <v>191037550.19303825</v>
      </c>
    </row>
    <row r="112" spans="11:40" x14ac:dyDescent="0.25">
      <c r="K112">
        <v>90</v>
      </c>
      <c r="L112">
        <f t="shared" si="12"/>
        <v>2112</v>
      </c>
      <c r="M112" s="198">
        <f>IF(Table53[[#This Row],[Calendar Year]]&gt;=$C$8,Table53[[#This Row],[Calendar Year]],NA())</f>
        <v>2112</v>
      </c>
      <c r="N112" s="198" t="e">
        <f>IF((Table53[[#This Row],[Calendar Year]]&gt;=$C$8)*(Table53[[#This Row],[Calendar Year]]&lt;=$C$10),Table53[[#This Row],[Calendar Year]],NA())</f>
        <v>#N/A</v>
      </c>
      <c r="O112" s="214" t="e">
        <f>IF((Table53[[#This Row],[Year (Range)]]&gt;=$C$8)*(Table53[[#This Row],[Year (Range)]]&lt;=$C$10),BrokerageStocks4546[[#This Row],[Buy: Simulated EOY Investment Balance ($)]],NA())</f>
        <v>#N/A</v>
      </c>
      <c r="P112" s="214" t="e">
        <f>IF((Table53[[#This Row],[Year (Range)]]&gt;=$C$8)*(Table53[[#This Row],[Year (Range)]]&lt;=$C$10),BrokerageStocks45[[#This Row],[Rent: Simulated EOY Investment Balance ($)]],NA())</f>
        <v>#N/A</v>
      </c>
      <c r="Q112" s="214" t="e">
        <f>IF((Table53[[#This Row],[Year (Range)]]&gt;=$C$8)*(Table53[[#This Row],[Year (Range)]]&lt;=$C$10),BrokerageStocks4546[[#This Row],[Buy: Fixed Average Return EOY Investment Balance ($)]],NA())</f>
        <v>#N/A</v>
      </c>
      <c r="R112" s="214" t="e">
        <f>IF((Table53[[#This Row],[Year (Range)]]&gt;=$C$8)*(Table53[[#This Row],[Year (Range)]]&lt;=$C$10),BrokerageStocks45[[#This Row],[Rent: Fixed Average Return EOY Investment Balance ($)]],NA())</f>
        <v>#N/A</v>
      </c>
      <c r="S112" s="224">
        <f t="shared" ca="1" si="11"/>
        <v>-1.6968849111195519E-2</v>
      </c>
      <c r="T112" s="222">
        <f t="shared" si="13"/>
        <v>0.08</v>
      </c>
      <c r="V112" s="208">
        <f>'Difference in Expenses'!AF108</f>
        <v>1012358.9469461794</v>
      </c>
      <c r="W112" s="164">
        <f t="shared" ca="1" si="14"/>
        <v>545265955.54711413</v>
      </c>
      <c r="X112" s="209">
        <f ca="1">BrokerageStocks4546[[#This Row],[Simulation BOY Balance ($)]]+(BrokerageStocks4546[[#This Row],[Contributions ($)]]/2)</f>
        <v>545772135.02058721</v>
      </c>
      <c r="Y112" s="160">
        <f ca="1">BrokerageStocks4546[[#This Row],[Simulation Average Annual Balance ($)]]*Table53[[#This Row],[Simulated Return (%)]]</f>
        <v>-9261125.0082593728</v>
      </c>
      <c r="Z112" s="160">
        <f ca="1">BrokerageStocks4546[[#This Row],[Simulation BOY Balance ($)]]+BrokerageStocks4546[[#This Row],[Contributions ($)]]+BrokerageStocks4546[[#This Row],[Simulated Return ($)]]</f>
        <v>537017189.48580086</v>
      </c>
      <c r="AA112" s="160">
        <f t="shared" si="16"/>
        <v>273523108.68320519</v>
      </c>
      <c r="AB112" s="160">
        <f>BrokerageStocks4546[[#This Row],[Fixed Return BOY Balance ($)]]+BrokerageStocks4546[[#This Row],[Contributions ($)]]</f>
        <v>274535467.63015139</v>
      </c>
      <c r="AC112" s="160">
        <f>BrokerageStocks4546[[#This Row],[Fixed Return Average Balance ($)]]*annual_stock_market_return</f>
        <v>21962837.41041211</v>
      </c>
      <c r="AD112" s="160">
        <f>BrokerageStocks4546[[#This Row],[Fixed Return BOY Balance ($)]]+BrokerageStocks4546[[#This Row],[Contributions ($)]]+BrokerageStocks4546[[#This Row],[Fixed Average Return ($)]]</f>
        <v>296498305.04056352</v>
      </c>
      <c r="AF112" s="208">
        <v>0</v>
      </c>
      <c r="AG112" s="164">
        <f t="shared" ca="1" si="15"/>
        <v>346338026.94591135</v>
      </c>
      <c r="AH112" s="209">
        <f ca="1">BrokerageStocks45[[#This Row],[Simulation BOY Balance ($)]]+(BrokerageStocks45[[#This Row],[Contributions ($)]]/2)</f>
        <v>346338026.94591135</v>
      </c>
      <c r="AI112" s="160">
        <f ca="1">BrokerageStocks45[[#This Row],[Simulation Average Annual Balance ($)]]*Table53[[#This Row],[Simulated Return (%)]]</f>
        <v>-5876957.7207143372</v>
      </c>
      <c r="AJ112" s="160">
        <f ca="1">BrokerageStocks45[[#This Row],[Simulation BOY Balance ($)]]+BrokerageStocks45[[#This Row],[Contributions ($)]]+BrokerageStocks45[[#This Row],[Simulated Return ($)]]</f>
        <v>340461069.22519702</v>
      </c>
      <c r="AK112" s="164">
        <f t="shared" si="17"/>
        <v>191037550.19303825</v>
      </c>
      <c r="AL112" s="209">
        <f>BrokerageStocks45[[#This Row],[Fixed Return BOY Balance ($)]]+(BrokerageStocks45[[#This Row],[Contributions ($)]]/2)</f>
        <v>191037550.19303825</v>
      </c>
      <c r="AM112" s="160">
        <f>BrokerageStocks45[[#This Row],[Fixed Return Average Annual Balance]]*annual_stock_market_return</f>
        <v>15283004.015443061</v>
      </c>
      <c r="AN112" s="160">
        <f>BrokerageStocks45[[#This Row],[Fixed Return BOY Balance ($)]]+BrokerageStocks45[[#This Row],[Contributions ($)]]+BrokerageStocks45[[#This Row],[Fixed Average Return ($)]]</f>
        <v>206320554.20848131</v>
      </c>
    </row>
    <row r="113" spans="11:40" x14ac:dyDescent="0.25">
      <c r="K113">
        <v>91</v>
      </c>
      <c r="L113">
        <f t="shared" si="12"/>
        <v>2113</v>
      </c>
      <c r="M113" s="198">
        <f>IF(Table53[[#This Row],[Calendar Year]]&gt;=$C$8,Table53[[#This Row],[Calendar Year]],NA())</f>
        <v>2113</v>
      </c>
      <c r="N113" s="198" t="e">
        <f>IF((Table53[[#This Row],[Calendar Year]]&gt;=$C$8)*(Table53[[#This Row],[Calendar Year]]&lt;=$C$10),Table53[[#This Row],[Calendar Year]],NA())</f>
        <v>#N/A</v>
      </c>
      <c r="O113" s="214" t="e">
        <f>IF((Table53[[#This Row],[Year (Range)]]&gt;=$C$8)*(Table53[[#This Row],[Year (Range)]]&lt;=$C$10),BrokerageStocks4546[[#This Row],[Buy: Simulated EOY Investment Balance ($)]],NA())</f>
        <v>#N/A</v>
      </c>
      <c r="P113" s="214" t="e">
        <f>IF((Table53[[#This Row],[Year (Range)]]&gt;=$C$8)*(Table53[[#This Row],[Year (Range)]]&lt;=$C$10),BrokerageStocks45[[#This Row],[Rent: Simulated EOY Investment Balance ($)]],NA())</f>
        <v>#N/A</v>
      </c>
      <c r="Q113" s="214" t="e">
        <f>IF((Table53[[#This Row],[Year (Range)]]&gt;=$C$8)*(Table53[[#This Row],[Year (Range)]]&lt;=$C$10),BrokerageStocks4546[[#This Row],[Buy: Fixed Average Return EOY Investment Balance ($)]],NA())</f>
        <v>#N/A</v>
      </c>
      <c r="R113" s="214" t="e">
        <f>IF((Table53[[#This Row],[Year (Range)]]&gt;=$C$8)*(Table53[[#This Row],[Year (Range)]]&lt;=$C$10),BrokerageStocks45[[#This Row],[Rent: Fixed Average Return EOY Investment Balance ($)]],NA())</f>
        <v>#N/A</v>
      </c>
      <c r="S113" s="224">
        <f t="shared" ca="1" si="11"/>
        <v>-0.17645518931004256</v>
      </c>
      <c r="T113" s="222">
        <f t="shared" si="13"/>
        <v>0.08</v>
      </c>
      <c r="V113" s="208">
        <f>'Difference in Expenses'!AF109</f>
        <v>1055012.6753575755</v>
      </c>
      <c r="W113" s="164">
        <f t="shared" ca="1" si="14"/>
        <v>537017189.48580086</v>
      </c>
      <c r="X113" s="209">
        <f ca="1">BrokerageStocks4546[[#This Row],[Simulation BOY Balance ($)]]+(BrokerageStocks4546[[#This Row],[Contributions ($)]]/2)</f>
        <v>537544695.82347965</v>
      </c>
      <c r="Y113" s="160">
        <f ca="1">BrokerageStocks4546[[#This Row],[Simulation Average Annual Balance ($)]]*Table53[[#This Row],[Simulated Return (%)]]</f>
        <v>-94852551.064141348</v>
      </c>
      <c r="Z113" s="160">
        <f ca="1">BrokerageStocks4546[[#This Row],[Simulation BOY Balance ($)]]+BrokerageStocks4546[[#This Row],[Contributions ($)]]+BrokerageStocks4546[[#This Row],[Simulated Return ($)]]</f>
        <v>443219651.09701711</v>
      </c>
      <c r="AA113" s="160">
        <f t="shared" si="16"/>
        <v>296498305.04056352</v>
      </c>
      <c r="AB113" s="160">
        <f>BrokerageStocks4546[[#This Row],[Fixed Return BOY Balance ($)]]+BrokerageStocks4546[[#This Row],[Contributions ($)]]</f>
        <v>297553317.7159211</v>
      </c>
      <c r="AC113" s="160">
        <f>BrokerageStocks4546[[#This Row],[Fixed Return Average Balance ($)]]*annual_stock_market_return</f>
        <v>23804265.417273689</v>
      </c>
      <c r="AD113" s="160">
        <f>BrokerageStocks4546[[#This Row],[Fixed Return BOY Balance ($)]]+BrokerageStocks4546[[#This Row],[Contributions ($)]]+BrokerageStocks4546[[#This Row],[Fixed Average Return ($)]]</f>
        <v>321357583.1331948</v>
      </c>
      <c r="AF113" s="208">
        <v>0</v>
      </c>
      <c r="AG113" s="164">
        <f t="shared" ca="1" si="15"/>
        <v>340461069.22519702</v>
      </c>
      <c r="AH113" s="209">
        <f ca="1">BrokerageStocks45[[#This Row],[Simulation BOY Balance ($)]]+(BrokerageStocks45[[#This Row],[Contributions ($)]]/2)</f>
        <v>340461069.22519702</v>
      </c>
      <c r="AI113" s="160">
        <f ca="1">BrokerageStocks45[[#This Row],[Simulation Average Annual Balance ($)]]*Table53[[#This Row],[Simulated Return (%)]]</f>
        <v>-60076122.422831647</v>
      </c>
      <c r="AJ113" s="160">
        <f ca="1">BrokerageStocks45[[#This Row],[Simulation BOY Balance ($)]]+BrokerageStocks45[[#This Row],[Contributions ($)]]+BrokerageStocks45[[#This Row],[Simulated Return ($)]]</f>
        <v>280384946.80236536</v>
      </c>
      <c r="AK113" s="164">
        <f t="shared" si="17"/>
        <v>206320554.20848131</v>
      </c>
      <c r="AL113" s="209">
        <f>BrokerageStocks45[[#This Row],[Fixed Return BOY Balance ($)]]+(BrokerageStocks45[[#This Row],[Contributions ($)]]/2)</f>
        <v>206320554.20848131</v>
      </c>
      <c r="AM113" s="160">
        <f>BrokerageStocks45[[#This Row],[Fixed Return Average Annual Balance]]*annual_stock_market_return</f>
        <v>16505644.336678505</v>
      </c>
      <c r="AN113" s="160">
        <f>BrokerageStocks45[[#This Row],[Fixed Return BOY Balance ($)]]+BrokerageStocks45[[#This Row],[Contributions ($)]]+BrokerageStocks45[[#This Row],[Fixed Average Return ($)]]</f>
        <v>222826198.54515982</v>
      </c>
    </row>
    <row r="114" spans="11:40" x14ac:dyDescent="0.25">
      <c r="K114">
        <v>92</v>
      </c>
      <c r="L114">
        <f t="shared" si="12"/>
        <v>2114</v>
      </c>
      <c r="M114" s="198">
        <f>IF(Table53[[#This Row],[Calendar Year]]&gt;=$C$8,Table53[[#This Row],[Calendar Year]],NA())</f>
        <v>2114</v>
      </c>
      <c r="N114" s="198" t="e">
        <f>IF((Table53[[#This Row],[Calendar Year]]&gt;=$C$8)*(Table53[[#This Row],[Calendar Year]]&lt;=$C$10),Table53[[#This Row],[Calendar Year]],NA())</f>
        <v>#N/A</v>
      </c>
      <c r="O114" s="214" t="e">
        <f>IF((Table53[[#This Row],[Year (Range)]]&gt;=$C$8)*(Table53[[#This Row],[Year (Range)]]&lt;=$C$10),BrokerageStocks4546[[#This Row],[Buy: Simulated EOY Investment Balance ($)]],NA())</f>
        <v>#N/A</v>
      </c>
      <c r="P114" s="214" t="e">
        <f>IF((Table53[[#This Row],[Year (Range)]]&gt;=$C$8)*(Table53[[#This Row],[Year (Range)]]&lt;=$C$10),BrokerageStocks45[[#This Row],[Rent: Simulated EOY Investment Balance ($)]],NA())</f>
        <v>#N/A</v>
      </c>
      <c r="Q114" s="214" t="e">
        <f>IF((Table53[[#This Row],[Year (Range)]]&gt;=$C$8)*(Table53[[#This Row],[Year (Range)]]&lt;=$C$10),BrokerageStocks4546[[#This Row],[Buy: Fixed Average Return EOY Investment Balance ($)]],NA())</f>
        <v>#N/A</v>
      </c>
      <c r="R114" s="214" t="e">
        <f>IF((Table53[[#This Row],[Year (Range)]]&gt;=$C$8)*(Table53[[#This Row],[Year (Range)]]&lt;=$C$10),BrokerageStocks45[[#This Row],[Rent: Fixed Average Return EOY Investment Balance ($)]],NA())</f>
        <v>#N/A</v>
      </c>
      <c r="S114" s="224">
        <f t="shared" ca="1" si="11"/>
        <v>0.2534070842038571</v>
      </c>
      <c r="T114" s="222">
        <f t="shared" si="13"/>
        <v>0.08</v>
      </c>
      <c r="V114" s="208">
        <f>'Difference in Expenses'!AF110</f>
        <v>1099437.334021434</v>
      </c>
      <c r="W114" s="164">
        <f t="shared" ca="1" si="14"/>
        <v>443219651.09701711</v>
      </c>
      <c r="X114" s="209">
        <f ca="1">BrokerageStocks4546[[#This Row],[Simulation BOY Balance ($)]]+(BrokerageStocks4546[[#This Row],[Contributions ($)]]/2)</f>
        <v>443769369.76402783</v>
      </c>
      <c r="Y114" s="160">
        <f ca="1">BrokerageStocks4546[[#This Row],[Simulation Average Annual Balance ($)]]*Table53[[#This Row],[Simulated Return (%)]]</f>
        <v>112454302.0508856</v>
      </c>
      <c r="Z114" s="160">
        <f ca="1">BrokerageStocks4546[[#This Row],[Simulation BOY Balance ($)]]+BrokerageStocks4546[[#This Row],[Contributions ($)]]+BrokerageStocks4546[[#This Row],[Simulated Return ($)]]</f>
        <v>556773390.48192418</v>
      </c>
      <c r="AA114" s="160">
        <f t="shared" si="16"/>
        <v>321357583.1331948</v>
      </c>
      <c r="AB114" s="160">
        <f>BrokerageStocks4546[[#This Row],[Fixed Return BOY Balance ($)]]+BrokerageStocks4546[[#This Row],[Contributions ($)]]</f>
        <v>322457020.46721625</v>
      </c>
      <c r="AC114" s="160">
        <f>BrokerageStocks4546[[#This Row],[Fixed Return Average Balance ($)]]*annual_stock_market_return</f>
        <v>25796561.637377299</v>
      </c>
      <c r="AD114" s="160">
        <f>BrokerageStocks4546[[#This Row],[Fixed Return BOY Balance ($)]]+BrokerageStocks4546[[#This Row],[Contributions ($)]]+BrokerageStocks4546[[#This Row],[Fixed Average Return ($)]]</f>
        <v>348253582.10459358</v>
      </c>
      <c r="AF114" s="208">
        <v>0</v>
      </c>
      <c r="AG114" s="164">
        <f t="shared" ca="1" si="15"/>
        <v>280384946.80236536</v>
      </c>
      <c r="AH114" s="209">
        <f ca="1">BrokerageStocks45[[#This Row],[Simulation BOY Balance ($)]]+(BrokerageStocks45[[#This Row],[Contributions ($)]]/2)</f>
        <v>280384946.80236536</v>
      </c>
      <c r="AI114" s="160">
        <f ca="1">BrokerageStocks45[[#This Row],[Simulation Average Annual Balance ($)]]*Table53[[#This Row],[Simulated Return (%)]]</f>
        <v>71051531.823840991</v>
      </c>
      <c r="AJ114" s="160">
        <f ca="1">BrokerageStocks45[[#This Row],[Simulation BOY Balance ($)]]+BrokerageStocks45[[#This Row],[Contributions ($)]]+BrokerageStocks45[[#This Row],[Simulated Return ($)]]</f>
        <v>351436478.62620634</v>
      </c>
      <c r="AK114" s="164">
        <f t="shared" si="17"/>
        <v>222826198.54515982</v>
      </c>
      <c r="AL114" s="209">
        <f>BrokerageStocks45[[#This Row],[Fixed Return BOY Balance ($)]]+(BrokerageStocks45[[#This Row],[Contributions ($)]]/2)</f>
        <v>222826198.54515982</v>
      </c>
      <c r="AM114" s="160">
        <f>BrokerageStocks45[[#This Row],[Fixed Return Average Annual Balance]]*annual_stock_market_return</f>
        <v>17826095.883612785</v>
      </c>
      <c r="AN114" s="160">
        <f>BrokerageStocks45[[#This Row],[Fixed Return BOY Balance ($)]]+BrokerageStocks45[[#This Row],[Contributions ($)]]+BrokerageStocks45[[#This Row],[Fixed Average Return ($)]]</f>
        <v>240652294.4287726</v>
      </c>
    </row>
    <row r="115" spans="11:40" x14ac:dyDescent="0.25">
      <c r="K115">
        <v>93</v>
      </c>
      <c r="L115">
        <f t="shared" si="12"/>
        <v>2115</v>
      </c>
      <c r="M115" s="198">
        <f>IF(Table53[[#This Row],[Calendar Year]]&gt;=$C$8,Table53[[#This Row],[Calendar Year]],NA())</f>
        <v>2115</v>
      </c>
      <c r="N115" s="198" t="e">
        <f>IF((Table53[[#This Row],[Calendar Year]]&gt;=$C$8)*(Table53[[#This Row],[Calendar Year]]&lt;=$C$10),Table53[[#This Row],[Calendar Year]],NA())</f>
        <v>#N/A</v>
      </c>
      <c r="O115" s="214" t="e">
        <f>IF((Table53[[#This Row],[Year (Range)]]&gt;=$C$8)*(Table53[[#This Row],[Year (Range)]]&lt;=$C$10),BrokerageStocks4546[[#This Row],[Buy: Simulated EOY Investment Balance ($)]],NA())</f>
        <v>#N/A</v>
      </c>
      <c r="P115" s="214" t="e">
        <f>IF((Table53[[#This Row],[Year (Range)]]&gt;=$C$8)*(Table53[[#This Row],[Year (Range)]]&lt;=$C$10),BrokerageStocks45[[#This Row],[Rent: Simulated EOY Investment Balance ($)]],NA())</f>
        <v>#N/A</v>
      </c>
      <c r="Q115" s="214" t="e">
        <f>IF((Table53[[#This Row],[Year (Range)]]&gt;=$C$8)*(Table53[[#This Row],[Year (Range)]]&lt;=$C$10),BrokerageStocks4546[[#This Row],[Buy: Fixed Average Return EOY Investment Balance ($)]],NA())</f>
        <v>#N/A</v>
      </c>
      <c r="R115" s="214" t="e">
        <f>IF((Table53[[#This Row],[Year (Range)]]&gt;=$C$8)*(Table53[[#This Row],[Year (Range)]]&lt;=$C$10),BrokerageStocks45[[#This Row],[Rent: Fixed Average Return EOY Investment Balance ($)]],NA())</f>
        <v>#N/A</v>
      </c>
      <c r="S115" s="224">
        <f t="shared" ca="1" si="11"/>
        <v>7.4768771566757694E-2</v>
      </c>
      <c r="T115" s="222">
        <f t="shared" si="13"/>
        <v>0.08</v>
      </c>
      <c r="V115" s="208">
        <f>'Difference in Expenses'!AF111</f>
        <v>1145705.7035813332</v>
      </c>
      <c r="W115" s="164">
        <f t="shared" ca="1" si="14"/>
        <v>556773390.48192418</v>
      </c>
      <c r="X115" s="209">
        <f ca="1">BrokerageStocks4546[[#This Row],[Simulation BOY Balance ($)]]+(BrokerageStocks4546[[#This Row],[Contributions ($)]]/2)</f>
        <v>557346243.33371484</v>
      </c>
      <c r="Y115" s="160">
        <f ca="1">BrokerageStocks4546[[#This Row],[Simulation Average Annual Balance ($)]]*Table53[[#This Row],[Simulated Return (%)]]</f>
        <v>41672093.951409072</v>
      </c>
      <c r="Z115" s="160">
        <f ca="1">BrokerageStocks4546[[#This Row],[Simulation BOY Balance ($)]]+BrokerageStocks4546[[#This Row],[Contributions ($)]]+BrokerageStocks4546[[#This Row],[Simulated Return ($)]]</f>
        <v>599591190.13691461</v>
      </c>
      <c r="AA115" s="160">
        <f t="shared" si="16"/>
        <v>348253582.10459358</v>
      </c>
      <c r="AB115" s="160">
        <f>BrokerageStocks4546[[#This Row],[Fixed Return BOY Balance ($)]]+BrokerageStocks4546[[#This Row],[Contributions ($)]]</f>
        <v>349399287.80817491</v>
      </c>
      <c r="AC115" s="160">
        <f>BrokerageStocks4546[[#This Row],[Fixed Return Average Balance ($)]]*annual_stock_market_return</f>
        <v>27951943.024653994</v>
      </c>
      <c r="AD115" s="160">
        <f>BrokerageStocks4546[[#This Row],[Fixed Return BOY Balance ($)]]+BrokerageStocks4546[[#This Row],[Contributions ($)]]+BrokerageStocks4546[[#This Row],[Fixed Average Return ($)]]</f>
        <v>377351230.83282888</v>
      </c>
      <c r="AF115" s="208">
        <v>0</v>
      </c>
      <c r="AG115" s="164">
        <f t="shared" ca="1" si="15"/>
        <v>351436478.62620634</v>
      </c>
      <c r="AH115" s="209">
        <f ca="1">BrokerageStocks45[[#This Row],[Simulation BOY Balance ($)]]+(BrokerageStocks45[[#This Row],[Contributions ($)]]/2)</f>
        <v>351436478.62620634</v>
      </c>
      <c r="AI115" s="160">
        <f ca="1">BrokerageStocks45[[#This Row],[Simulation Average Annual Balance ($)]]*Table53[[#This Row],[Simulated Return (%)]]</f>
        <v>26276473.790628545</v>
      </c>
      <c r="AJ115" s="160">
        <f ca="1">BrokerageStocks45[[#This Row],[Simulation BOY Balance ($)]]+BrokerageStocks45[[#This Row],[Contributions ($)]]+BrokerageStocks45[[#This Row],[Simulated Return ($)]]</f>
        <v>377712952.41683489</v>
      </c>
      <c r="AK115" s="164">
        <f t="shared" si="17"/>
        <v>240652294.4287726</v>
      </c>
      <c r="AL115" s="209">
        <f>BrokerageStocks45[[#This Row],[Fixed Return BOY Balance ($)]]+(BrokerageStocks45[[#This Row],[Contributions ($)]]/2)</f>
        <v>240652294.4287726</v>
      </c>
      <c r="AM115" s="160">
        <f>BrokerageStocks45[[#This Row],[Fixed Return Average Annual Balance]]*annual_stock_market_return</f>
        <v>19252183.55430181</v>
      </c>
      <c r="AN115" s="160">
        <f>BrokerageStocks45[[#This Row],[Fixed Return BOY Balance ($)]]+BrokerageStocks45[[#This Row],[Contributions ($)]]+BrokerageStocks45[[#This Row],[Fixed Average Return ($)]]</f>
        <v>259904477.9830744</v>
      </c>
    </row>
    <row r="116" spans="11:40" x14ac:dyDescent="0.25">
      <c r="K116">
        <v>94</v>
      </c>
      <c r="L116">
        <f t="shared" si="12"/>
        <v>2116</v>
      </c>
      <c r="M116" s="198">
        <f>IF(Table53[[#This Row],[Calendar Year]]&gt;=$C$8,Table53[[#This Row],[Calendar Year]],NA())</f>
        <v>2116</v>
      </c>
      <c r="N116" s="198" t="e">
        <f>IF((Table53[[#This Row],[Calendar Year]]&gt;=$C$8)*(Table53[[#This Row],[Calendar Year]]&lt;=$C$10),Table53[[#This Row],[Calendar Year]],NA())</f>
        <v>#N/A</v>
      </c>
      <c r="O116" s="214" t="e">
        <f>IF((Table53[[#This Row],[Year (Range)]]&gt;=$C$8)*(Table53[[#This Row],[Year (Range)]]&lt;=$C$10),BrokerageStocks4546[[#This Row],[Buy: Simulated EOY Investment Balance ($)]],NA())</f>
        <v>#N/A</v>
      </c>
      <c r="P116" s="214" t="e">
        <f>IF((Table53[[#This Row],[Year (Range)]]&gt;=$C$8)*(Table53[[#This Row],[Year (Range)]]&lt;=$C$10),BrokerageStocks45[[#This Row],[Rent: Simulated EOY Investment Balance ($)]],NA())</f>
        <v>#N/A</v>
      </c>
      <c r="Q116" s="214" t="e">
        <f>IF((Table53[[#This Row],[Year (Range)]]&gt;=$C$8)*(Table53[[#This Row],[Year (Range)]]&lt;=$C$10),BrokerageStocks4546[[#This Row],[Buy: Fixed Average Return EOY Investment Balance ($)]],NA())</f>
        <v>#N/A</v>
      </c>
      <c r="R116" s="214" t="e">
        <f>IF((Table53[[#This Row],[Year (Range)]]&gt;=$C$8)*(Table53[[#This Row],[Year (Range)]]&lt;=$C$10),BrokerageStocks45[[#This Row],[Rent: Fixed Average Return EOY Investment Balance ($)]],NA())</f>
        <v>#N/A</v>
      </c>
      <c r="S116" s="224">
        <f t="shared" ca="1" si="11"/>
        <v>-6.0185558174816037E-2</v>
      </c>
      <c r="T116" s="222">
        <f t="shared" si="13"/>
        <v>0.08</v>
      </c>
      <c r="V116" s="208">
        <f>'Difference in Expenses'!AF112</f>
        <v>1193893.5342095997</v>
      </c>
      <c r="W116" s="164">
        <f t="shared" ca="1" si="14"/>
        <v>599591190.13691461</v>
      </c>
      <c r="X116" s="209">
        <f ca="1">BrokerageStocks4546[[#This Row],[Simulation BOY Balance ($)]]+(BrokerageStocks4546[[#This Row],[Contributions ($)]]/2)</f>
        <v>600188136.90401936</v>
      </c>
      <c r="Y116" s="160">
        <f ca="1">BrokerageStocks4546[[#This Row],[Simulation Average Annual Balance ($)]]*Table53[[#This Row],[Simulated Return (%)]]</f>
        <v>-36122658.029471308</v>
      </c>
      <c r="Z116" s="160">
        <f ca="1">BrokerageStocks4546[[#This Row],[Simulation BOY Balance ($)]]+BrokerageStocks4546[[#This Row],[Contributions ($)]]+BrokerageStocks4546[[#This Row],[Simulated Return ($)]]</f>
        <v>564662425.64165294</v>
      </c>
      <c r="AA116" s="160">
        <f t="shared" si="16"/>
        <v>377351230.83282888</v>
      </c>
      <c r="AB116" s="160">
        <f>BrokerageStocks4546[[#This Row],[Fixed Return BOY Balance ($)]]+BrokerageStocks4546[[#This Row],[Contributions ($)]]</f>
        <v>378545124.36703849</v>
      </c>
      <c r="AC116" s="160">
        <f>BrokerageStocks4546[[#This Row],[Fixed Return Average Balance ($)]]*annual_stock_market_return</f>
        <v>30283609.949363079</v>
      </c>
      <c r="AD116" s="160">
        <f>BrokerageStocks4546[[#This Row],[Fixed Return BOY Balance ($)]]+BrokerageStocks4546[[#This Row],[Contributions ($)]]+BrokerageStocks4546[[#This Row],[Fixed Average Return ($)]]</f>
        <v>408828734.31640154</v>
      </c>
      <c r="AF116" s="208">
        <v>0</v>
      </c>
      <c r="AG116" s="164">
        <f t="shared" ca="1" si="15"/>
        <v>377712952.41683489</v>
      </c>
      <c r="AH116" s="209">
        <f ca="1">BrokerageStocks45[[#This Row],[Simulation BOY Balance ($)]]+(BrokerageStocks45[[#This Row],[Contributions ($)]]/2)</f>
        <v>377712952.41683489</v>
      </c>
      <c r="AI116" s="160">
        <f ca="1">BrokerageStocks45[[#This Row],[Simulation Average Annual Balance ($)]]*Table53[[#This Row],[Simulated Return (%)]]</f>
        <v>-22732864.871064939</v>
      </c>
      <c r="AJ116" s="160">
        <f ca="1">BrokerageStocks45[[#This Row],[Simulation BOY Balance ($)]]+BrokerageStocks45[[#This Row],[Contributions ($)]]+BrokerageStocks45[[#This Row],[Simulated Return ($)]]</f>
        <v>354980087.54576993</v>
      </c>
      <c r="AK116" s="164">
        <f t="shared" si="17"/>
        <v>259904477.9830744</v>
      </c>
      <c r="AL116" s="209">
        <f>BrokerageStocks45[[#This Row],[Fixed Return BOY Balance ($)]]+(BrokerageStocks45[[#This Row],[Contributions ($)]]/2)</f>
        <v>259904477.9830744</v>
      </c>
      <c r="AM116" s="160">
        <f>BrokerageStocks45[[#This Row],[Fixed Return Average Annual Balance]]*annual_stock_market_return</f>
        <v>20792358.238645952</v>
      </c>
      <c r="AN116" s="160">
        <f>BrokerageStocks45[[#This Row],[Fixed Return BOY Balance ($)]]+BrokerageStocks45[[#This Row],[Contributions ($)]]+BrokerageStocks45[[#This Row],[Fixed Average Return ($)]]</f>
        <v>280696836.22172034</v>
      </c>
    </row>
    <row r="117" spans="11:40" x14ac:dyDescent="0.25">
      <c r="K117">
        <v>95</v>
      </c>
      <c r="L117">
        <f t="shared" si="12"/>
        <v>2117</v>
      </c>
      <c r="M117" s="198">
        <f>IF(Table53[[#This Row],[Calendar Year]]&gt;=$C$8,Table53[[#This Row],[Calendar Year]],NA())</f>
        <v>2117</v>
      </c>
      <c r="N117" s="198" t="e">
        <f>IF((Table53[[#This Row],[Calendar Year]]&gt;=$C$8)*(Table53[[#This Row],[Calendar Year]]&lt;=$C$10),Table53[[#This Row],[Calendar Year]],NA())</f>
        <v>#N/A</v>
      </c>
      <c r="O117" s="214" t="e">
        <f>IF((Table53[[#This Row],[Year (Range)]]&gt;=$C$8)*(Table53[[#This Row],[Year (Range)]]&lt;=$C$10),BrokerageStocks4546[[#This Row],[Buy: Simulated EOY Investment Balance ($)]],NA())</f>
        <v>#N/A</v>
      </c>
      <c r="P117" s="214" t="e">
        <f>IF((Table53[[#This Row],[Year (Range)]]&gt;=$C$8)*(Table53[[#This Row],[Year (Range)]]&lt;=$C$10),BrokerageStocks45[[#This Row],[Rent: Simulated EOY Investment Balance ($)]],NA())</f>
        <v>#N/A</v>
      </c>
      <c r="Q117" s="214" t="e">
        <f>IF((Table53[[#This Row],[Year (Range)]]&gt;=$C$8)*(Table53[[#This Row],[Year (Range)]]&lt;=$C$10),BrokerageStocks4546[[#This Row],[Buy: Fixed Average Return EOY Investment Balance ($)]],NA())</f>
        <v>#N/A</v>
      </c>
      <c r="R117" s="214" t="e">
        <f>IF((Table53[[#This Row],[Year (Range)]]&gt;=$C$8)*(Table53[[#This Row],[Year (Range)]]&lt;=$C$10),BrokerageStocks45[[#This Row],[Rent: Fixed Average Return EOY Investment Balance ($)]],NA())</f>
        <v>#N/A</v>
      </c>
      <c r="S117" s="224">
        <f t="shared" ca="1" si="11"/>
        <v>0.21528394429173131</v>
      </c>
      <c r="T117" s="222">
        <f t="shared" si="13"/>
        <v>0.08</v>
      </c>
      <c r="V117" s="208">
        <f>'Difference in Expenses'!AF113</f>
        <v>1244079.6661375475</v>
      </c>
      <c r="W117" s="164">
        <f t="shared" ca="1" si="14"/>
        <v>564662425.64165294</v>
      </c>
      <c r="X117" s="209">
        <f ca="1">BrokerageStocks4546[[#This Row],[Simulation BOY Balance ($)]]+(BrokerageStocks4546[[#This Row],[Contributions ($)]]/2)</f>
        <v>565284465.47472167</v>
      </c>
      <c r="Y117" s="160">
        <f ca="1">BrokerageStocks4546[[#This Row],[Simulation Average Annual Balance ($)]]*Table53[[#This Row],[Simulated Return (%)]]</f>
        <v>121696669.3742411</v>
      </c>
      <c r="Z117" s="160">
        <f ca="1">BrokerageStocks4546[[#This Row],[Simulation BOY Balance ($)]]+BrokerageStocks4546[[#This Row],[Contributions ($)]]+BrokerageStocks4546[[#This Row],[Simulated Return ($)]]</f>
        <v>687603174.68203163</v>
      </c>
      <c r="AA117" s="160">
        <f t="shared" si="16"/>
        <v>408828734.31640154</v>
      </c>
      <c r="AB117" s="160">
        <f>BrokerageStocks4546[[#This Row],[Fixed Return BOY Balance ($)]]+BrokerageStocks4546[[#This Row],[Contributions ($)]]</f>
        <v>410072813.98253912</v>
      </c>
      <c r="AC117" s="160">
        <f>BrokerageStocks4546[[#This Row],[Fixed Return Average Balance ($)]]*annual_stock_market_return</f>
        <v>32805825.118603129</v>
      </c>
      <c r="AD117" s="160">
        <f>BrokerageStocks4546[[#This Row],[Fixed Return BOY Balance ($)]]+BrokerageStocks4546[[#This Row],[Contributions ($)]]+BrokerageStocks4546[[#This Row],[Fixed Average Return ($)]]</f>
        <v>442878639.10114223</v>
      </c>
      <c r="AF117" s="208">
        <v>0</v>
      </c>
      <c r="AG117" s="164">
        <f t="shared" ca="1" si="15"/>
        <v>354980087.54576993</v>
      </c>
      <c r="AH117" s="209">
        <f ca="1">BrokerageStocks45[[#This Row],[Simulation BOY Balance ($)]]+(BrokerageStocks45[[#This Row],[Contributions ($)]]/2)</f>
        <v>354980087.54576993</v>
      </c>
      <c r="AI117" s="160">
        <f ca="1">BrokerageStocks45[[#This Row],[Simulation Average Annual Balance ($)]]*Table53[[#This Row],[Simulated Return (%)]]</f>
        <v>76421513.391877443</v>
      </c>
      <c r="AJ117" s="160">
        <f ca="1">BrokerageStocks45[[#This Row],[Simulation BOY Balance ($)]]+BrokerageStocks45[[#This Row],[Contributions ($)]]+BrokerageStocks45[[#This Row],[Simulated Return ($)]]</f>
        <v>431401600.93764734</v>
      </c>
      <c r="AK117" s="164">
        <f t="shared" si="17"/>
        <v>280696836.22172034</v>
      </c>
      <c r="AL117" s="209">
        <f>BrokerageStocks45[[#This Row],[Fixed Return BOY Balance ($)]]+(BrokerageStocks45[[#This Row],[Contributions ($)]]/2)</f>
        <v>280696836.22172034</v>
      </c>
      <c r="AM117" s="160">
        <f>BrokerageStocks45[[#This Row],[Fixed Return Average Annual Balance]]*annual_stock_market_return</f>
        <v>22455746.897737626</v>
      </c>
      <c r="AN117" s="160">
        <f>BrokerageStocks45[[#This Row],[Fixed Return BOY Balance ($)]]+BrokerageStocks45[[#This Row],[Contributions ($)]]+BrokerageStocks45[[#This Row],[Fixed Average Return ($)]]</f>
        <v>303152583.11945796</v>
      </c>
    </row>
    <row r="118" spans="11:40" x14ac:dyDescent="0.25">
      <c r="K118">
        <v>96</v>
      </c>
      <c r="L118">
        <f t="shared" si="12"/>
        <v>2118</v>
      </c>
      <c r="M118" s="198">
        <f>IF(Table53[[#This Row],[Calendar Year]]&gt;=$C$8,Table53[[#This Row],[Calendar Year]],NA())</f>
        <v>2118</v>
      </c>
      <c r="N118" s="198" t="e">
        <f>IF((Table53[[#This Row],[Calendar Year]]&gt;=$C$8)*(Table53[[#This Row],[Calendar Year]]&lt;=$C$10),Table53[[#This Row],[Calendar Year]],NA())</f>
        <v>#N/A</v>
      </c>
      <c r="O118" s="214" t="e">
        <f>IF((Table53[[#This Row],[Year (Range)]]&gt;=$C$8)*(Table53[[#This Row],[Year (Range)]]&lt;=$C$10),BrokerageStocks4546[[#This Row],[Buy: Simulated EOY Investment Balance ($)]],NA())</f>
        <v>#N/A</v>
      </c>
      <c r="P118" s="214" t="e">
        <f>IF((Table53[[#This Row],[Year (Range)]]&gt;=$C$8)*(Table53[[#This Row],[Year (Range)]]&lt;=$C$10),BrokerageStocks45[[#This Row],[Rent: Simulated EOY Investment Balance ($)]],NA())</f>
        <v>#N/A</v>
      </c>
      <c r="Q118" s="214" t="e">
        <f>IF((Table53[[#This Row],[Year (Range)]]&gt;=$C$8)*(Table53[[#This Row],[Year (Range)]]&lt;=$C$10),BrokerageStocks4546[[#This Row],[Buy: Fixed Average Return EOY Investment Balance ($)]],NA())</f>
        <v>#N/A</v>
      </c>
      <c r="R118" s="214" t="e">
        <f>IF((Table53[[#This Row],[Year (Range)]]&gt;=$C$8)*(Table53[[#This Row],[Year (Range)]]&lt;=$C$10),BrokerageStocks45[[#This Row],[Rent: Fixed Average Return EOY Investment Balance ($)]],NA())</f>
        <v>#N/A</v>
      </c>
      <c r="S118" s="224">
        <f t="shared" ca="1" si="11"/>
        <v>1.9984653876006613E-2</v>
      </c>
      <c r="T118" s="222">
        <f t="shared" si="13"/>
        <v>0.08</v>
      </c>
      <c r="V118" s="208">
        <f>'Difference in Expenses'!AF114</f>
        <v>1296346.1550594</v>
      </c>
      <c r="W118" s="164">
        <f t="shared" ca="1" si="14"/>
        <v>687603174.68203163</v>
      </c>
      <c r="X118" s="209">
        <f ca="1">BrokerageStocks4546[[#This Row],[Simulation BOY Balance ($)]]+(BrokerageStocks4546[[#This Row],[Contributions ($)]]/2)</f>
        <v>688251347.7595613</v>
      </c>
      <c r="Y118" s="160">
        <f ca="1">BrokerageStocks4546[[#This Row],[Simulation Average Annual Balance ($)]]*Table53[[#This Row],[Simulated Return (%)]]</f>
        <v>13754464.964669893</v>
      </c>
      <c r="Z118" s="160">
        <f ca="1">BrokerageStocks4546[[#This Row],[Simulation BOY Balance ($)]]+BrokerageStocks4546[[#This Row],[Contributions ($)]]+BrokerageStocks4546[[#This Row],[Simulated Return ($)]]</f>
        <v>702653985.80176103</v>
      </c>
      <c r="AA118" s="160">
        <f t="shared" si="16"/>
        <v>442878639.10114223</v>
      </c>
      <c r="AB118" s="160">
        <f>BrokerageStocks4546[[#This Row],[Fixed Return BOY Balance ($)]]+BrokerageStocks4546[[#This Row],[Contributions ($)]]</f>
        <v>444174985.25620162</v>
      </c>
      <c r="AC118" s="160">
        <f>BrokerageStocks4546[[#This Row],[Fixed Return Average Balance ($)]]*annual_stock_market_return</f>
        <v>35533998.820496127</v>
      </c>
      <c r="AD118" s="160">
        <f>BrokerageStocks4546[[#This Row],[Fixed Return BOY Balance ($)]]+BrokerageStocks4546[[#This Row],[Contributions ($)]]+BrokerageStocks4546[[#This Row],[Fixed Average Return ($)]]</f>
        <v>479708984.07669777</v>
      </c>
      <c r="AF118" s="208">
        <v>0</v>
      </c>
      <c r="AG118" s="164">
        <f t="shared" ca="1" si="15"/>
        <v>431401600.93764734</v>
      </c>
      <c r="AH118" s="209">
        <f ca="1">BrokerageStocks45[[#This Row],[Simulation BOY Balance ($)]]+(BrokerageStocks45[[#This Row],[Contributions ($)]]/2)</f>
        <v>431401600.93764734</v>
      </c>
      <c r="AI118" s="160">
        <f ca="1">BrokerageStocks45[[#This Row],[Simulation Average Annual Balance ($)]]*Table53[[#This Row],[Simulated Return (%)]]</f>
        <v>8621411.676294012</v>
      </c>
      <c r="AJ118" s="160">
        <f ca="1">BrokerageStocks45[[#This Row],[Simulation BOY Balance ($)]]+BrokerageStocks45[[#This Row],[Contributions ($)]]+BrokerageStocks45[[#This Row],[Simulated Return ($)]]</f>
        <v>440023012.61394137</v>
      </c>
      <c r="AK118" s="164">
        <f t="shared" si="17"/>
        <v>303152583.11945796</v>
      </c>
      <c r="AL118" s="209">
        <f>BrokerageStocks45[[#This Row],[Fixed Return BOY Balance ($)]]+(BrokerageStocks45[[#This Row],[Contributions ($)]]/2)</f>
        <v>303152583.11945796</v>
      </c>
      <c r="AM118" s="160">
        <f>BrokerageStocks45[[#This Row],[Fixed Return Average Annual Balance]]*annual_stock_market_return</f>
        <v>24252206.649556637</v>
      </c>
      <c r="AN118" s="160">
        <f>BrokerageStocks45[[#This Row],[Fixed Return BOY Balance ($)]]+BrokerageStocks45[[#This Row],[Contributions ($)]]+BrokerageStocks45[[#This Row],[Fixed Average Return ($)]]</f>
        <v>327404789.7690146</v>
      </c>
    </row>
    <row r="119" spans="11:40" x14ac:dyDescent="0.25">
      <c r="K119">
        <v>97</v>
      </c>
      <c r="L119">
        <f t="shared" ref="L119:L121" si="18">purchase_year+K119</f>
        <v>2119</v>
      </c>
      <c r="M119" s="198">
        <f>IF(Table53[[#This Row],[Calendar Year]]&gt;=$C$8,Table53[[#This Row],[Calendar Year]],NA())</f>
        <v>2119</v>
      </c>
      <c r="N119" s="198" t="e">
        <f>IF((Table53[[#This Row],[Calendar Year]]&gt;=$C$8)*(Table53[[#This Row],[Calendar Year]]&lt;=$C$10),Table53[[#This Row],[Calendar Year]],NA())</f>
        <v>#N/A</v>
      </c>
      <c r="O119" s="214" t="e">
        <f>IF((Table53[[#This Row],[Year (Range)]]&gt;=$C$8)*(Table53[[#This Row],[Year (Range)]]&lt;=$C$10),BrokerageStocks4546[[#This Row],[Buy: Simulated EOY Investment Balance ($)]],NA())</f>
        <v>#N/A</v>
      </c>
      <c r="P119" s="214" t="e">
        <f>IF((Table53[[#This Row],[Year (Range)]]&gt;=$C$8)*(Table53[[#This Row],[Year (Range)]]&lt;=$C$10),BrokerageStocks45[[#This Row],[Rent: Simulated EOY Investment Balance ($)]],NA())</f>
        <v>#N/A</v>
      </c>
      <c r="Q119" s="214" t="e">
        <f>IF((Table53[[#This Row],[Year (Range)]]&gt;=$C$8)*(Table53[[#This Row],[Year (Range)]]&lt;=$C$10),BrokerageStocks4546[[#This Row],[Buy: Fixed Average Return EOY Investment Balance ($)]],NA())</f>
        <v>#N/A</v>
      </c>
      <c r="R119" s="214" t="e">
        <f>IF((Table53[[#This Row],[Year (Range)]]&gt;=$C$8)*(Table53[[#This Row],[Year (Range)]]&lt;=$C$10),BrokerageStocks45[[#This Row],[Rent: Fixed Average Return EOY Investment Balance ($)]],NA())</f>
        <v>#N/A</v>
      </c>
      <c r="S119" s="224">
        <f t="shared" ca="1" si="11"/>
        <v>2.0387218237117789E-2</v>
      </c>
      <c r="T119" s="222">
        <f t="shared" si="13"/>
        <v>0.08</v>
      </c>
      <c r="V119" s="208">
        <f>'Difference in Expenses'!AF115</f>
        <v>1350778.402606417</v>
      </c>
      <c r="W119" s="164">
        <f t="shared" ca="1" si="14"/>
        <v>702653985.80176103</v>
      </c>
      <c r="X119" s="209">
        <f ca="1">BrokerageStocks4546[[#This Row],[Simulation BOY Balance ($)]]+(BrokerageStocks4546[[#This Row],[Contributions ($)]]/2)</f>
        <v>703329375.00306427</v>
      </c>
      <c r="Y119" s="160">
        <f ca="1">BrokerageStocks4546[[#This Row],[Simulation Average Annual Balance ($)]]*Table53[[#This Row],[Simulated Return (%)]]</f>
        <v>14338929.460763128</v>
      </c>
      <c r="Z119" s="160">
        <f ca="1">BrokerageStocks4546[[#This Row],[Simulation BOY Balance ($)]]+BrokerageStocks4546[[#This Row],[Contributions ($)]]+BrokerageStocks4546[[#This Row],[Simulated Return ($)]]</f>
        <v>718343693.6651305</v>
      </c>
      <c r="AA119" s="160">
        <f t="shared" si="16"/>
        <v>479708984.07669777</v>
      </c>
      <c r="AB119" s="160">
        <f>BrokerageStocks4546[[#This Row],[Fixed Return BOY Balance ($)]]+BrokerageStocks4546[[#This Row],[Contributions ($)]]</f>
        <v>481059762.47930419</v>
      </c>
      <c r="AC119" s="160">
        <f>BrokerageStocks4546[[#This Row],[Fixed Return Average Balance ($)]]*annual_stock_market_return</f>
        <v>38484780.998344339</v>
      </c>
      <c r="AD119" s="160">
        <f>BrokerageStocks4546[[#This Row],[Fixed Return BOY Balance ($)]]+BrokerageStocks4546[[#This Row],[Contributions ($)]]+BrokerageStocks4546[[#This Row],[Fixed Average Return ($)]]</f>
        <v>519544543.47764856</v>
      </c>
      <c r="AF119" s="208">
        <v>0</v>
      </c>
      <c r="AG119" s="164">
        <f t="shared" ca="1" si="15"/>
        <v>440023012.61394137</v>
      </c>
      <c r="AH119" s="209">
        <f ca="1">BrokerageStocks45[[#This Row],[Simulation BOY Balance ($)]]+(BrokerageStocks45[[#This Row],[Contributions ($)]]/2)</f>
        <v>440023012.61394137</v>
      </c>
      <c r="AI119" s="160">
        <f ca="1">BrokerageStocks45[[#This Row],[Simulation Average Annual Balance ($)]]*Table53[[#This Row],[Simulated Return (%)]]</f>
        <v>8970845.187514456</v>
      </c>
      <c r="AJ119" s="160">
        <f ca="1">BrokerageStocks45[[#This Row],[Simulation BOY Balance ($)]]+BrokerageStocks45[[#This Row],[Contributions ($)]]+BrokerageStocks45[[#This Row],[Simulated Return ($)]]</f>
        <v>448993857.80145586</v>
      </c>
      <c r="AK119" s="164">
        <f t="shared" si="17"/>
        <v>327404789.7690146</v>
      </c>
      <c r="AL119" s="209">
        <f>BrokerageStocks45[[#This Row],[Fixed Return BOY Balance ($)]]+(BrokerageStocks45[[#This Row],[Contributions ($)]]/2)</f>
        <v>327404789.7690146</v>
      </c>
      <c r="AM119" s="160">
        <f>BrokerageStocks45[[#This Row],[Fixed Return Average Annual Balance]]*annual_stock_market_return</f>
        <v>26192383.18152117</v>
      </c>
      <c r="AN119" s="160">
        <f>BrokerageStocks45[[#This Row],[Fixed Return BOY Balance ($)]]+BrokerageStocks45[[#This Row],[Contributions ($)]]+BrokerageStocks45[[#This Row],[Fixed Average Return ($)]]</f>
        <v>353597172.95053577</v>
      </c>
    </row>
    <row r="120" spans="11:40" x14ac:dyDescent="0.25">
      <c r="K120">
        <v>98</v>
      </c>
      <c r="L120">
        <f t="shared" si="18"/>
        <v>2120</v>
      </c>
      <c r="M120" s="198">
        <f>IF(Table53[[#This Row],[Calendar Year]]&gt;=$C$8,Table53[[#This Row],[Calendar Year]],NA())</f>
        <v>2120</v>
      </c>
      <c r="N120" s="198" t="e">
        <f>IF((Table53[[#This Row],[Calendar Year]]&gt;=$C$8)*(Table53[[#This Row],[Calendar Year]]&lt;=$C$10),Table53[[#This Row],[Calendar Year]],NA())</f>
        <v>#N/A</v>
      </c>
      <c r="O120" s="214" t="e">
        <f>IF((Table53[[#This Row],[Year (Range)]]&gt;=$C$8)*(Table53[[#This Row],[Year (Range)]]&lt;=$C$10),BrokerageStocks4546[[#This Row],[Buy: Simulated EOY Investment Balance ($)]],NA())</f>
        <v>#N/A</v>
      </c>
      <c r="P120" s="214" t="e">
        <f>IF((Table53[[#This Row],[Year (Range)]]&gt;=$C$8)*(Table53[[#This Row],[Year (Range)]]&lt;=$C$10),BrokerageStocks45[[#This Row],[Rent: Simulated EOY Investment Balance ($)]],NA())</f>
        <v>#N/A</v>
      </c>
      <c r="Q120" s="214" t="e">
        <f>IF((Table53[[#This Row],[Year (Range)]]&gt;=$C$8)*(Table53[[#This Row],[Year (Range)]]&lt;=$C$10),BrokerageStocks4546[[#This Row],[Buy: Fixed Average Return EOY Investment Balance ($)]],NA())</f>
        <v>#N/A</v>
      </c>
      <c r="R120" s="214" t="e">
        <f>IF((Table53[[#This Row],[Year (Range)]]&gt;=$C$8)*(Table53[[#This Row],[Year (Range)]]&lt;=$C$10),BrokerageStocks45[[#This Row],[Rent: Fixed Average Return EOY Investment Balance ($)]],NA())</f>
        <v>#N/A</v>
      </c>
      <c r="S120" s="224">
        <f t="shared" ca="1" si="11"/>
        <v>0.18951392430705052</v>
      </c>
      <c r="T120" s="222">
        <f t="shared" si="13"/>
        <v>0.08</v>
      </c>
      <c r="V120" s="208">
        <f>'Difference in Expenses'!AF116</f>
        <v>1407465.2920956539</v>
      </c>
      <c r="W120" s="164">
        <f t="shared" ca="1" si="14"/>
        <v>718343693.6651305</v>
      </c>
      <c r="X120" s="209">
        <f ca="1">BrokerageStocks4546[[#This Row],[Simulation BOY Balance ($)]]+(BrokerageStocks4546[[#This Row],[Contributions ($)]]/2)</f>
        <v>719047426.31117833</v>
      </c>
      <c r="Y120" s="160">
        <f ca="1">BrokerageStocks4546[[#This Row],[Simulation Average Annual Balance ($)]]*Table53[[#This Row],[Simulated Return (%)]]</f>
        <v>136269499.52311614</v>
      </c>
      <c r="Z120" s="160">
        <f ca="1">BrokerageStocks4546[[#This Row],[Simulation BOY Balance ($)]]+BrokerageStocks4546[[#This Row],[Contributions ($)]]+BrokerageStocks4546[[#This Row],[Simulated Return ($)]]</f>
        <v>856020658.48034227</v>
      </c>
      <c r="AA120" s="160">
        <f t="shared" si="16"/>
        <v>519544543.47764856</v>
      </c>
      <c r="AB120" s="160">
        <f>BrokerageStocks4546[[#This Row],[Fixed Return BOY Balance ($)]]+BrokerageStocks4546[[#This Row],[Contributions ($)]]</f>
        <v>520952008.76974422</v>
      </c>
      <c r="AC120" s="160">
        <f>BrokerageStocks4546[[#This Row],[Fixed Return Average Balance ($)]]*annual_stock_market_return</f>
        <v>41676160.701579541</v>
      </c>
      <c r="AD120" s="160">
        <f>BrokerageStocks4546[[#This Row],[Fixed Return BOY Balance ($)]]+BrokerageStocks4546[[#This Row],[Contributions ($)]]+BrokerageStocks4546[[#This Row],[Fixed Average Return ($)]]</f>
        <v>562628169.47132373</v>
      </c>
      <c r="AF120" s="208">
        <v>0</v>
      </c>
      <c r="AG120" s="164">
        <f t="shared" ca="1" si="15"/>
        <v>448993857.80145586</v>
      </c>
      <c r="AH120" s="209">
        <f ca="1">BrokerageStocks45[[#This Row],[Simulation BOY Balance ($)]]+(BrokerageStocks45[[#This Row],[Contributions ($)]]/2)</f>
        <v>448993857.80145586</v>
      </c>
      <c r="AI120" s="160">
        <f ca="1">BrokerageStocks45[[#This Row],[Simulation Average Annual Balance ($)]]*Table53[[#This Row],[Simulated Return (%)]]</f>
        <v>85090587.981715709</v>
      </c>
      <c r="AJ120" s="160">
        <f ca="1">BrokerageStocks45[[#This Row],[Simulation BOY Balance ($)]]+BrokerageStocks45[[#This Row],[Contributions ($)]]+BrokerageStocks45[[#This Row],[Simulated Return ($)]]</f>
        <v>534084445.78317153</v>
      </c>
      <c r="AK120" s="164">
        <f t="shared" si="17"/>
        <v>353597172.95053577</v>
      </c>
      <c r="AL120" s="209">
        <f>BrokerageStocks45[[#This Row],[Fixed Return BOY Balance ($)]]+(BrokerageStocks45[[#This Row],[Contributions ($)]]/2)</f>
        <v>353597172.95053577</v>
      </c>
      <c r="AM120" s="160">
        <f>BrokerageStocks45[[#This Row],[Fixed Return Average Annual Balance]]*annual_stock_market_return</f>
        <v>28287773.836042862</v>
      </c>
      <c r="AN120" s="160">
        <f>BrokerageStocks45[[#This Row],[Fixed Return BOY Balance ($)]]+BrokerageStocks45[[#This Row],[Contributions ($)]]+BrokerageStocks45[[#This Row],[Fixed Average Return ($)]]</f>
        <v>381884946.78657866</v>
      </c>
    </row>
    <row r="121" spans="11:40" x14ac:dyDescent="0.25">
      <c r="K121">
        <v>99</v>
      </c>
      <c r="L121">
        <f t="shared" si="18"/>
        <v>2121</v>
      </c>
      <c r="M121" s="198">
        <f>IF(Table53[[#This Row],[Calendar Year]]&gt;=$C$8,Table53[[#This Row],[Calendar Year]],NA())</f>
        <v>2121</v>
      </c>
      <c r="N121" s="198" t="e">
        <f>IF((Table53[[#This Row],[Calendar Year]]&gt;=$C$8)*(Table53[[#This Row],[Calendar Year]]&lt;=$C$10),Table53[[#This Row],[Calendar Year]],NA())</f>
        <v>#N/A</v>
      </c>
      <c r="O121" s="214" t="e">
        <f>IF((Table53[[#This Row],[Year (Range)]]&gt;=$C$8)*(Table53[[#This Row],[Year (Range)]]&lt;=$C$10),BrokerageStocks4546[[#This Row],[Buy: Simulated EOY Investment Balance ($)]],NA())</f>
        <v>#N/A</v>
      </c>
      <c r="P121" s="214" t="e">
        <f>IF((Table53[[#This Row],[Year (Range)]]&gt;=$C$8)*(Table53[[#This Row],[Year (Range)]]&lt;=$C$10),BrokerageStocks45[[#This Row],[Rent: Simulated EOY Investment Balance ($)]],NA())</f>
        <v>#N/A</v>
      </c>
      <c r="Q121" s="214" t="e">
        <f>IF((Table53[[#This Row],[Year (Range)]]&gt;=$C$8)*(Table53[[#This Row],[Year (Range)]]&lt;=$C$10),BrokerageStocks4546[[#This Row],[Buy: Fixed Average Return EOY Investment Balance ($)]],NA())</f>
        <v>#N/A</v>
      </c>
      <c r="R121" s="214" t="e">
        <f>IF((Table53[[#This Row],[Year (Range)]]&gt;=$C$8)*(Table53[[#This Row],[Year (Range)]]&lt;=$C$10),BrokerageStocks45[[#This Row],[Rent: Fixed Average Return EOY Investment Balance ($)]],NA())</f>
        <v>#N/A</v>
      </c>
      <c r="S121" s="224">
        <f t="shared" ca="1" si="11"/>
        <v>0.27344913593920733</v>
      </c>
      <c r="T121" s="222">
        <f t="shared" si="13"/>
        <v>0.08</v>
      </c>
      <c r="V121" s="208">
        <f>'Difference in Expenses'!AF117</f>
        <v>1466499.3297660099</v>
      </c>
      <c r="W121" s="164">
        <f t="shared" ca="1" si="14"/>
        <v>856020658.48034227</v>
      </c>
      <c r="X121" s="209">
        <f ca="1">BrokerageStocks4546[[#This Row],[Simulation BOY Balance ($)]]+(BrokerageStocks4546[[#This Row],[Contributions ($)]]/2)</f>
        <v>856753908.14522529</v>
      </c>
      <c r="Y121" s="160">
        <f ca="1">BrokerageStocks4546[[#This Row],[Simulation Average Annual Balance ($)]]*Table53[[#This Row],[Simulated Return (%)]]</f>
        <v>234278615.89485085</v>
      </c>
      <c r="Z121" s="160">
        <f ca="1">BrokerageStocks4546[[#This Row],[Simulation BOY Balance ($)]]+BrokerageStocks4546[[#This Row],[Contributions ($)]]+BrokerageStocks4546[[#This Row],[Simulated Return ($)]]</f>
        <v>1091765773.7049592</v>
      </c>
      <c r="AA121" s="160">
        <f t="shared" si="16"/>
        <v>562628169.47132373</v>
      </c>
      <c r="AB121" s="160">
        <f>BrokerageStocks4546[[#This Row],[Fixed Return BOY Balance ($)]]+BrokerageStocks4546[[#This Row],[Contributions ($)]]</f>
        <v>564094668.80108976</v>
      </c>
      <c r="AC121" s="160">
        <f>BrokerageStocks4546[[#This Row],[Fixed Return Average Balance ($)]]*annual_stock_market_return</f>
        <v>45127573.50408718</v>
      </c>
      <c r="AD121" s="160">
        <f>BrokerageStocks4546[[#This Row],[Fixed Return BOY Balance ($)]]+BrokerageStocks4546[[#This Row],[Contributions ($)]]+BrokerageStocks4546[[#This Row],[Fixed Average Return ($)]]</f>
        <v>609222242.30517697</v>
      </c>
      <c r="AF121" s="208">
        <v>0</v>
      </c>
      <c r="AG121" s="164">
        <f t="shared" ca="1" si="15"/>
        <v>534084445.78317153</v>
      </c>
      <c r="AH121" s="209">
        <f ca="1">BrokerageStocks45[[#This Row],[Simulation BOY Balance ($)]]+(BrokerageStocks45[[#This Row],[Contributions ($)]]/2)</f>
        <v>534084445.78317153</v>
      </c>
      <c r="AI121" s="160">
        <f ca="1">BrokerageStocks45[[#This Row],[Simulation Average Annual Balance ($)]]*Table53[[#This Row],[Simulated Return (%)]]</f>
        <v>146044930.21797869</v>
      </c>
      <c r="AJ121" s="160">
        <f ca="1">BrokerageStocks45[[#This Row],[Simulation BOY Balance ($)]]+BrokerageStocks45[[#This Row],[Contributions ($)]]+BrokerageStocks45[[#This Row],[Simulated Return ($)]]</f>
        <v>680129376.00115025</v>
      </c>
      <c r="AK121" s="164">
        <f t="shared" si="17"/>
        <v>381884946.78657866</v>
      </c>
      <c r="AL121" s="209">
        <f>BrokerageStocks45[[#This Row],[Fixed Return BOY Balance ($)]]+(BrokerageStocks45[[#This Row],[Contributions ($)]]/2)</f>
        <v>381884946.78657866</v>
      </c>
      <c r="AM121" s="160">
        <f>BrokerageStocks45[[#This Row],[Fixed Return Average Annual Balance]]*annual_stock_market_return</f>
        <v>30550795.742926292</v>
      </c>
      <c r="AN121" s="160">
        <f>BrokerageStocks45[[#This Row],[Fixed Return BOY Balance ($)]]+BrokerageStocks45[[#This Row],[Contributions ($)]]+BrokerageStocks45[[#This Row],[Fixed Average Return ($)]]</f>
        <v>412435742.52950495</v>
      </c>
    </row>
  </sheetData>
  <sheetProtection algorithmName="SHA-512" hashValue="YFS70lLGJgg+GesWN4dQuwSS8eddol91iz+jfyADgMps4shFiq0DORnfR1q4Hdl+AZq6Swv0ev/sLmgfyljwIw==" saltValue="mFvlGg4axdW4KVN2wtEuHQ==" spinCount="100000" sheet="1" objects="1" scenarios="1"/>
  <mergeCells count="14">
    <mergeCell ref="B7:C7"/>
    <mergeCell ref="B8:B9"/>
    <mergeCell ref="C8:C9"/>
    <mergeCell ref="B10:B11"/>
    <mergeCell ref="C10:C11"/>
    <mergeCell ref="K20:S20"/>
    <mergeCell ref="K7:L7"/>
    <mergeCell ref="K4:L4"/>
    <mergeCell ref="AG20:AJ20"/>
    <mergeCell ref="AK20:AN20"/>
    <mergeCell ref="W20:Z20"/>
    <mergeCell ref="AA20:AD20"/>
    <mergeCell ref="W19:AD19"/>
    <mergeCell ref="AG19:AN19"/>
  </mergeCells>
  <phoneticPr fontId="6" type="noConversion"/>
  <pageMargins left="0.25" right="0.25" top="0.75" bottom="0.75" header="0.3" footer="0.3"/>
  <pageSetup scale="2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69633" r:id="rId4" name="Spinner 1">
              <controlPr defaultSize="0" autoPict="0">
                <anchor moveWithCells="1" sizeWithCells="1">
                  <from>
                    <xdr:col>3</xdr:col>
                    <xdr:colOff>15240</xdr:colOff>
                    <xdr:row>6</xdr:row>
                    <xdr:rowOff>167640</xdr:rowOff>
                  </from>
                  <to>
                    <xdr:col>3</xdr:col>
                    <xdr:colOff>281940</xdr:colOff>
                    <xdr:row>8</xdr:row>
                    <xdr:rowOff>167640</xdr:rowOff>
                  </to>
                </anchor>
              </controlPr>
            </control>
          </mc:Choice>
        </mc:AlternateContent>
        <mc:AlternateContent xmlns:mc="http://schemas.openxmlformats.org/markup-compatibility/2006">
          <mc:Choice Requires="x14">
            <control shapeId="69634" r:id="rId5" name="Spinner 2">
              <controlPr defaultSize="0" autoPict="0">
                <anchor moveWithCells="1" sizeWithCells="1">
                  <from>
                    <xdr:col>3</xdr:col>
                    <xdr:colOff>22860</xdr:colOff>
                    <xdr:row>9</xdr:row>
                    <xdr:rowOff>7620</xdr:rowOff>
                  </from>
                  <to>
                    <xdr:col>3</xdr:col>
                    <xdr:colOff>281940</xdr:colOff>
                    <xdr:row>11</xdr:row>
                    <xdr:rowOff>0</xdr:rowOff>
                  </to>
                </anchor>
              </controlPr>
            </control>
          </mc:Choice>
        </mc:AlternateContent>
      </controls>
    </mc:Choice>
  </mc:AlternateContent>
  <tableParts count="5">
    <tablePart r:id="rId6"/>
    <tablePart r:id="rId7"/>
    <tablePart r:id="rId8"/>
    <tablePart r:id="rId9"/>
    <tablePart r:id="rId10"/>
  </tablePart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F5BD6-9035-4245-B8B4-3C8F8BFD71E6}">
  <sheetPr>
    <tabColor theme="4" tint="0.79998168889431442"/>
    <pageSetUpPr fitToPage="1"/>
  </sheetPr>
  <dimension ref="B3:V116"/>
  <sheetViews>
    <sheetView zoomScaleNormal="100" workbookViewId="0"/>
  </sheetViews>
  <sheetFormatPr defaultRowHeight="13.2" x14ac:dyDescent="0.25"/>
  <cols>
    <col min="1" max="10" width="8.88671875" style="11"/>
    <col min="11" max="11" width="7.109375" style="11" bestFit="1" customWidth="1"/>
    <col min="12" max="12" width="9.88671875" style="11" customWidth="1"/>
    <col min="13" max="13" width="57.88671875" style="11" hidden="1" customWidth="1"/>
    <col min="14" max="14" width="10.109375" style="11" hidden="1" customWidth="1"/>
    <col min="15" max="16" width="14.109375" style="11" hidden="1" customWidth="1"/>
    <col min="17" max="17" width="11.109375" style="11" bestFit="1" customWidth="1"/>
    <col min="18" max="18" width="14.21875" style="11" bestFit="1" customWidth="1"/>
    <col min="19" max="19" width="14.5546875" style="11" customWidth="1"/>
    <col min="20" max="20" width="13.5546875" style="11" bestFit="1" customWidth="1"/>
    <col min="21" max="21" width="15.109375" style="11" customWidth="1"/>
    <col min="22" max="22" width="12.33203125" style="11" customWidth="1"/>
    <col min="23" max="16384" width="8.88671875" style="11"/>
  </cols>
  <sheetData>
    <row r="3" spans="2:22" x14ac:dyDescent="0.25">
      <c r="Q3" s="58"/>
    </row>
    <row r="7" spans="2:22" x14ac:dyDescent="0.25">
      <c r="B7" s="317" t="s">
        <v>500</v>
      </c>
      <c r="C7" s="317"/>
    </row>
    <row r="8" spans="2:22" x14ac:dyDescent="0.25">
      <c r="B8" s="318" t="s">
        <v>466</v>
      </c>
      <c r="C8" s="342">
        <v>2017</v>
      </c>
      <c r="D8" s="260"/>
    </row>
    <row r="9" spans="2:22" x14ac:dyDescent="0.25">
      <c r="B9" s="319"/>
      <c r="C9" s="343"/>
      <c r="D9" s="260"/>
    </row>
    <row r="10" spans="2:22" x14ac:dyDescent="0.25">
      <c r="B10" s="318" t="s">
        <v>467</v>
      </c>
      <c r="C10" s="344">
        <v>2061</v>
      </c>
      <c r="D10" s="260"/>
    </row>
    <row r="11" spans="2:22" x14ac:dyDescent="0.25">
      <c r="B11" s="319"/>
      <c r="C11" s="345"/>
      <c r="D11" s="260"/>
      <c r="L11" s="58"/>
      <c r="M11" s="11" t="s">
        <v>565</v>
      </c>
    </row>
    <row r="14" spans="2:22" x14ac:dyDescent="0.25">
      <c r="R14" s="58"/>
      <c r="U14" s="58"/>
    </row>
    <row r="15" spans="2:22" x14ac:dyDescent="0.25">
      <c r="K15" s="58"/>
      <c r="L15" s="58"/>
      <c r="M15" s="58"/>
      <c r="N15" s="58"/>
      <c r="O15" s="58"/>
      <c r="P15" s="58"/>
      <c r="Q15" s="340" t="s">
        <v>536</v>
      </c>
      <c r="R15" s="340"/>
      <c r="S15" s="340"/>
      <c r="T15" s="340"/>
      <c r="U15" s="341" t="s">
        <v>584</v>
      </c>
      <c r="V15" s="341"/>
    </row>
    <row r="16" spans="2:22" ht="42.6" customHeight="1" thickBot="1" x14ac:dyDescent="0.3">
      <c r="K16" s="230" t="s">
        <v>3</v>
      </c>
      <c r="L16" s="117" t="s">
        <v>117</v>
      </c>
      <c r="M16" s="117" t="s">
        <v>468</v>
      </c>
      <c r="N16" s="117" t="s">
        <v>472</v>
      </c>
      <c r="O16" s="117" t="s">
        <v>563</v>
      </c>
      <c r="P16" s="117" t="s">
        <v>564</v>
      </c>
      <c r="Q16" s="117" t="s">
        <v>439</v>
      </c>
      <c r="R16" s="117" t="s">
        <v>222</v>
      </c>
      <c r="S16" s="117" t="s">
        <v>601</v>
      </c>
      <c r="T16" s="117" t="s">
        <v>537</v>
      </c>
      <c r="U16" s="117" t="s">
        <v>602</v>
      </c>
      <c r="V16" s="117" t="s">
        <v>538</v>
      </c>
    </row>
    <row r="17" spans="11:22" x14ac:dyDescent="0.25">
      <c r="K17" s="161">
        <v>1</v>
      </c>
      <c r="L17" s="231">
        <f>purchase_year</f>
        <v>2022</v>
      </c>
      <c r="M17" s="216" t="e">
        <f>IF(AnnualExpenses[[#This Row],[Calendar Year]]&gt;=$C$8,Table48[[#This Row],[Calendar Year]],NA())</f>
        <v>#VALUE!</v>
      </c>
      <c r="N17" s="216">
        <f>IF((Table48[[#This Row],[Calendar Year]]&gt;=$C$8)*(Table48[[#This Row],[Calendar Year]]&lt;=$C$10),Table48[[#This Row],[Calendar Year]],NA())</f>
        <v>2022</v>
      </c>
      <c r="O17" s="159">
        <f ca="1">IF((Table48[[#This Row],[Year (Range)]]&gt;=$C$8)*(Table48[[#This Row],[Year (Range)]]&lt;=$C$10),Table48[[#This Row],[Buy Total Assets]],NA())</f>
        <v>88646.452031368201</v>
      </c>
      <c r="P17" s="159">
        <f ca="1">IF((Table48[[#This Row],[Year (Range)]]&gt;=$C$8)*(Table48[[#This Row],[Year (Range)]]&lt;=$C$10),Table48[[#This Row],[Rent Total Assets]],NA())</f>
        <v>90252.426817340442</v>
      </c>
      <c r="Q17" s="232">
        <f>'Annual Amort. Sch.'!AI17</f>
        <v>67646.452031368201</v>
      </c>
      <c r="R17" s="233">
        <f>'Annual Amort. Sch.'!AF17</f>
        <v>21000</v>
      </c>
      <c r="S17" s="233">
        <f ca="1">'Investment Simulation'!Z22</f>
        <v>0</v>
      </c>
      <c r="T17" s="233">
        <f t="shared" ref="T17:T48" ca="1" si="0">SUM(Q17:S17)</f>
        <v>88646.452031368201</v>
      </c>
      <c r="U17" s="232">
        <f ca="1">'Investment Simulation'!AJ22</f>
        <v>90252.426817340442</v>
      </c>
      <c r="V17" s="234">
        <f t="shared" ref="V17:V48" ca="1" si="1">U17</f>
        <v>90252.426817340442</v>
      </c>
    </row>
    <row r="18" spans="11:22" x14ac:dyDescent="0.25">
      <c r="K18" s="161">
        <v>2</v>
      </c>
      <c r="L18" s="235">
        <f t="shared" ref="L18:L49" si="2">purchase_year+K17</f>
        <v>2023</v>
      </c>
      <c r="M18" s="161">
        <f>IF(AnnualExpenses[[#This Row],[Calendar Year]]&gt;=$C$8,Table48[[#This Row],[Calendar Year]],NA())</f>
        <v>2023</v>
      </c>
      <c r="N18" s="161">
        <f>IF((Table48[[#This Row],[Calendar Year]]&gt;=$C$8)*(Table48[[#This Row],[Calendar Year]]&lt;=$C$10),Table48[[#This Row],[Calendar Year]],NA())</f>
        <v>2023</v>
      </c>
      <c r="O18" s="159">
        <f ca="1">IF((Table48[[#This Row],[Year (Range)]]&gt;=$C$8)*(Table48[[#This Row],[Year (Range)]]&lt;=$C$10),Table48[[#This Row],[Buy Total Assets]],NA())</f>
        <v>118471.98996341816</v>
      </c>
      <c r="P18" s="159">
        <f ca="1">IF((Table48[[#This Row],[Year (Range)]]&gt;=$C$8)*(Table48[[#This Row],[Year (Range)]]&lt;=$C$10),Table48[[#This Row],[Rent Total Assets]],NA())</f>
        <v>113531.44977059828</v>
      </c>
      <c r="Q18" s="236">
        <f>'Annual Amort. Sch.'!AI18</f>
        <v>75736.989963418164</v>
      </c>
      <c r="R18" s="4">
        <f>'Annual Amort. Sch.'!AF18</f>
        <v>42735</v>
      </c>
      <c r="S18" s="4">
        <f ca="1">'Investment Simulation'!Z23</f>
        <v>0</v>
      </c>
      <c r="T18" s="4">
        <f t="shared" ca="1" si="0"/>
        <v>118471.98996341816</v>
      </c>
      <c r="U18" s="236">
        <f ca="1">'Investment Simulation'!AJ23</f>
        <v>113531.44977059828</v>
      </c>
      <c r="V18" s="237">
        <f t="shared" ca="1" si="1"/>
        <v>113531.44977059828</v>
      </c>
    </row>
    <row r="19" spans="11:22" x14ac:dyDescent="0.25">
      <c r="K19" s="161">
        <v>3</v>
      </c>
      <c r="L19" s="235">
        <f t="shared" si="2"/>
        <v>2024</v>
      </c>
      <c r="M19" s="161">
        <f>IF(AnnualExpenses[[#This Row],[Calendar Year]]&gt;=$C$8,Table48[[#This Row],[Calendar Year]],NA())</f>
        <v>2024</v>
      </c>
      <c r="N19" s="161">
        <f>IF((Table48[[#This Row],[Calendar Year]]&gt;=$C$8)*(Table48[[#This Row],[Calendar Year]]&lt;=$C$10),Table48[[#This Row],[Calendar Year]],NA())</f>
        <v>2024</v>
      </c>
      <c r="O19" s="159">
        <f ca="1">IF((Table48[[#This Row],[Year (Range)]]&gt;=$C$8)*(Table48[[#This Row],[Year (Range)]]&lt;=$C$10),Table48[[#This Row],[Buy Total Assets]],NA())</f>
        <v>149527.9001086198</v>
      </c>
      <c r="P19" s="159">
        <f ca="1">IF((Table48[[#This Row],[Year (Range)]]&gt;=$C$8)*(Table48[[#This Row],[Year (Range)]]&lt;=$C$10),Table48[[#This Row],[Rent Total Assets]],NA())</f>
        <v>146052.57501020347</v>
      </c>
      <c r="Q19" s="236">
        <f>'Annual Amort. Sch.'!AI19</f>
        <v>84297.17510861982</v>
      </c>
      <c r="R19" s="4">
        <f>'Annual Amort. Sch.'!AF19</f>
        <v>65230.724999999977</v>
      </c>
      <c r="S19" s="4">
        <f ca="1">'Investment Simulation'!Z24</f>
        <v>0</v>
      </c>
      <c r="T19" s="4">
        <f t="shared" ca="1" si="0"/>
        <v>149527.9001086198</v>
      </c>
      <c r="U19" s="236">
        <f ca="1">'Investment Simulation'!AJ24</f>
        <v>146052.57501020347</v>
      </c>
      <c r="V19" s="237">
        <f t="shared" ca="1" si="1"/>
        <v>146052.57501020347</v>
      </c>
    </row>
    <row r="20" spans="11:22" x14ac:dyDescent="0.25">
      <c r="K20" s="161">
        <v>4</v>
      </c>
      <c r="L20" s="235">
        <f t="shared" si="2"/>
        <v>2025</v>
      </c>
      <c r="M20" s="161">
        <f>IF(AnnualExpenses[[#This Row],[Calendar Year]]&gt;=$C$8,Table48[[#This Row],[Calendar Year]],NA())</f>
        <v>2025</v>
      </c>
      <c r="N20" s="161">
        <f>IF((Table48[[#This Row],[Calendar Year]]&gt;=$C$8)*(Table48[[#This Row],[Calendar Year]]&lt;=$C$10),Table48[[#This Row],[Calendar Year]],NA())</f>
        <v>2025</v>
      </c>
      <c r="O20" s="159">
        <f ca="1">IF((Table48[[#This Row],[Year (Range)]]&gt;=$C$8)*(Table48[[#This Row],[Year (Range)]]&lt;=$C$10),Table48[[#This Row],[Buy Total Assets]],NA())</f>
        <v>182386.8127366741</v>
      </c>
      <c r="P20" s="159">
        <f ca="1">IF((Table48[[#This Row],[Year (Range)]]&gt;=$C$8)*(Table48[[#This Row],[Year (Range)]]&lt;=$C$10),Table48[[#This Row],[Rent Total Assets]],NA())</f>
        <v>202455.02846165275</v>
      </c>
      <c r="Q20" s="236">
        <f>'Annual Amort. Sch.'!AI20</f>
        <v>93873.012361674206</v>
      </c>
      <c r="R20" s="4">
        <f>'Annual Amort. Sch.'!AF20</f>
        <v>88513.800374999875</v>
      </c>
      <c r="S20" s="4">
        <f ca="1">'Investment Simulation'!Z25</f>
        <v>0</v>
      </c>
      <c r="T20" s="4">
        <f t="shared" ca="1" si="0"/>
        <v>182386.8127366741</v>
      </c>
      <c r="U20" s="236">
        <f ca="1">'Investment Simulation'!AJ25</f>
        <v>202455.02846165275</v>
      </c>
      <c r="V20" s="237">
        <f t="shared" ca="1" si="1"/>
        <v>202455.02846165275</v>
      </c>
    </row>
    <row r="21" spans="11:22" x14ac:dyDescent="0.25">
      <c r="K21" s="161">
        <v>5</v>
      </c>
      <c r="L21" s="235">
        <f t="shared" si="2"/>
        <v>2026</v>
      </c>
      <c r="M21" s="161">
        <f>IF(AnnualExpenses[[#This Row],[Calendar Year]]&gt;=$C$8,Table48[[#This Row],[Calendar Year]],NA())</f>
        <v>2026</v>
      </c>
      <c r="N21" s="161">
        <f>IF((Table48[[#This Row],[Calendar Year]]&gt;=$C$8)*(Table48[[#This Row],[Calendar Year]]&lt;=$C$10),Table48[[#This Row],[Calendar Year]],NA())</f>
        <v>2026</v>
      </c>
      <c r="O21" s="159">
        <f ca="1">IF((Table48[[#This Row],[Year (Range)]]&gt;=$C$8)*(Table48[[#This Row],[Year (Range)]]&lt;=$C$10),Table48[[#This Row],[Buy Total Assets]],NA())</f>
        <v>221096.74057107675</v>
      </c>
      <c r="P21" s="159">
        <f ca="1">IF((Table48[[#This Row],[Year (Range)]]&gt;=$C$8)*(Table48[[#This Row],[Year (Range)]]&lt;=$C$10),Table48[[#This Row],[Rent Total Assets]],NA())</f>
        <v>240329.92799976165</v>
      </c>
      <c r="Q21" s="236">
        <f>'Annual Amort. Sch.'!AI21</f>
        <v>108484.95718295198</v>
      </c>
      <c r="R21" s="4">
        <f>'Annual Amort. Sch.'!AF21</f>
        <v>112611.78338812478</v>
      </c>
      <c r="S21" s="4">
        <f ca="1">'Investment Simulation'!Z26</f>
        <v>0</v>
      </c>
      <c r="T21" s="4">
        <f t="shared" ca="1" si="0"/>
        <v>221096.74057107675</v>
      </c>
      <c r="U21" s="236">
        <f ca="1">'Investment Simulation'!AJ26</f>
        <v>240329.92799976165</v>
      </c>
      <c r="V21" s="237">
        <f t="shared" ca="1" si="1"/>
        <v>240329.92799976165</v>
      </c>
    </row>
    <row r="22" spans="11:22" x14ac:dyDescent="0.25">
      <c r="K22" s="161">
        <v>6</v>
      </c>
      <c r="L22" s="235">
        <f t="shared" si="2"/>
        <v>2027</v>
      </c>
      <c r="M22" s="161">
        <f>IF(AnnualExpenses[[#This Row],[Calendar Year]]&gt;=$C$8,Table48[[#This Row],[Calendar Year]],NA())</f>
        <v>2027</v>
      </c>
      <c r="N22" s="161">
        <f>IF((Table48[[#This Row],[Calendar Year]]&gt;=$C$8)*(Table48[[#This Row],[Calendar Year]]&lt;=$C$10),Table48[[#This Row],[Calendar Year]],NA())</f>
        <v>2027</v>
      </c>
      <c r="O22" s="159">
        <f ca="1">IF((Table48[[#This Row],[Year (Range)]]&gt;=$C$8)*(Table48[[#This Row],[Year (Range)]]&lt;=$C$10),Table48[[#This Row],[Buy Total Assets]],NA())</f>
        <v>256470.54718821024</v>
      </c>
      <c r="P22" s="159">
        <f ca="1">IF((Table48[[#This Row],[Year (Range)]]&gt;=$C$8)*(Table48[[#This Row],[Year (Range)]]&lt;=$C$10),Table48[[#This Row],[Rent Total Assets]],NA())</f>
        <v>262760.51595829939</v>
      </c>
      <c r="Q22" s="236">
        <f>'Annual Amort. Sch.'!AI22</f>
        <v>118917.35138150112</v>
      </c>
      <c r="R22" s="4">
        <f>'Annual Amort. Sch.'!AF22</f>
        <v>137553.19580670912</v>
      </c>
      <c r="S22" s="4">
        <f ca="1">'Investment Simulation'!Z27</f>
        <v>0</v>
      </c>
      <c r="T22" s="4">
        <f t="shared" ca="1" si="0"/>
        <v>256470.54718821024</v>
      </c>
      <c r="U22" s="236">
        <f ca="1">'Investment Simulation'!AJ27</f>
        <v>262760.51595829939</v>
      </c>
      <c r="V22" s="237">
        <f t="shared" ca="1" si="1"/>
        <v>262760.51595829939</v>
      </c>
    </row>
    <row r="23" spans="11:22" x14ac:dyDescent="0.25">
      <c r="K23" s="161">
        <v>7</v>
      </c>
      <c r="L23" s="235">
        <f t="shared" si="2"/>
        <v>2028</v>
      </c>
      <c r="M23" s="161">
        <f>IF(AnnualExpenses[[#This Row],[Calendar Year]]&gt;=$C$8,Table48[[#This Row],[Calendar Year]],NA())</f>
        <v>2028</v>
      </c>
      <c r="N23" s="161">
        <f>IF((Table48[[#This Row],[Calendar Year]]&gt;=$C$8)*(Table48[[#This Row],[Calendar Year]]&lt;=$C$10),Table48[[#This Row],[Calendar Year]],NA())</f>
        <v>2028</v>
      </c>
      <c r="O23" s="159">
        <f ca="1">IF((Table48[[#This Row],[Year (Range)]]&gt;=$C$8)*(Table48[[#This Row],[Year (Range)]]&lt;=$C$10),Table48[[#This Row],[Buy Total Assets]],NA())</f>
        <v>293321.4691780695</v>
      </c>
      <c r="P23" s="159">
        <f ca="1">IF((Table48[[#This Row],[Year (Range)]]&gt;=$C$8)*(Table48[[#This Row],[Year (Range)]]&lt;=$C$10),Table48[[#This Row],[Rent Total Assets]],NA())</f>
        <v>249276.07230801781</v>
      </c>
      <c r="Q23" s="236">
        <f>'Annual Amort. Sch.'!AI23</f>
        <v>129953.91151812566</v>
      </c>
      <c r="R23" s="4">
        <f>'Annual Amort. Sch.'!AF23</f>
        <v>163367.55765994382</v>
      </c>
      <c r="S23" s="4">
        <f ca="1">'Investment Simulation'!Z28</f>
        <v>0</v>
      </c>
      <c r="T23" s="4">
        <f t="shared" ca="1" si="0"/>
        <v>293321.4691780695</v>
      </c>
      <c r="U23" s="236">
        <f ca="1">'Investment Simulation'!AJ28</f>
        <v>249276.07230801781</v>
      </c>
      <c r="V23" s="237">
        <f t="shared" ca="1" si="1"/>
        <v>249276.07230801781</v>
      </c>
    </row>
    <row r="24" spans="11:22" x14ac:dyDescent="0.25">
      <c r="K24" s="161">
        <v>8</v>
      </c>
      <c r="L24" s="235">
        <f t="shared" si="2"/>
        <v>2029</v>
      </c>
      <c r="M24" s="161">
        <f>IF(AnnualExpenses[[#This Row],[Calendar Year]]&gt;=$C$8,Table48[[#This Row],[Calendar Year]],NA())</f>
        <v>2029</v>
      </c>
      <c r="N24" s="161">
        <f>IF((Table48[[#This Row],[Calendar Year]]&gt;=$C$8)*(Table48[[#This Row],[Calendar Year]]&lt;=$C$10),Table48[[#This Row],[Calendar Year]],NA())</f>
        <v>2029</v>
      </c>
      <c r="O24" s="159">
        <f ca="1">IF((Table48[[#This Row],[Year (Range)]]&gt;=$C$8)*(Table48[[#This Row],[Year (Range)]]&lt;=$C$10),Table48[[#This Row],[Buy Total Assets]],NA())</f>
        <v>335313.96974317404</v>
      </c>
      <c r="P24" s="159">
        <f ca="1">IF((Table48[[#This Row],[Year (Range)]]&gt;=$C$8)*(Table48[[#This Row],[Year (Range)]]&lt;=$C$10),Table48[[#This Row],[Rent Total Assets]],NA())</f>
        <v>254554.18050398459</v>
      </c>
      <c r="Q24" s="236">
        <f>'Annual Amort. Sch.'!AI24</f>
        <v>145228.54756513226</v>
      </c>
      <c r="R24" s="4">
        <f>'Annual Amort. Sch.'!AF24</f>
        <v>190085.42217804177</v>
      </c>
      <c r="S24" s="4">
        <f ca="1">'Investment Simulation'!Z29</f>
        <v>0</v>
      </c>
      <c r="T24" s="4">
        <f t="shared" ca="1" si="0"/>
        <v>335313.96974317404</v>
      </c>
      <c r="U24" s="236">
        <f ca="1">'Investment Simulation'!AJ29</f>
        <v>254554.18050398459</v>
      </c>
      <c r="V24" s="237">
        <f t="shared" ca="1" si="1"/>
        <v>254554.18050398459</v>
      </c>
    </row>
    <row r="25" spans="11:22" x14ac:dyDescent="0.25">
      <c r="K25" s="161">
        <v>9</v>
      </c>
      <c r="L25" s="235">
        <f t="shared" si="2"/>
        <v>2030</v>
      </c>
      <c r="M25" s="161">
        <f>IF(AnnualExpenses[[#This Row],[Calendar Year]]&gt;=$C$8,Table48[[#This Row],[Calendar Year]],NA())</f>
        <v>2030</v>
      </c>
      <c r="N25" s="161">
        <f>IF((Table48[[#This Row],[Calendar Year]]&gt;=$C$8)*(Table48[[#This Row],[Calendar Year]]&lt;=$C$10),Table48[[#This Row],[Calendar Year]],NA())</f>
        <v>2030</v>
      </c>
      <c r="O25" s="159">
        <f ca="1">IF((Table48[[#This Row],[Year (Range)]]&gt;=$C$8)*(Table48[[#This Row],[Year (Range)]]&lt;=$C$10),Table48[[#This Row],[Buy Total Assets]],NA())</f>
        <v>378119.80674121936</v>
      </c>
      <c r="P25" s="159">
        <f ca="1">IF((Table48[[#This Row],[Year (Range)]]&gt;=$C$8)*(Table48[[#This Row],[Year (Range)]]&lt;=$C$10),Table48[[#This Row],[Rent Total Assets]],NA())</f>
        <v>328568.71159153676</v>
      </c>
      <c r="Q25" s="236">
        <f>'Annual Amort. Sch.'!AI25</f>
        <v>160381.39478694621</v>
      </c>
      <c r="R25" s="4">
        <f>'Annual Amort. Sch.'!AF25</f>
        <v>217738.41195427312</v>
      </c>
      <c r="S25" s="4">
        <f ca="1">'Investment Simulation'!Z30</f>
        <v>0</v>
      </c>
      <c r="T25" s="4">
        <f t="shared" ca="1" si="0"/>
        <v>378119.80674121936</v>
      </c>
      <c r="U25" s="236">
        <f ca="1">'Investment Simulation'!AJ30</f>
        <v>328568.71159153676</v>
      </c>
      <c r="V25" s="237">
        <f t="shared" ca="1" si="1"/>
        <v>328568.71159153676</v>
      </c>
    </row>
    <row r="26" spans="11:22" x14ac:dyDescent="0.25">
      <c r="K26" s="161">
        <v>10</v>
      </c>
      <c r="L26" s="235">
        <f t="shared" si="2"/>
        <v>2031</v>
      </c>
      <c r="M26" s="161">
        <f>IF(AnnualExpenses[[#This Row],[Calendar Year]]&gt;=$C$8,Table48[[#This Row],[Calendar Year]],NA())</f>
        <v>2031</v>
      </c>
      <c r="N26" s="161">
        <f>IF((Table48[[#This Row],[Calendar Year]]&gt;=$C$8)*(Table48[[#This Row],[Calendar Year]]&lt;=$C$10),Table48[[#This Row],[Calendar Year]],NA())</f>
        <v>2031</v>
      </c>
      <c r="O26" s="159">
        <f ca="1">IF((Table48[[#This Row],[Year (Range)]]&gt;=$C$8)*(Table48[[#This Row],[Year (Range)]]&lt;=$C$10),Table48[[#This Row],[Buy Total Assets]],NA())</f>
        <v>424174.16287164169</v>
      </c>
      <c r="P26" s="159">
        <f ca="1">IF((Table48[[#This Row],[Year (Range)]]&gt;=$C$8)*(Table48[[#This Row],[Year (Range)]]&lt;=$C$10),Table48[[#This Row],[Rent Total Assets]],NA())</f>
        <v>321929.92456646741</v>
      </c>
      <c r="Q26" s="236">
        <f>'Annual Amort. Sch.'!AI26</f>
        <v>177814.90649896904</v>
      </c>
      <c r="R26" s="4">
        <f>'Annual Amort. Sch.'!AF26</f>
        <v>246359.25637267262</v>
      </c>
      <c r="S26" s="4">
        <f ca="1">'Investment Simulation'!Z31</f>
        <v>0</v>
      </c>
      <c r="T26" s="4">
        <f t="shared" ca="1" si="0"/>
        <v>424174.16287164169</v>
      </c>
      <c r="U26" s="236">
        <f ca="1">'Investment Simulation'!AJ31</f>
        <v>321929.92456646741</v>
      </c>
      <c r="V26" s="237">
        <f t="shared" ca="1" si="1"/>
        <v>321929.92456646741</v>
      </c>
    </row>
    <row r="27" spans="11:22" x14ac:dyDescent="0.25">
      <c r="K27" s="161">
        <v>11</v>
      </c>
      <c r="L27" s="235">
        <f t="shared" si="2"/>
        <v>2032</v>
      </c>
      <c r="M27" s="161">
        <f>IF(AnnualExpenses[[#This Row],[Calendar Year]]&gt;=$C$8,Table48[[#This Row],[Calendar Year]],NA())</f>
        <v>2032</v>
      </c>
      <c r="N27" s="161">
        <f>IF((Table48[[#This Row],[Calendar Year]]&gt;=$C$8)*(Table48[[#This Row],[Calendar Year]]&lt;=$C$10),Table48[[#This Row],[Calendar Year]],NA())</f>
        <v>2032</v>
      </c>
      <c r="O27" s="159">
        <f ca="1">IF((Table48[[#This Row],[Year (Range)]]&gt;=$C$8)*(Table48[[#This Row],[Year (Range)]]&lt;=$C$10),Table48[[#This Row],[Buy Total Assets]],NA())</f>
        <v>468212.82496543747</v>
      </c>
      <c r="P27" s="159">
        <f ca="1">IF((Table48[[#This Row],[Year (Range)]]&gt;=$C$8)*(Table48[[#This Row],[Year (Range)]]&lt;=$C$10),Table48[[#This Row],[Rent Total Assets]],NA())</f>
        <v>334476.74744929594</v>
      </c>
      <c r="Q27" s="236">
        <f>'Annual Amort. Sch.'!AI27</f>
        <v>192230.99461972137</v>
      </c>
      <c r="R27" s="4">
        <f>'Annual Amort. Sch.'!AF27</f>
        <v>275981.83034571609</v>
      </c>
      <c r="S27" s="4">
        <f ca="1">'Investment Simulation'!Z32</f>
        <v>0</v>
      </c>
      <c r="T27" s="4">
        <f t="shared" ca="1" si="0"/>
        <v>468212.82496543747</v>
      </c>
      <c r="U27" s="236">
        <f ca="1">'Investment Simulation'!AJ32</f>
        <v>334476.74744929594</v>
      </c>
      <c r="V27" s="237">
        <f t="shared" ca="1" si="1"/>
        <v>334476.74744929594</v>
      </c>
    </row>
    <row r="28" spans="11:22" x14ac:dyDescent="0.25">
      <c r="K28" s="161">
        <v>12</v>
      </c>
      <c r="L28" s="235">
        <f t="shared" si="2"/>
        <v>2033</v>
      </c>
      <c r="M28" s="161">
        <f>IF(AnnualExpenses[[#This Row],[Calendar Year]]&gt;=$C$8,Table48[[#This Row],[Calendar Year]],NA())</f>
        <v>2033</v>
      </c>
      <c r="N28" s="161">
        <f>IF((Table48[[#This Row],[Calendar Year]]&gt;=$C$8)*(Table48[[#This Row],[Calendar Year]]&lt;=$C$10),Table48[[#This Row],[Calendar Year]],NA())</f>
        <v>2033</v>
      </c>
      <c r="O28" s="159">
        <f ca="1">IF((Table48[[#This Row],[Year (Range)]]&gt;=$C$8)*(Table48[[#This Row],[Year (Range)]]&lt;=$C$10),Table48[[#This Row],[Buy Total Assets]],NA())</f>
        <v>521252.93003610079</v>
      </c>
      <c r="P28" s="159">
        <f ca="1">IF((Table48[[#This Row],[Year (Range)]]&gt;=$C$8)*(Table48[[#This Row],[Year (Range)]]&lt;=$C$10),Table48[[#This Row],[Rent Total Assets]],NA())</f>
        <v>363247.93918858422</v>
      </c>
      <c r="Q28" s="236">
        <f>'Annual Amort. Sch.'!AI28</f>
        <v>214611.73562828478</v>
      </c>
      <c r="R28" s="4">
        <f>'Annual Amort. Sch.'!AF28</f>
        <v>306641.19440781604</v>
      </c>
      <c r="S28" s="4">
        <f ca="1">'Investment Simulation'!Z33</f>
        <v>0</v>
      </c>
      <c r="T28" s="4">
        <f t="shared" ca="1" si="0"/>
        <v>521252.93003610079</v>
      </c>
      <c r="U28" s="236">
        <f ca="1">'Investment Simulation'!AJ33</f>
        <v>363247.93918858422</v>
      </c>
      <c r="V28" s="237">
        <f t="shared" ca="1" si="1"/>
        <v>363247.93918858422</v>
      </c>
    </row>
    <row r="29" spans="11:22" x14ac:dyDescent="0.25">
      <c r="K29" s="161">
        <v>13</v>
      </c>
      <c r="L29" s="235">
        <f t="shared" si="2"/>
        <v>2034</v>
      </c>
      <c r="M29" s="161">
        <f>IF(AnnualExpenses[[#This Row],[Calendar Year]]&gt;=$C$8,Table48[[#This Row],[Calendar Year]],NA())</f>
        <v>2034</v>
      </c>
      <c r="N29" s="161">
        <f>IF((Table48[[#This Row],[Calendar Year]]&gt;=$C$8)*(Table48[[#This Row],[Calendar Year]]&lt;=$C$10),Table48[[#This Row],[Calendar Year]],NA())</f>
        <v>2034</v>
      </c>
      <c r="O29" s="159">
        <f ca="1">IF((Table48[[#This Row],[Year (Range)]]&gt;=$C$8)*(Table48[[#This Row],[Year (Range)]]&lt;=$C$10),Table48[[#This Row],[Buy Total Assets]],NA())</f>
        <v>570245.12001957197</v>
      </c>
      <c r="P29" s="159">
        <f ca="1">IF((Table48[[#This Row],[Year (Range)]]&gt;=$C$8)*(Table48[[#This Row],[Year (Range)]]&lt;=$C$10),Table48[[#This Row],[Rent Total Assets]],NA())</f>
        <v>504635.42969370179</v>
      </c>
      <c r="Q29" s="236">
        <f>'Annual Amort. Sch.'!AI29</f>
        <v>231871.48380748244</v>
      </c>
      <c r="R29" s="4">
        <f>'Annual Amort. Sch.'!AF29</f>
        <v>338373.63621208956</v>
      </c>
      <c r="S29" s="4">
        <f ca="1">'Investment Simulation'!Z34</f>
        <v>0</v>
      </c>
      <c r="T29" s="4">
        <f t="shared" ca="1" si="0"/>
        <v>570245.12001957197</v>
      </c>
      <c r="U29" s="236">
        <f ca="1">'Investment Simulation'!AJ34</f>
        <v>504635.42969370179</v>
      </c>
      <c r="V29" s="237">
        <f t="shared" ca="1" si="1"/>
        <v>504635.42969370179</v>
      </c>
    </row>
    <row r="30" spans="11:22" x14ac:dyDescent="0.25">
      <c r="K30" s="161">
        <v>14</v>
      </c>
      <c r="L30" s="235">
        <f t="shared" si="2"/>
        <v>2035</v>
      </c>
      <c r="M30" s="161">
        <f>IF(AnnualExpenses[[#This Row],[Calendar Year]]&gt;=$C$8,Table48[[#This Row],[Calendar Year]],NA())</f>
        <v>2035</v>
      </c>
      <c r="N30" s="161">
        <f>IF((Table48[[#This Row],[Calendar Year]]&gt;=$C$8)*(Table48[[#This Row],[Calendar Year]]&lt;=$C$10),Table48[[#This Row],[Calendar Year]],NA())</f>
        <v>2035</v>
      </c>
      <c r="O30" s="159">
        <f ca="1">IF((Table48[[#This Row],[Year (Range)]]&gt;=$C$8)*(Table48[[#This Row],[Year (Range)]]&lt;=$C$10),Table48[[#This Row],[Buy Total Assets]],NA())</f>
        <v>620779.98990187317</v>
      </c>
      <c r="P30" s="159">
        <f ca="1">IF((Table48[[#This Row],[Year (Range)]]&gt;=$C$8)*(Table48[[#This Row],[Year (Range)]]&lt;=$C$10),Table48[[#This Row],[Rent Total Assets]],NA())</f>
        <v>602328.0112083446</v>
      </c>
      <c r="Q30" s="236">
        <f>'Annual Amort. Sch.'!AI30</f>
        <v>248940.87887501338</v>
      </c>
      <c r="R30" s="4">
        <f>'Annual Amort. Sch.'!AF30</f>
        <v>371216.7134795126</v>
      </c>
      <c r="S30" s="4">
        <f ca="1">'Investment Simulation'!Z35</f>
        <v>622.39754734715916</v>
      </c>
      <c r="T30" s="4">
        <f t="shared" ca="1" si="0"/>
        <v>620779.98990187317</v>
      </c>
      <c r="U30" s="236">
        <f ca="1">'Investment Simulation'!AJ35</f>
        <v>602328.0112083446</v>
      </c>
      <c r="V30" s="237">
        <f t="shared" ca="1" si="1"/>
        <v>602328.0112083446</v>
      </c>
    </row>
    <row r="31" spans="11:22" x14ac:dyDescent="0.25">
      <c r="K31" s="161">
        <v>15</v>
      </c>
      <c r="L31" s="235">
        <f t="shared" si="2"/>
        <v>2036</v>
      </c>
      <c r="M31" s="161">
        <f>IF(AnnualExpenses[[#This Row],[Calendar Year]]&gt;=$C$8,Table48[[#This Row],[Calendar Year]],NA())</f>
        <v>2036</v>
      </c>
      <c r="N31" s="161">
        <f>IF((Table48[[#This Row],[Calendar Year]]&gt;=$C$8)*(Table48[[#This Row],[Calendar Year]]&lt;=$C$10),Table48[[#This Row],[Calendar Year]],NA())</f>
        <v>2036</v>
      </c>
      <c r="O31" s="159">
        <f ca="1">IF((Table48[[#This Row],[Year (Range)]]&gt;=$C$8)*(Table48[[#This Row],[Year (Range)]]&lt;=$C$10),Table48[[#This Row],[Buy Total Assets]],NA())</f>
        <v>675868.67761614278</v>
      </c>
      <c r="P31" s="159">
        <f ca="1">IF((Table48[[#This Row],[Year (Range)]]&gt;=$C$8)*(Table48[[#This Row],[Year (Range)]]&lt;=$C$10),Table48[[#This Row],[Rent Total Assets]],NA())</f>
        <v>614547.07360623369</v>
      </c>
      <c r="Q31" s="236">
        <f>'Annual Amort. Sch.'!AI31</f>
        <v>267701.09745940397</v>
      </c>
      <c r="R31" s="4">
        <f>'Annual Amort. Sch.'!AF31</f>
        <v>405209.29845129547</v>
      </c>
      <c r="S31" s="4">
        <f ca="1">'Investment Simulation'!Z36</f>
        <v>2958.2817054433767</v>
      </c>
      <c r="T31" s="4">
        <f t="shared" ca="1" si="0"/>
        <v>675868.67761614278</v>
      </c>
      <c r="U31" s="236">
        <f ca="1">'Investment Simulation'!AJ36</f>
        <v>614547.07360623369</v>
      </c>
      <c r="V31" s="237">
        <f t="shared" ca="1" si="1"/>
        <v>614547.07360623369</v>
      </c>
    </row>
    <row r="32" spans="11:22" x14ac:dyDescent="0.25">
      <c r="K32" s="161">
        <v>16</v>
      </c>
      <c r="L32" s="235">
        <f t="shared" si="2"/>
        <v>2037</v>
      </c>
      <c r="M32" s="161">
        <f>IF(AnnualExpenses[[#This Row],[Calendar Year]]&gt;=$C$8,Table48[[#This Row],[Calendar Year]],NA())</f>
        <v>2037</v>
      </c>
      <c r="N32" s="161">
        <f>IF((Table48[[#This Row],[Calendar Year]]&gt;=$C$8)*(Table48[[#This Row],[Calendar Year]]&lt;=$C$10),Table48[[#This Row],[Calendar Year]],NA())</f>
        <v>2037</v>
      </c>
      <c r="O32" s="159">
        <f ca="1">IF((Table48[[#This Row],[Year (Range)]]&gt;=$C$8)*(Table48[[#This Row],[Year (Range)]]&lt;=$C$10),Table48[[#This Row],[Buy Total Assets]],NA())</f>
        <v>733149.76477335871</v>
      </c>
      <c r="P32" s="159">
        <f ca="1">IF((Table48[[#This Row],[Year (Range)]]&gt;=$C$8)*(Table48[[#This Row],[Year (Range)]]&lt;=$C$10),Table48[[#This Row],[Rent Total Assets]],NA())</f>
        <v>419542.72957331245</v>
      </c>
      <c r="Q32" s="236">
        <f>'Annual Amort. Sch.'!AI32</f>
        <v>287282.03967498482</v>
      </c>
      <c r="R32" s="4">
        <f>'Annual Amort. Sch.'!AF32</f>
        <v>440391.62389709079</v>
      </c>
      <c r="S32" s="4">
        <f ca="1">'Investment Simulation'!Z37</f>
        <v>5476.1012012831652</v>
      </c>
      <c r="T32" s="4">
        <f t="shared" ca="1" si="0"/>
        <v>733149.76477335871</v>
      </c>
      <c r="U32" s="236">
        <f ca="1">'Investment Simulation'!AJ37</f>
        <v>419542.72957331245</v>
      </c>
      <c r="V32" s="237">
        <f t="shared" ca="1" si="1"/>
        <v>419542.72957331245</v>
      </c>
    </row>
    <row r="33" spans="11:22" x14ac:dyDescent="0.25">
      <c r="K33" s="161">
        <v>17</v>
      </c>
      <c r="L33" s="235">
        <f t="shared" si="2"/>
        <v>2038</v>
      </c>
      <c r="M33" s="161">
        <f>IF(AnnualExpenses[[#This Row],[Calendar Year]]&gt;=$C$8,Table48[[#This Row],[Calendar Year]],NA())</f>
        <v>2038</v>
      </c>
      <c r="N33" s="161">
        <f>IF((Table48[[#This Row],[Calendar Year]]&gt;=$C$8)*(Table48[[#This Row],[Calendar Year]]&lt;=$C$10),Table48[[#This Row],[Calendar Year]],NA())</f>
        <v>2038</v>
      </c>
      <c r="O33" s="159">
        <f ca="1">IF((Table48[[#This Row],[Year (Range)]]&gt;=$C$8)*(Table48[[#This Row],[Year (Range)]]&lt;=$C$10),Table48[[#This Row],[Buy Total Assets]],NA())</f>
        <v>797800.67712166929</v>
      </c>
      <c r="P33" s="159">
        <f ca="1">IF((Table48[[#This Row],[Year (Range)]]&gt;=$C$8)*(Table48[[#This Row],[Year (Range)]]&lt;=$C$10),Table48[[#This Row],[Rent Total Assets]],NA())</f>
        <v>495315.39160263911</v>
      </c>
      <c r="Q33" s="236">
        <f>'Annual Amort. Sch.'!AI33</f>
        <v>307992.82274246955</v>
      </c>
      <c r="R33" s="4">
        <f>'Annual Amort. Sch.'!AF33</f>
        <v>476805.33073348878</v>
      </c>
      <c r="S33" s="4">
        <f ca="1">'Investment Simulation'!Z38</f>
        <v>13002.52364571086</v>
      </c>
      <c r="T33" s="4">
        <f t="shared" ca="1" si="0"/>
        <v>797800.67712166929</v>
      </c>
      <c r="U33" s="236">
        <f ca="1">'Investment Simulation'!AJ38</f>
        <v>495315.39160263911</v>
      </c>
      <c r="V33" s="237">
        <f t="shared" ca="1" si="1"/>
        <v>495315.39160263911</v>
      </c>
    </row>
    <row r="34" spans="11:22" x14ac:dyDescent="0.25">
      <c r="K34" s="161">
        <v>18</v>
      </c>
      <c r="L34" s="235">
        <f t="shared" si="2"/>
        <v>2039</v>
      </c>
      <c r="M34" s="161">
        <f>IF(AnnualExpenses[[#This Row],[Calendar Year]]&gt;=$C$8,Table48[[#This Row],[Calendar Year]],NA())</f>
        <v>2039</v>
      </c>
      <c r="N34" s="161">
        <f>IF((Table48[[#This Row],[Calendar Year]]&gt;=$C$8)*(Table48[[#This Row],[Calendar Year]]&lt;=$C$10),Table48[[#This Row],[Calendar Year]],NA())</f>
        <v>2039</v>
      </c>
      <c r="O34" s="159">
        <f ca="1">IF((Table48[[#This Row],[Year (Range)]]&gt;=$C$8)*(Table48[[#This Row],[Year (Range)]]&lt;=$C$10),Table48[[#This Row],[Buy Total Assets]],NA())</f>
        <v>865903.73047331476</v>
      </c>
      <c r="P34" s="159">
        <f ca="1">IF((Table48[[#This Row],[Year (Range)]]&gt;=$C$8)*(Table48[[#This Row],[Year (Range)]]&lt;=$C$10),Table48[[#This Row],[Rent Total Assets]],NA())</f>
        <v>503658.20067374891</v>
      </c>
      <c r="Q34" s="236">
        <f>'Annual Amort. Sch.'!AI34</f>
        <v>330155.49358130747</v>
      </c>
      <c r="R34" s="4">
        <f>'Annual Amort. Sch.'!AF34</f>
        <v>514493.5173091609</v>
      </c>
      <c r="S34" s="4">
        <f ca="1">'Investment Simulation'!Z39</f>
        <v>21254.719582846377</v>
      </c>
      <c r="T34" s="4">
        <f t="shared" ca="1" si="0"/>
        <v>865903.73047331476</v>
      </c>
      <c r="U34" s="236">
        <f ca="1">'Investment Simulation'!AJ39</f>
        <v>503658.20067374891</v>
      </c>
      <c r="V34" s="237">
        <f t="shared" ca="1" si="1"/>
        <v>503658.20067374891</v>
      </c>
    </row>
    <row r="35" spans="11:22" x14ac:dyDescent="0.25">
      <c r="K35" s="161">
        <v>19</v>
      </c>
      <c r="L35" s="235">
        <f t="shared" si="2"/>
        <v>2040</v>
      </c>
      <c r="M35" s="161">
        <f>IF(AnnualExpenses[[#This Row],[Calendar Year]]&gt;=$C$8,Table48[[#This Row],[Calendar Year]],NA())</f>
        <v>2040</v>
      </c>
      <c r="N35" s="161">
        <f>IF((Table48[[#This Row],[Calendar Year]]&gt;=$C$8)*(Table48[[#This Row],[Calendar Year]]&lt;=$C$10),Table48[[#This Row],[Calendar Year]],NA())</f>
        <v>2040</v>
      </c>
      <c r="O35" s="159">
        <f ca="1">IF((Table48[[#This Row],[Year (Range)]]&gt;=$C$8)*(Table48[[#This Row],[Year (Range)]]&lt;=$C$10),Table48[[#This Row],[Buy Total Assets]],NA())</f>
        <v>935323.04228407156</v>
      </c>
      <c r="P35" s="159">
        <f ca="1">IF((Table48[[#This Row],[Year (Range)]]&gt;=$C$8)*(Table48[[#This Row],[Year (Range)]]&lt;=$C$10),Table48[[#This Row],[Rent Total Assets]],NA())</f>
        <v>450079.08558614616</v>
      </c>
      <c r="Q35" s="236">
        <f>'Annual Amort. Sch.'!AI35</f>
        <v>353339.35778728448</v>
      </c>
      <c r="R35" s="4">
        <f>'Annual Amort. Sch.'!AF35</f>
        <v>553500.79041498154</v>
      </c>
      <c r="S35" s="4">
        <f ca="1">'Investment Simulation'!Z40</f>
        <v>28482.894081805469</v>
      </c>
      <c r="T35" s="4">
        <f t="shared" ca="1" si="0"/>
        <v>935323.04228407156</v>
      </c>
      <c r="U35" s="236">
        <f ca="1">'Investment Simulation'!AJ40</f>
        <v>450079.08558614616</v>
      </c>
      <c r="V35" s="237">
        <f t="shared" ca="1" si="1"/>
        <v>450079.08558614616</v>
      </c>
    </row>
    <row r="36" spans="11:22" x14ac:dyDescent="0.25">
      <c r="K36" s="161">
        <v>20</v>
      </c>
      <c r="L36" s="235">
        <f t="shared" si="2"/>
        <v>2041</v>
      </c>
      <c r="M36" s="161">
        <f>IF(AnnualExpenses[[#This Row],[Calendar Year]]&gt;=$C$8,Table48[[#This Row],[Calendar Year]],NA())</f>
        <v>2041</v>
      </c>
      <c r="N36" s="161">
        <f>IF((Table48[[#This Row],[Calendar Year]]&gt;=$C$8)*(Table48[[#This Row],[Calendar Year]]&lt;=$C$10),Table48[[#This Row],[Calendar Year]],NA())</f>
        <v>2041</v>
      </c>
      <c r="O36" s="159">
        <f ca="1">IF((Table48[[#This Row],[Year (Range)]]&gt;=$C$8)*(Table48[[#This Row],[Year (Range)]]&lt;=$C$10),Table48[[#This Row],[Buy Total Assets]],NA())</f>
        <v>1024487.5057671587</v>
      </c>
      <c r="P36" s="159">
        <f ca="1">IF((Table48[[#This Row],[Year (Range)]]&gt;=$C$8)*(Table48[[#This Row],[Year (Range)]]&lt;=$C$10),Table48[[#This Row],[Rent Total Assets]],NA())</f>
        <v>601152.45597635279</v>
      </c>
      <c r="Q36" s="236">
        <f>'Annual Amort. Sch.'!AI36</f>
        <v>378360.22023342317</v>
      </c>
      <c r="R36" s="4">
        <f>'Annual Amort. Sch.'!AF36</f>
        <v>593873.31807950581</v>
      </c>
      <c r="S36" s="4">
        <f ca="1">'Investment Simulation'!Z41</f>
        <v>52253.967454229714</v>
      </c>
      <c r="T36" s="4">
        <f t="shared" ca="1" si="0"/>
        <v>1024487.5057671587</v>
      </c>
      <c r="U36" s="236">
        <f ca="1">'Investment Simulation'!AJ41</f>
        <v>601152.45597635279</v>
      </c>
      <c r="V36" s="237">
        <f t="shared" ca="1" si="1"/>
        <v>601152.45597635279</v>
      </c>
    </row>
    <row r="37" spans="11:22" x14ac:dyDescent="0.25">
      <c r="K37" s="161">
        <v>21</v>
      </c>
      <c r="L37" s="235">
        <f t="shared" si="2"/>
        <v>2042</v>
      </c>
      <c r="M37" s="161">
        <f>IF(AnnualExpenses[[#This Row],[Calendar Year]]&gt;=$C$8,Table48[[#This Row],[Calendar Year]],NA())</f>
        <v>2042</v>
      </c>
      <c r="N37" s="161">
        <f>IF((Table48[[#This Row],[Calendar Year]]&gt;=$C$8)*(Table48[[#This Row],[Calendar Year]]&lt;=$C$10),Table48[[#This Row],[Calendar Year]],NA())</f>
        <v>2042</v>
      </c>
      <c r="O37" s="159">
        <f ca="1">IF((Table48[[#This Row],[Year (Range)]]&gt;=$C$8)*(Table48[[#This Row],[Year (Range)]]&lt;=$C$10),Table48[[#This Row],[Buy Total Assets]],NA())</f>
        <v>1110029.2666432762</v>
      </c>
      <c r="P37" s="159">
        <f ca="1">IF((Table48[[#This Row],[Year (Range)]]&gt;=$C$8)*(Table48[[#This Row],[Year (Range)]]&lt;=$C$10),Table48[[#This Row],[Rent Total Assets]],NA())</f>
        <v>635618.86321270408</v>
      </c>
      <c r="Q37" s="236">
        <f>'Annual Amort. Sch.'!AI37</f>
        <v>404299.62771805841</v>
      </c>
      <c r="R37" s="4">
        <f>'Annual Amort. Sch.'!AF37</f>
        <v>635658.88421228831</v>
      </c>
      <c r="S37" s="4">
        <f ca="1">'Investment Simulation'!Z42</f>
        <v>70070.754712929469</v>
      </c>
      <c r="T37" s="4">
        <f t="shared" ca="1" si="0"/>
        <v>1110029.2666432762</v>
      </c>
      <c r="U37" s="236">
        <f ca="1">'Investment Simulation'!AJ42</f>
        <v>635618.86321270408</v>
      </c>
      <c r="V37" s="237">
        <f t="shared" ca="1" si="1"/>
        <v>635618.86321270408</v>
      </c>
    </row>
    <row r="38" spans="11:22" x14ac:dyDescent="0.25">
      <c r="K38" s="161">
        <v>22</v>
      </c>
      <c r="L38" s="235">
        <f t="shared" si="2"/>
        <v>2043</v>
      </c>
      <c r="M38" s="161">
        <f>IF(AnnualExpenses[[#This Row],[Calendar Year]]&gt;=$C$8,Table48[[#This Row],[Calendar Year]],NA())</f>
        <v>2043</v>
      </c>
      <c r="N38" s="161">
        <f>IF((Table48[[#This Row],[Calendar Year]]&gt;=$C$8)*(Table48[[#This Row],[Calendar Year]]&lt;=$C$10),Table48[[#This Row],[Calendar Year]],NA())</f>
        <v>2043</v>
      </c>
      <c r="O38" s="159">
        <f ca="1">IF((Table48[[#This Row],[Year (Range)]]&gt;=$C$8)*(Table48[[#This Row],[Year (Range)]]&lt;=$C$10),Table48[[#This Row],[Buy Total Assets]],NA())</f>
        <v>1198544.1143432821</v>
      </c>
      <c r="P38" s="159">
        <f ca="1">IF((Table48[[#This Row],[Year (Range)]]&gt;=$C$8)*(Table48[[#This Row],[Year (Range)]]&lt;=$C$10),Table48[[#This Row],[Rent Total Assets]],NA())</f>
        <v>644429.14230177668</v>
      </c>
      <c r="Q38" s="236">
        <f>'Annual Amort. Sch.'!AI38</f>
        <v>431734.23301355646</v>
      </c>
      <c r="R38" s="4">
        <f>'Annual Amort. Sch.'!AF38</f>
        <v>678906.94515971839</v>
      </c>
      <c r="S38" s="4">
        <f ca="1">'Investment Simulation'!Z43</f>
        <v>87902.936170007364</v>
      </c>
      <c r="T38" s="4">
        <f t="shared" ca="1" si="0"/>
        <v>1198544.1143432821</v>
      </c>
      <c r="U38" s="236">
        <f ca="1">'Investment Simulation'!AJ43</f>
        <v>644429.14230177668</v>
      </c>
      <c r="V38" s="237">
        <f t="shared" ca="1" si="1"/>
        <v>644429.14230177668</v>
      </c>
    </row>
    <row r="39" spans="11:22" x14ac:dyDescent="0.25">
      <c r="K39" s="161">
        <v>23</v>
      </c>
      <c r="L39" s="235">
        <f t="shared" si="2"/>
        <v>2044</v>
      </c>
      <c r="M39" s="161">
        <f>IF(AnnualExpenses[[#This Row],[Calendar Year]]&gt;=$C$8,Table48[[#This Row],[Calendar Year]],NA())</f>
        <v>2044</v>
      </c>
      <c r="N39" s="161">
        <f>IF((Table48[[#This Row],[Calendar Year]]&gt;=$C$8)*(Table48[[#This Row],[Calendar Year]]&lt;=$C$10),Table48[[#This Row],[Calendar Year]],NA())</f>
        <v>2044</v>
      </c>
      <c r="O39" s="159">
        <f ca="1">IF((Table48[[#This Row],[Year (Range)]]&gt;=$C$8)*(Table48[[#This Row],[Year (Range)]]&lt;=$C$10),Table48[[#This Row],[Buy Total Assets]],NA())</f>
        <v>1295228.2248016077</v>
      </c>
      <c r="P39" s="159">
        <f ca="1">IF((Table48[[#This Row],[Year (Range)]]&gt;=$C$8)*(Table48[[#This Row],[Year (Range)]]&lt;=$C$10),Table48[[#This Row],[Rent Total Assets]],NA())</f>
        <v>669037.81012699509</v>
      </c>
      <c r="Q39" s="236">
        <f>'Annual Amort. Sch.'!AI39</f>
        <v>460749.99424746435</v>
      </c>
      <c r="R39" s="4">
        <f>'Annual Amort. Sch.'!AF39</f>
        <v>723668.68824030855</v>
      </c>
      <c r="S39" s="4">
        <f ca="1">'Investment Simulation'!Z44</f>
        <v>110809.54231383487</v>
      </c>
      <c r="T39" s="4">
        <f t="shared" ca="1" si="0"/>
        <v>1295228.2248016077</v>
      </c>
      <c r="U39" s="236">
        <f ca="1">'Investment Simulation'!AJ44</f>
        <v>669037.81012699509</v>
      </c>
      <c r="V39" s="237">
        <f t="shared" ca="1" si="1"/>
        <v>669037.81012699509</v>
      </c>
    </row>
    <row r="40" spans="11:22" x14ac:dyDescent="0.25">
      <c r="K40" s="161">
        <v>24</v>
      </c>
      <c r="L40" s="235">
        <f t="shared" si="2"/>
        <v>2045</v>
      </c>
      <c r="M40" s="161">
        <f>IF(AnnualExpenses[[#This Row],[Calendar Year]]&gt;=$C$8,Table48[[#This Row],[Calendar Year]],NA())</f>
        <v>2045</v>
      </c>
      <c r="N40" s="161">
        <f>IF((Table48[[#This Row],[Calendar Year]]&gt;=$C$8)*(Table48[[#This Row],[Calendar Year]]&lt;=$C$10),Table48[[#This Row],[Calendar Year]],NA())</f>
        <v>2045</v>
      </c>
      <c r="O40" s="159">
        <f ca="1">IF((Table48[[#This Row],[Year (Range)]]&gt;=$C$8)*(Table48[[#This Row],[Year (Range)]]&lt;=$C$10),Table48[[#This Row],[Buy Total Assets]],NA())</f>
        <v>1398252.1489418554</v>
      </c>
      <c r="P40" s="159">
        <f ca="1">IF((Table48[[#This Row],[Year (Range)]]&gt;=$C$8)*(Table48[[#This Row],[Year (Range)]]&lt;=$C$10),Table48[[#This Row],[Rent Total Assets]],NA())</f>
        <v>692568.72989686835</v>
      </c>
      <c r="Q40" s="236">
        <f>'Annual Amort. Sch.'!AI40</f>
        <v>491437.80910838203</v>
      </c>
      <c r="R40" s="4">
        <f>'Annual Amort. Sch.'!AF40</f>
        <v>769997.09232871933</v>
      </c>
      <c r="S40" s="4">
        <f ca="1">'Investment Simulation'!Z45</f>
        <v>136817.24750475408</v>
      </c>
      <c r="T40" s="4">
        <f t="shared" ca="1" si="0"/>
        <v>1398252.1489418554</v>
      </c>
      <c r="U40" s="236">
        <f ca="1">'Investment Simulation'!AJ45</f>
        <v>692568.72989686835</v>
      </c>
      <c r="V40" s="237">
        <f t="shared" ca="1" si="1"/>
        <v>692568.72989686835</v>
      </c>
    </row>
    <row r="41" spans="11:22" x14ac:dyDescent="0.25">
      <c r="K41" s="161">
        <v>25</v>
      </c>
      <c r="L41" s="235">
        <f t="shared" si="2"/>
        <v>2046</v>
      </c>
      <c r="M41" s="161">
        <f>IF(AnnualExpenses[[#This Row],[Calendar Year]]&gt;=$C$8,Table48[[#This Row],[Calendar Year]],NA())</f>
        <v>2046</v>
      </c>
      <c r="N41" s="161">
        <f>IF((Table48[[#This Row],[Calendar Year]]&gt;=$C$8)*(Table48[[#This Row],[Calendar Year]]&lt;=$C$10),Table48[[#This Row],[Calendar Year]],NA())</f>
        <v>2046</v>
      </c>
      <c r="O41" s="159">
        <f ca="1">IF((Table48[[#This Row],[Year (Range)]]&gt;=$C$8)*(Table48[[#This Row],[Year (Range)]]&lt;=$C$10),Table48[[#This Row],[Buy Total Assets]],NA())</f>
        <v>1521185.893232543</v>
      </c>
      <c r="P41" s="159">
        <f ca="1">IF((Table48[[#This Row],[Year (Range)]]&gt;=$C$8)*(Table48[[#This Row],[Year (Range)]]&lt;=$C$10),Table48[[#This Row],[Rent Total Assets]],NA())</f>
        <v>762849.25979034323</v>
      </c>
      <c r="Q41" s="236">
        <f>'Annual Amort. Sch.'!AI41</f>
        <v>526917.07345502463</v>
      </c>
      <c r="R41" s="4">
        <f>'Annual Amort. Sch.'!AF41</f>
        <v>817946.99056022428</v>
      </c>
      <c r="S41" s="4">
        <f ca="1">'Investment Simulation'!Z46</f>
        <v>176321.82921729414</v>
      </c>
      <c r="T41" s="4">
        <f t="shared" ca="1" si="0"/>
        <v>1521185.893232543</v>
      </c>
      <c r="U41" s="236">
        <f ca="1">'Investment Simulation'!AJ46</f>
        <v>762849.25979034323</v>
      </c>
      <c r="V41" s="237">
        <f t="shared" ca="1" si="1"/>
        <v>762849.25979034323</v>
      </c>
    </row>
    <row r="42" spans="11:22" x14ac:dyDescent="0.25">
      <c r="K42" s="161">
        <v>26</v>
      </c>
      <c r="L42" s="235">
        <f t="shared" si="2"/>
        <v>2047</v>
      </c>
      <c r="M42" s="161">
        <f>IF(AnnualExpenses[[#This Row],[Calendar Year]]&gt;=$C$8,Table48[[#This Row],[Calendar Year]],NA())</f>
        <v>2047</v>
      </c>
      <c r="N42" s="161">
        <f>IF((Table48[[#This Row],[Calendar Year]]&gt;=$C$8)*(Table48[[#This Row],[Calendar Year]]&lt;=$C$10),Table48[[#This Row],[Calendar Year]],NA())</f>
        <v>2047</v>
      </c>
      <c r="O42" s="159">
        <f ca="1">IF((Table48[[#This Row],[Year (Range)]]&gt;=$C$8)*(Table48[[#This Row],[Year (Range)]]&lt;=$C$10),Table48[[#This Row],[Buy Total Assets]],NA())</f>
        <v>1678696.5620375369</v>
      </c>
      <c r="P42" s="159">
        <f ca="1">IF((Table48[[#This Row],[Year (Range)]]&gt;=$C$8)*(Table48[[#This Row],[Year (Range)]]&lt;=$C$10),Table48[[#This Row],[Rent Total Assets]],NA())</f>
        <v>950682.53059851343</v>
      </c>
      <c r="Q42" s="236">
        <f>'Annual Amort. Sch.'!AI42</f>
        <v>560887.86953039537</v>
      </c>
      <c r="R42" s="4">
        <f>'Annual Amort. Sch.'!AF42</f>
        <v>867575.13522983203</v>
      </c>
      <c r="S42" s="4">
        <f ca="1">'Investment Simulation'!Z47</f>
        <v>250233.55727730936</v>
      </c>
      <c r="T42" s="4">
        <f t="shared" ca="1" si="0"/>
        <v>1678696.5620375369</v>
      </c>
      <c r="U42" s="236">
        <f ca="1">'Investment Simulation'!AJ47</f>
        <v>950682.53059851343</v>
      </c>
      <c r="V42" s="237">
        <f t="shared" ca="1" si="1"/>
        <v>950682.53059851343</v>
      </c>
    </row>
    <row r="43" spans="11:22" x14ac:dyDescent="0.25">
      <c r="K43" s="161">
        <v>27</v>
      </c>
      <c r="L43" s="235">
        <f t="shared" si="2"/>
        <v>2048</v>
      </c>
      <c r="M43" s="161">
        <f>IF(AnnualExpenses[[#This Row],[Calendar Year]]&gt;=$C$8,Table48[[#This Row],[Calendar Year]],NA())</f>
        <v>2048</v>
      </c>
      <c r="N43" s="161">
        <f>IF((Table48[[#This Row],[Calendar Year]]&gt;=$C$8)*(Table48[[#This Row],[Calendar Year]]&lt;=$C$10),Table48[[#This Row],[Calendar Year]],NA())</f>
        <v>2048</v>
      </c>
      <c r="O43" s="159">
        <f ca="1">IF((Table48[[#This Row],[Year (Range)]]&gt;=$C$8)*(Table48[[#This Row],[Year (Range)]]&lt;=$C$10),Table48[[#This Row],[Buy Total Assets]],NA())</f>
        <v>1836426.9066550217</v>
      </c>
      <c r="P43" s="159">
        <f ca="1">IF((Table48[[#This Row],[Year (Range)]]&gt;=$C$8)*(Table48[[#This Row],[Year (Range)]]&lt;=$C$10),Table48[[#This Row],[Rent Total Assets]],NA())</f>
        <v>1095471.3607407992</v>
      </c>
      <c r="Q43" s="236">
        <f>'Annual Amort. Sch.'!AI43</f>
        <v>596810.6251152273</v>
      </c>
      <c r="R43" s="4">
        <f>'Annual Amort. Sch.'!AF43</f>
        <v>918940.26496287598</v>
      </c>
      <c r="S43" s="4">
        <f ca="1">'Investment Simulation'!Z48</f>
        <v>320676.0165769186</v>
      </c>
      <c r="T43" s="4">
        <f t="shared" ca="1" si="0"/>
        <v>1836426.9066550217</v>
      </c>
      <c r="U43" s="236">
        <f ca="1">'Investment Simulation'!AJ48</f>
        <v>1095471.3607407992</v>
      </c>
      <c r="V43" s="237">
        <f t="shared" ca="1" si="1"/>
        <v>1095471.3607407992</v>
      </c>
    </row>
    <row r="44" spans="11:22" x14ac:dyDescent="0.25">
      <c r="K44" s="161">
        <v>28</v>
      </c>
      <c r="L44" s="235">
        <f t="shared" si="2"/>
        <v>2049</v>
      </c>
      <c r="M44" s="161">
        <f>IF(AnnualExpenses[[#This Row],[Calendar Year]]&gt;=$C$8,Table48[[#This Row],[Calendar Year]],NA())</f>
        <v>2049</v>
      </c>
      <c r="N44" s="161">
        <f>IF((Table48[[#This Row],[Calendar Year]]&gt;=$C$8)*(Table48[[#This Row],[Calendar Year]]&lt;=$C$10),Table48[[#This Row],[Calendar Year]],NA())</f>
        <v>2049</v>
      </c>
      <c r="O44" s="159">
        <f ca="1">IF((Table48[[#This Row],[Year (Range)]]&gt;=$C$8)*(Table48[[#This Row],[Year (Range)]]&lt;=$C$10),Table48[[#This Row],[Buy Total Assets]],NA())</f>
        <v>1984331.9230533754</v>
      </c>
      <c r="P44" s="159">
        <f ca="1">IF((Table48[[#This Row],[Year (Range)]]&gt;=$C$8)*(Table48[[#This Row],[Year (Range)]]&lt;=$C$10),Table48[[#This Row],[Rent Total Assets]],NA())</f>
        <v>1171558.8297608984</v>
      </c>
      <c r="Q44" s="236">
        <f>'Annual Amort. Sch.'!AI44</f>
        <v>602995.30794004421</v>
      </c>
      <c r="R44" s="4">
        <f>'Annual Amort. Sch.'!AF44</f>
        <v>972103.17423657654</v>
      </c>
      <c r="S44" s="4">
        <f ca="1">'Investment Simulation'!Z49</f>
        <v>409233.44087675482</v>
      </c>
      <c r="T44" s="4">
        <f t="shared" ca="1" si="0"/>
        <v>1984331.9230533754</v>
      </c>
      <c r="U44" s="236">
        <f ca="1">'Investment Simulation'!AJ49</f>
        <v>1171558.8297608984</v>
      </c>
      <c r="V44" s="237">
        <f t="shared" ca="1" si="1"/>
        <v>1171558.8297608984</v>
      </c>
    </row>
    <row r="45" spans="11:22" x14ac:dyDescent="0.25">
      <c r="K45" s="161">
        <v>29</v>
      </c>
      <c r="L45" s="235">
        <f t="shared" si="2"/>
        <v>2050</v>
      </c>
      <c r="M45" s="161">
        <f>IF(AnnualExpenses[[#This Row],[Calendar Year]]&gt;=$C$8,Table48[[#This Row],[Calendar Year]],NA())</f>
        <v>2050</v>
      </c>
      <c r="N45" s="161">
        <f>IF((Table48[[#This Row],[Calendar Year]]&gt;=$C$8)*(Table48[[#This Row],[Calendar Year]]&lt;=$C$10),Table48[[#This Row],[Calendar Year]],NA())</f>
        <v>2050</v>
      </c>
      <c r="O45" s="159">
        <f ca="1">IF((Table48[[#This Row],[Year (Range)]]&gt;=$C$8)*(Table48[[#This Row],[Year (Range)]]&lt;=$C$10),Table48[[#This Row],[Buy Total Assets]],NA())</f>
        <v>2065094.9330314286</v>
      </c>
      <c r="P45" s="159">
        <f ca="1">IF((Table48[[#This Row],[Year (Range)]]&gt;=$C$8)*(Table48[[#This Row],[Year (Range)]]&lt;=$C$10),Table48[[#This Row],[Rent Total Assets]],NA())</f>
        <v>1046330.6770926371</v>
      </c>
      <c r="Q45" s="236">
        <f>'Annual Amort. Sch.'!AI45</f>
        <v>602995.30794004421</v>
      </c>
      <c r="R45" s="4">
        <f>'Annual Amort. Sch.'!AF45</f>
        <v>1027126.7853348565</v>
      </c>
      <c r="S45" s="4">
        <f ca="1">'Investment Simulation'!Z50</f>
        <v>434972.83975652786</v>
      </c>
      <c r="T45" s="4">
        <f t="shared" ca="1" si="0"/>
        <v>2065094.9330314286</v>
      </c>
      <c r="U45" s="236">
        <f ca="1">'Investment Simulation'!AJ50</f>
        <v>1046330.6770926371</v>
      </c>
      <c r="V45" s="237">
        <f t="shared" ca="1" si="1"/>
        <v>1046330.6770926371</v>
      </c>
    </row>
    <row r="46" spans="11:22" x14ac:dyDescent="0.25">
      <c r="K46" s="161">
        <v>30</v>
      </c>
      <c r="L46" s="235">
        <f t="shared" si="2"/>
        <v>2051</v>
      </c>
      <c r="M46" s="161">
        <f>IF(AnnualExpenses[[#This Row],[Calendar Year]]&gt;=$C$8,Table48[[#This Row],[Calendar Year]],NA())</f>
        <v>2051</v>
      </c>
      <c r="N46" s="161">
        <f>IF((Table48[[#This Row],[Calendar Year]]&gt;=$C$8)*(Table48[[#This Row],[Calendar Year]]&lt;=$C$10),Table48[[#This Row],[Calendar Year]],NA())</f>
        <v>2051</v>
      </c>
      <c r="O46" s="159">
        <f ca="1">IF((Table48[[#This Row],[Year (Range)]]&gt;=$C$8)*(Table48[[#This Row],[Year (Range)]]&lt;=$C$10),Table48[[#This Row],[Buy Total Assets]],NA())</f>
        <v>2292441.0903825453</v>
      </c>
      <c r="P46" s="159">
        <f ca="1">IF((Table48[[#This Row],[Year (Range)]]&gt;=$C$8)*(Table48[[#This Row],[Year (Range)]]&lt;=$C$10),Table48[[#This Row],[Rent Total Assets]],NA())</f>
        <v>1253488.1029609826</v>
      </c>
      <c r="Q46" s="236">
        <f>'Annual Amort. Sch.'!AI46</f>
        <v>602995.30794004421</v>
      </c>
      <c r="R46" s="4">
        <f>'Annual Amort. Sch.'!AF46</f>
        <v>1084076.2228215763</v>
      </c>
      <c r="S46" s="4">
        <f ca="1">'Investment Simulation'!Z51</f>
        <v>605369.55962092476</v>
      </c>
      <c r="T46" s="4">
        <f t="shared" ca="1" si="0"/>
        <v>2292441.0903825453</v>
      </c>
      <c r="U46" s="236">
        <f ca="1">'Investment Simulation'!AJ51</f>
        <v>1253488.1029609826</v>
      </c>
      <c r="V46" s="237">
        <f t="shared" ca="1" si="1"/>
        <v>1253488.1029609826</v>
      </c>
    </row>
    <row r="47" spans="11:22" x14ac:dyDescent="0.25">
      <c r="K47" s="161">
        <v>31</v>
      </c>
      <c r="L47" s="235">
        <f t="shared" si="2"/>
        <v>2052</v>
      </c>
      <c r="M47" s="161">
        <f>IF(AnnualExpenses[[#This Row],[Calendar Year]]&gt;=$C$8,Table48[[#This Row],[Calendar Year]],NA())</f>
        <v>2052</v>
      </c>
      <c r="N47" s="161">
        <f>IF((Table48[[#This Row],[Calendar Year]]&gt;=$C$8)*(Table48[[#This Row],[Calendar Year]]&lt;=$C$10),Table48[[#This Row],[Calendar Year]],NA())</f>
        <v>2052</v>
      </c>
      <c r="O47" s="159">
        <f ca="1">IF((Table48[[#This Row],[Year (Range)]]&gt;=$C$8)*(Table48[[#This Row],[Year (Range)]]&lt;=$C$10),Table48[[#This Row],[Buy Total Assets]],NA())</f>
        <v>2483979.8969512158</v>
      </c>
      <c r="P47" s="159">
        <f ca="1">IF((Table48[[#This Row],[Year (Range)]]&gt;=$C$8)*(Table48[[#This Row],[Year (Range)]]&lt;=$C$10),Table48[[#This Row],[Rent Total Assets]],NA())</f>
        <v>1355420.8625618834</v>
      </c>
      <c r="Q47" s="236">
        <f>'Annual Amort. Sch.'!AI47</f>
        <v>602995.30794004421</v>
      </c>
      <c r="R47" s="4">
        <f>'Annual Amort. Sch.'!AF47</f>
        <v>1143018.8906203313</v>
      </c>
      <c r="S47" s="4">
        <f ca="1">'Investment Simulation'!Z52</f>
        <v>737965.6983908402</v>
      </c>
      <c r="T47" s="4">
        <f t="shared" ca="1" si="0"/>
        <v>2483979.8969512158</v>
      </c>
      <c r="U47" s="236">
        <f ca="1">'Investment Simulation'!AJ52</f>
        <v>1355420.8625618834</v>
      </c>
      <c r="V47" s="237">
        <f t="shared" ca="1" si="1"/>
        <v>1355420.8625618834</v>
      </c>
    </row>
    <row r="48" spans="11:22" x14ac:dyDescent="0.25">
      <c r="K48" s="161">
        <v>32</v>
      </c>
      <c r="L48" s="235">
        <f t="shared" si="2"/>
        <v>2053</v>
      </c>
      <c r="M48" s="161">
        <f>IF(AnnualExpenses[[#This Row],[Calendar Year]]&gt;=$C$8,Table48[[#This Row],[Calendar Year]],NA())</f>
        <v>2053</v>
      </c>
      <c r="N48" s="161">
        <f>IF((Table48[[#This Row],[Calendar Year]]&gt;=$C$8)*(Table48[[#This Row],[Calendar Year]]&lt;=$C$10),Table48[[#This Row],[Calendar Year]],NA())</f>
        <v>2053</v>
      </c>
      <c r="O48" s="159">
        <f ca="1">IF((Table48[[#This Row],[Year (Range)]]&gt;=$C$8)*(Table48[[#This Row],[Year (Range)]]&lt;=$C$10),Table48[[#This Row],[Buy Total Assets]],NA())</f>
        <v>2684409.7902172115</v>
      </c>
      <c r="P48" s="159">
        <f ca="1">IF((Table48[[#This Row],[Year (Range)]]&gt;=$C$8)*(Table48[[#This Row],[Year (Range)]]&lt;=$C$10),Table48[[#This Row],[Rent Total Assets]],NA())</f>
        <v>1452309.9514391113</v>
      </c>
      <c r="Q48" s="236">
        <f>'Annual Amort. Sch.'!AI48</f>
        <v>602995.30794004421</v>
      </c>
      <c r="R48" s="4">
        <f>'Annual Amort. Sch.'!AF48</f>
        <v>1204024.5517920428</v>
      </c>
      <c r="S48" s="4">
        <f ca="1">'Investment Simulation'!Z53</f>
        <v>877389.93048512458</v>
      </c>
      <c r="T48" s="4">
        <f t="shared" ca="1" si="0"/>
        <v>2684409.7902172115</v>
      </c>
      <c r="U48" s="236">
        <f ca="1">'Investment Simulation'!AJ53</f>
        <v>1452309.9514391113</v>
      </c>
      <c r="V48" s="237">
        <f t="shared" ca="1" si="1"/>
        <v>1452309.9514391113</v>
      </c>
    </row>
    <row r="49" spans="11:22" x14ac:dyDescent="0.25">
      <c r="K49" s="161">
        <v>33</v>
      </c>
      <c r="L49" s="235">
        <f t="shared" si="2"/>
        <v>2054</v>
      </c>
      <c r="M49" s="161">
        <f>IF(AnnualExpenses[[#This Row],[Calendar Year]]&gt;=$C$8,Table48[[#This Row],[Calendar Year]],NA())</f>
        <v>2054</v>
      </c>
      <c r="N49" s="161">
        <f>IF((Table48[[#This Row],[Calendar Year]]&gt;=$C$8)*(Table48[[#This Row],[Calendar Year]]&lt;=$C$10),Table48[[#This Row],[Calendar Year]],NA())</f>
        <v>2054</v>
      </c>
      <c r="O49" s="159">
        <f ca="1">IF((Table48[[#This Row],[Year (Range)]]&gt;=$C$8)*(Table48[[#This Row],[Year (Range)]]&lt;=$C$10),Table48[[#This Row],[Buy Total Assets]],NA())</f>
        <v>3040526.5955002103</v>
      </c>
      <c r="P49" s="159">
        <f ca="1">IF((Table48[[#This Row],[Year (Range)]]&gt;=$C$8)*(Table48[[#This Row],[Year (Range)]]&lt;=$C$10),Table48[[#This Row],[Rent Total Assets]],NA())</f>
        <v>1776436.5174752171</v>
      </c>
      <c r="Q49" s="236">
        <f>'Annual Amort. Sch.'!AI49</f>
        <v>602995.30794004421</v>
      </c>
      <c r="R49" s="4">
        <f>'Annual Amort. Sch.'!AF49</f>
        <v>1267165.4111047641</v>
      </c>
      <c r="S49" s="4">
        <f ca="1">'Investment Simulation'!Z54</f>
        <v>1170365.8764554018</v>
      </c>
      <c r="T49" s="4">
        <f t="shared" ref="T49:T80" ca="1" si="3">SUM(Q49:S49)</f>
        <v>3040526.5955002103</v>
      </c>
      <c r="U49" s="236">
        <f ca="1">'Investment Simulation'!AJ54</f>
        <v>1776436.5174752171</v>
      </c>
      <c r="V49" s="237">
        <f t="shared" ref="V49:V80" ca="1" si="4">U49</f>
        <v>1776436.5174752171</v>
      </c>
    </row>
    <row r="50" spans="11:22" x14ac:dyDescent="0.25">
      <c r="K50" s="161">
        <v>34</v>
      </c>
      <c r="L50" s="235">
        <f t="shared" ref="L50:L81" si="5">purchase_year+K49</f>
        <v>2055</v>
      </c>
      <c r="M50" s="161">
        <f>IF(AnnualExpenses[[#This Row],[Calendar Year]]&gt;=$C$8,Table48[[#This Row],[Calendar Year]],NA())</f>
        <v>2055</v>
      </c>
      <c r="N50" s="161">
        <f>IF((Table48[[#This Row],[Calendar Year]]&gt;=$C$8)*(Table48[[#This Row],[Calendar Year]]&lt;=$C$10),Table48[[#This Row],[Calendar Year]],NA())</f>
        <v>2055</v>
      </c>
      <c r="O50" s="159">
        <f ca="1">IF((Table48[[#This Row],[Year (Range)]]&gt;=$C$8)*(Table48[[#This Row],[Year (Range)]]&lt;=$C$10),Table48[[#This Row],[Buy Total Assets]],NA())</f>
        <v>3545381.4858237915</v>
      </c>
      <c r="P50" s="159">
        <f ca="1">IF((Table48[[#This Row],[Year (Range)]]&gt;=$C$8)*(Table48[[#This Row],[Year (Range)]]&lt;=$C$10),Table48[[#This Row],[Rent Total Assets]],NA())</f>
        <v>2285130.3927923124</v>
      </c>
      <c r="Q50" s="236">
        <f>'Annual Amort. Sch.'!AI50</f>
        <v>602995.30794004421</v>
      </c>
      <c r="R50" s="4">
        <f>'Annual Amort. Sch.'!AF50</f>
        <v>1332516.2004934307</v>
      </c>
      <c r="S50" s="4">
        <f ca="1">'Investment Simulation'!Z55</f>
        <v>1609869.9773903163</v>
      </c>
      <c r="T50" s="4">
        <f t="shared" ca="1" si="3"/>
        <v>3545381.4858237915</v>
      </c>
      <c r="U50" s="236">
        <f ca="1">'Investment Simulation'!AJ55</f>
        <v>2285130.3927923124</v>
      </c>
      <c r="V50" s="237">
        <f t="shared" ca="1" si="4"/>
        <v>2285130.3927923124</v>
      </c>
    </row>
    <row r="51" spans="11:22" x14ac:dyDescent="0.25">
      <c r="K51" s="161">
        <v>35</v>
      </c>
      <c r="L51" s="235">
        <f t="shared" si="5"/>
        <v>2056</v>
      </c>
      <c r="M51" s="161">
        <f>IF(AnnualExpenses[[#This Row],[Calendar Year]]&gt;=$C$8,Table48[[#This Row],[Calendar Year]],NA())</f>
        <v>2056</v>
      </c>
      <c r="N51" s="161">
        <f>IF((Table48[[#This Row],[Calendar Year]]&gt;=$C$8)*(Table48[[#This Row],[Calendar Year]]&lt;=$C$10),Table48[[#This Row],[Calendar Year]],NA())</f>
        <v>2056</v>
      </c>
      <c r="O51" s="159">
        <f ca="1">IF((Table48[[#This Row],[Year (Range)]]&gt;=$C$8)*(Table48[[#This Row],[Year (Range)]]&lt;=$C$10),Table48[[#This Row],[Buy Total Assets]],NA())</f>
        <v>4227023.0175464544</v>
      </c>
      <c r="P51" s="159">
        <f ca="1">IF((Table48[[#This Row],[Year (Range)]]&gt;=$C$8)*(Table48[[#This Row],[Year (Range)]]&lt;=$C$10),Table48[[#This Row],[Rent Total Assets]],NA())</f>
        <v>3000168.4015886444</v>
      </c>
      <c r="Q51" s="236">
        <f>'Annual Amort. Sch.'!AI51</f>
        <v>602995.30794004421</v>
      </c>
      <c r="R51" s="4">
        <f>'Annual Amort. Sch.'!AF51</f>
        <v>1400154.2675107007</v>
      </c>
      <c r="S51" s="4">
        <f ca="1">'Investment Simulation'!Z56</f>
        <v>2223873.44209571</v>
      </c>
      <c r="T51" s="4">
        <f t="shared" ca="1" si="3"/>
        <v>4227023.0175464544</v>
      </c>
      <c r="U51" s="236">
        <f ca="1">'Investment Simulation'!AJ56</f>
        <v>3000168.4015886444</v>
      </c>
      <c r="V51" s="237">
        <f t="shared" ca="1" si="4"/>
        <v>3000168.4015886444</v>
      </c>
    </row>
    <row r="52" spans="11:22" x14ac:dyDescent="0.25">
      <c r="K52" s="161">
        <v>36</v>
      </c>
      <c r="L52" s="235">
        <f t="shared" si="5"/>
        <v>2057</v>
      </c>
      <c r="M52" s="161">
        <f>IF(AnnualExpenses[[#This Row],[Calendar Year]]&gt;=$C$8,Table48[[#This Row],[Calendar Year]],NA())</f>
        <v>2057</v>
      </c>
      <c r="N52" s="161">
        <f>IF((Table48[[#This Row],[Calendar Year]]&gt;=$C$8)*(Table48[[#This Row],[Calendar Year]]&lt;=$C$10),Table48[[#This Row],[Calendar Year]],NA())</f>
        <v>2057</v>
      </c>
      <c r="O52" s="159">
        <f ca="1">IF((Table48[[#This Row],[Year (Range)]]&gt;=$C$8)*(Table48[[#This Row],[Year (Range)]]&lt;=$C$10),Table48[[#This Row],[Buy Total Assets]],NA())</f>
        <v>4478281.9653925011</v>
      </c>
      <c r="P52" s="159">
        <f ca="1">IF((Table48[[#This Row],[Year (Range)]]&gt;=$C$8)*(Table48[[#This Row],[Year (Range)]]&lt;=$C$10),Table48[[#This Row],[Rent Total Assets]],NA())</f>
        <v>3107952.737532645</v>
      </c>
      <c r="Q52" s="236">
        <f>'Annual Amort. Sch.'!AI52</f>
        <v>602995.30794004421</v>
      </c>
      <c r="R52" s="4">
        <f>'Annual Amort. Sch.'!AF52</f>
        <v>1470159.6668735752</v>
      </c>
      <c r="S52" s="4">
        <f ca="1">'Investment Simulation'!Z57</f>
        <v>2405126.9905788819</v>
      </c>
      <c r="T52" s="4">
        <f t="shared" ca="1" si="3"/>
        <v>4478281.9653925011</v>
      </c>
      <c r="U52" s="236">
        <f ca="1">'Investment Simulation'!AJ57</f>
        <v>3107952.737532645</v>
      </c>
      <c r="V52" s="237">
        <f t="shared" ca="1" si="4"/>
        <v>3107952.737532645</v>
      </c>
    </row>
    <row r="53" spans="11:22" x14ac:dyDescent="0.25">
      <c r="K53" s="161">
        <v>37</v>
      </c>
      <c r="L53" s="235">
        <f t="shared" si="5"/>
        <v>2058</v>
      </c>
      <c r="M53" s="161">
        <f>IF(AnnualExpenses[[#This Row],[Calendar Year]]&gt;=$C$8,Table48[[#This Row],[Calendar Year]],NA())</f>
        <v>2058</v>
      </c>
      <c r="N53" s="161">
        <f>IF((Table48[[#This Row],[Calendar Year]]&gt;=$C$8)*(Table48[[#This Row],[Calendar Year]]&lt;=$C$10),Table48[[#This Row],[Calendar Year]],NA())</f>
        <v>2058</v>
      </c>
      <c r="O53" s="159">
        <f ca="1">IF((Table48[[#This Row],[Year (Range)]]&gt;=$C$8)*(Table48[[#This Row],[Year (Range)]]&lt;=$C$10),Table48[[#This Row],[Buy Total Assets]],NA())</f>
        <v>5323776.1010231823</v>
      </c>
      <c r="P53" s="159">
        <f ca="1">IF((Table48[[#This Row],[Year (Range)]]&gt;=$C$8)*(Table48[[#This Row],[Year (Range)]]&lt;=$C$10),Table48[[#This Row],[Rent Total Assets]],NA())</f>
        <v>3954233.5353162726</v>
      </c>
      <c r="Q53" s="236">
        <f>'Annual Amort. Sch.'!AI53</f>
        <v>602995.30794004421</v>
      </c>
      <c r="R53" s="4">
        <f>'Annual Amort. Sch.'!AF53</f>
        <v>1542615.2552141501</v>
      </c>
      <c r="S53" s="4">
        <f ca="1">'Investment Simulation'!Z58</f>
        <v>3178165.5378689882</v>
      </c>
      <c r="T53" s="4">
        <f t="shared" ca="1" si="3"/>
        <v>5323776.1010231823</v>
      </c>
      <c r="U53" s="236">
        <f ca="1">'Investment Simulation'!AJ58</f>
        <v>3954233.5353162726</v>
      </c>
      <c r="V53" s="237">
        <f t="shared" ca="1" si="4"/>
        <v>3954233.5353162726</v>
      </c>
    </row>
    <row r="54" spans="11:22" x14ac:dyDescent="0.25">
      <c r="K54" s="161">
        <v>38</v>
      </c>
      <c r="L54" s="235">
        <f t="shared" si="5"/>
        <v>2059</v>
      </c>
      <c r="M54" s="161">
        <f>IF(AnnualExpenses[[#This Row],[Calendar Year]]&gt;=$C$8,Table48[[#This Row],[Calendar Year]],NA())</f>
        <v>2059</v>
      </c>
      <c r="N54" s="161">
        <f>IF((Table48[[#This Row],[Calendar Year]]&gt;=$C$8)*(Table48[[#This Row],[Calendar Year]]&lt;=$C$10),Table48[[#This Row],[Calendar Year]],NA())</f>
        <v>2059</v>
      </c>
      <c r="O54" s="159">
        <f ca="1">IF((Table48[[#This Row],[Year (Range)]]&gt;=$C$8)*(Table48[[#This Row],[Year (Range)]]&lt;=$C$10),Table48[[#This Row],[Buy Total Assets]],NA())</f>
        <v>5623945.8733035084</v>
      </c>
      <c r="P54" s="159">
        <f ca="1">IF((Table48[[#This Row],[Year (Range)]]&gt;=$C$8)*(Table48[[#This Row],[Year (Range)]]&lt;=$C$10),Table48[[#This Row],[Rent Total Assets]],NA())</f>
        <v>4096874.1861281586</v>
      </c>
      <c r="Q54" s="236">
        <f>'Annual Amort. Sch.'!AI54</f>
        <v>602995.30794004421</v>
      </c>
      <c r="R54" s="4">
        <f>'Annual Amort. Sch.'!AF54</f>
        <v>1617606.789146645</v>
      </c>
      <c r="S54" s="4">
        <f ca="1">'Investment Simulation'!Z59</f>
        <v>3403343.7762168194</v>
      </c>
      <c r="T54" s="4">
        <f t="shared" ca="1" si="3"/>
        <v>5623945.8733035084</v>
      </c>
      <c r="U54" s="236">
        <f ca="1">'Investment Simulation'!AJ59</f>
        <v>4096874.1861281586</v>
      </c>
      <c r="V54" s="237">
        <f t="shared" ca="1" si="4"/>
        <v>4096874.1861281586</v>
      </c>
    </row>
    <row r="55" spans="11:22" x14ac:dyDescent="0.25">
      <c r="K55" s="161">
        <v>39</v>
      </c>
      <c r="L55" s="235">
        <f t="shared" si="5"/>
        <v>2060</v>
      </c>
      <c r="M55" s="161">
        <f>IF(AnnualExpenses[[#This Row],[Calendar Year]]&gt;=$C$8,Table48[[#This Row],[Calendar Year]],NA())</f>
        <v>2060</v>
      </c>
      <c r="N55" s="161">
        <f>IF((Table48[[#This Row],[Calendar Year]]&gt;=$C$8)*(Table48[[#This Row],[Calendar Year]]&lt;=$C$10),Table48[[#This Row],[Calendar Year]],NA())</f>
        <v>2060</v>
      </c>
      <c r="O55" s="159">
        <f ca="1">IF((Table48[[#This Row],[Year (Range)]]&gt;=$C$8)*(Table48[[#This Row],[Year (Range)]]&lt;=$C$10),Table48[[#This Row],[Buy Total Assets]],NA())</f>
        <v>6642613.4305080101</v>
      </c>
      <c r="P55" s="159">
        <f ca="1">IF((Table48[[#This Row],[Year (Range)]]&gt;=$C$8)*(Table48[[#This Row],[Year (Range)]]&lt;=$C$10),Table48[[#This Row],[Rent Total Assets]],NA())</f>
        <v>5076899.318676726</v>
      </c>
      <c r="Q55" s="236">
        <f>'Annual Amort. Sch.'!AI55</f>
        <v>602995.30794004421</v>
      </c>
      <c r="R55" s="4">
        <f>'Annual Amort. Sch.'!AF55</f>
        <v>1695223.0267667775</v>
      </c>
      <c r="S55" s="4">
        <f ca="1">'Investment Simulation'!Z60</f>
        <v>4344395.0958011886</v>
      </c>
      <c r="T55" s="4">
        <f t="shared" ca="1" si="3"/>
        <v>6642613.4305080101</v>
      </c>
      <c r="U55" s="236">
        <f ca="1">'Investment Simulation'!AJ60</f>
        <v>5076899.318676726</v>
      </c>
      <c r="V55" s="237">
        <f t="shared" ca="1" si="4"/>
        <v>5076899.318676726</v>
      </c>
    </row>
    <row r="56" spans="11:22" x14ac:dyDescent="0.25">
      <c r="K56" s="161">
        <v>40</v>
      </c>
      <c r="L56" s="235">
        <f t="shared" si="5"/>
        <v>2061</v>
      </c>
      <c r="M56" s="161">
        <f>IF(AnnualExpenses[[#This Row],[Calendar Year]]&gt;=$C$8,Table48[[#This Row],[Calendar Year]],NA())</f>
        <v>2061</v>
      </c>
      <c r="N56" s="161">
        <f>IF((Table48[[#This Row],[Calendar Year]]&gt;=$C$8)*(Table48[[#This Row],[Calendar Year]]&lt;=$C$10),Table48[[#This Row],[Calendar Year]],NA())</f>
        <v>2061</v>
      </c>
      <c r="O56" s="159">
        <f ca="1">IF((Table48[[#This Row],[Year (Range)]]&gt;=$C$8)*(Table48[[#This Row],[Year (Range)]]&lt;=$C$10),Table48[[#This Row],[Buy Total Assets]],NA())</f>
        <v>7504864.4923480954</v>
      </c>
      <c r="P56" s="159">
        <f ca="1">IF((Table48[[#This Row],[Year (Range)]]&gt;=$C$8)*(Table48[[#This Row],[Year (Range)]]&lt;=$C$10),Table48[[#This Row],[Rent Total Assets]],NA())</f>
        <v>5841909.5197382215</v>
      </c>
      <c r="Q56" s="236">
        <f>'Annual Amort. Sch.'!AI56</f>
        <v>602995.30794004421</v>
      </c>
      <c r="R56" s="4">
        <f>'Annual Amort. Sch.'!AF56</f>
        <v>1775555.8327036146</v>
      </c>
      <c r="S56" s="4">
        <f ca="1">'Investment Simulation'!Z61</f>
        <v>5126313.3517044364</v>
      </c>
      <c r="T56" s="4">
        <f t="shared" ca="1" si="3"/>
        <v>7504864.4923480954</v>
      </c>
      <c r="U56" s="236">
        <f ca="1">'Investment Simulation'!AJ61</f>
        <v>5841909.5197382215</v>
      </c>
      <c r="V56" s="237">
        <f t="shared" ca="1" si="4"/>
        <v>5841909.5197382215</v>
      </c>
    </row>
    <row r="57" spans="11:22" x14ac:dyDescent="0.25">
      <c r="K57" s="161">
        <v>41</v>
      </c>
      <c r="L57" s="235">
        <f t="shared" si="5"/>
        <v>2062</v>
      </c>
      <c r="M57" s="161">
        <f>IF(AnnualExpenses[[#This Row],[Calendar Year]]&gt;=$C$8,Table48[[#This Row],[Calendar Year]],NA())</f>
        <v>2062</v>
      </c>
      <c r="N57" s="161" t="e">
        <f>IF((Table48[[#This Row],[Calendar Year]]&gt;=$C$8)*(Table48[[#This Row],[Calendar Year]]&lt;=$C$10),Table48[[#This Row],[Calendar Year]],NA())</f>
        <v>#N/A</v>
      </c>
      <c r="O57" s="159" t="e">
        <f>IF((Table48[[#This Row],[Year (Range)]]&gt;=$C$8)*(Table48[[#This Row],[Year (Range)]]&lt;=$C$10),Table48[[#This Row],[Buy Total Assets]],NA())</f>
        <v>#N/A</v>
      </c>
      <c r="P57" s="159" t="e">
        <f>IF((Table48[[#This Row],[Year (Range)]]&gt;=$C$8)*(Table48[[#This Row],[Year (Range)]]&lt;=$C$10),Table48[[#This Row],[Rent Total Assets]],NA())</f>
        <v>#N/A</v>
      </c>
      <c r="Q57" s="236">
        <f>'Annual Amort. Sch.'!AI57</f>
        <v>602995.30794004421</v>
      </c>
      <c r="R57" s="4">
        <f>'Annual Amort. Sch.'!AF57</f>
        <v>1858700.286848241</v>
      </c>
      <c r="S57" s="4">
        <f ca="1">'Investment Simulation'!Z62</f>
        <v>5040083.3667471623</v>
      </c>
      <c r="T57" s="4">
        <f t="shared" ca="1" si="3"/>
        <v>7501778.9615354473</v>
      </c>
      <c r="U57" s="236">
        <f ca="1">'Investment Simulation'!AJ62</f>
        <v>5605659.2554709595</v>
      </c>
      <c r="V57" s="237">
        <f t="shared" ca="1" si="4"/>
        <v>5605659.2554709595</v>
      </c>
    </row>
    <row r="58" spans="11:22" x14ac:dyDescent="0.25">
      <c r="K58" s="161">
        <v>42</v>
      </c>
      <c r="L58" s="235">
        <f t="shared" si="5"/>
        <v>2063</v>
      </c>
      <c r="M58" s="161">
        <f>IF(AnnualExpenses[[#This Row],[Calendar Year]]&gt;=$C$8,Table48[[#This Row],[Calendar Year]],NA())</f>
        <v>2063</v>
      </c>
      <c r="N58" s="161" t="e">
        <f>IF((Table48[[#This Row],[Calendar Year]]&gt;=$C$8)*(Table48[[#This Row],[Calendar Year]]&lt;=$C$10),Table48[[#This Row],[Calendar Year]],NA())</f>
        <v>#N/A</v>
      </c>
      <c r="O58" s="159" t="e">
        <f>IF((Table48[[#This Row],[Year (Range)]]&gt;=$C$8)*(Table48[[#This Row],[Year (Range)]]&lt;=$C$10),Table48[[#This Row],[Buy Total Assets]],NA())</f>
        <v>#N/A</v>
      </c>
      <c r="P58" s="159" t="e">
        <f>IF((Table48[[#This Row],[Year (Range)]]&gt;=$C$8)*(Table48[[#This Row],[Year (Range)]]&lt;=$C$10),Table48[[#This Row],[Rent Total Assets]],NA())</f>
        <v>#N/A</v>
      </c>
      <c r="Q58" s="236">
        <f>'Annual Amort. Sch.'!AI58</f>
        <v>602995.30794004421</v>
      </c>
      <c r="R58" s="4">
        <f>'Annual Amort. Sch.'!AF58</f>
        <v>1944754.7968879291</v>
      </c>
      <c r="S58" s="4">
        <f ca="1">'Investment Simulation'!Z63</f>
        <v>5320616.5272143809</v>
      </c>
      <c r="T58" s="4">
        <f t="shared" ca="1" si="3"/>
        <v>7868366.632042354</v>
      </c>
      <c r="U58" s="236">
        <f ca="1">'Investment Simulation'!AJ63</f>
        <v>5772049.6674298588</v>
      </c>
      <c r="V58" s="237">
        <f t="shared" ca="1" si="4"/>
        <v>5772049.6674298588</v>
      </c>
    </row>
    <row r="59" spans="11:22" x14ac:dyDescent="0.25">
      <c r="K59" s="161">
        <v>43</v>
      </c>
      <c r="L59" s="235">
        <f t="shared" si="5"/>
        <v>2064</v>
      </c>
      <c r="M59" s="161">
        <f>IF(AnnualExpenses[[#This Row],[Calendar Year]]&gt;=$C$8,Table48[[#This Row],[Calendar Year]],NA())</f>
        <v>2064</v>
      </c>
      <c r="N59" s="161" t="e">
        <f>IF((Table48[[#This Row],[Calendar Year]]&gt;=$C$8)*(Table48[[#This Row],[Calendar Year]]&lt;=$C$10),Table48[[#This Row],[Calendar Year]],NA())</f>
        <v>#N/A</v>
      </c>
      <c r="O59" s="159" t="e">
        <f>IF((Table48[[#This Row],[Year (Range)]]&gt;=$C$8)*(Table48[[#This Row],[Year (Range)]]&lt;=$C$10),Table48[[#This Row],[Buy Total Assets]],NA())</f>
        <v>#N/A</v>
      </c>
      <c r="P59" s="159" t="e">
        <f>IF((Table48[[#This Row],[Year (Range)]]&gt;=$C$8)*(Table48[[#This Row],[Year (Range)]]&lt;=$C$10),Table48[[#This Row],[Rent Total Assets]],NA())</f>
        <v>#N/A</v>
      </c>
      <c r="Q59" s="236">
        <f>'Annual Amort. Sch.'!AI59</f>
        <v>602995.30794004421</v>
      </c>
      <c r="R59" s="4">
        <f>'Annual Amort. Sch.'!AF59</f>
        <v>2033821.2147790063</v>
      </c>
      <c r="S59" s="4">
        <f ca="1">'Investment Simulation'!Z64</f>
        <v>4785871.2516098404</v>
      </c>
      <c r="T59" s="4">
        <f t="shared" ca="1" si="3"/>
        <v>7422687.7743288912</v>
      </c>
      <c r="U59" s="236">
        <f ca="1">'Investment Simulation'!AJ64</f>
        <v>5054899.1078239214</v>
      </c>
      <c r="V59" s="237">
        <f t="shared" ca="1" si="4"/>
        <v>5054899.1078239214</v>
      </c>
    </row>
    <row r="60" spans="11:22" x14ac:dyDescent="0.25">
      <c r="K60" s="161">
        <v>44</v>
      </c>
      <c r="L60" s="235">
        <f t="shared" si="5"/>
        <v>2065</v>
      </c>
      <c r="M60" s="161">
        <f>IF(AnnualExpenses[[#This Row],[Calendar Year]]&gt;=$C$8,Table48[[#This Row],[Calendar Year]],NA())</f>
        <v>2065</v>
      </c>
      <c r="N60" s="161" t="e">
        <f>IF((Table48[[#This Row],[Calendar Year]]&gt;=$C$8)*(Table48[[#This Row],[Calendar Year]]&lt;=$C$10),Table48[[#This Row],[Calendar Year]],NA())</f>
        <v>#N/A</v>
      </c>
      <c r="O60" s="159" t="e">
        <f>IF((Table48[[#This Row],[Year (Range)]]&gt;=$C$8)*(Table48[[#This Row],[Year (Range)]]&lt;=$C$10),Table48[[#This Row],[Buy Total Assets]],NA())</f>
        <v>#N/A</v>
      </c>
      <c r="P60" s="159" t="e">
        <f>IF((Table48[[#This Row],[Year (Range)]]&gt;=$C$8)*(Table48[[#This Row],[Year (Range)]]&lt;=$C$10),Table48[[#This Row],[Rent Total Assets]],NA())</f>
        <v>#N/A</v>
      </c>
      <c r="Q60" s="236">
        <f>'Annual Amort. Sch.'!AI60</f>
        <v>602995.30794004421</v>
      </c>
      <c r="R60" s="4">
        <f>'Annual Amort. Sch.'!AF60</f>
        <v>2126004.9572962713</v>
      </c>
      <c r="S60" s="4">
        <f ca="1">'Investment Simulation'!Z65</f>
        <v>5860427.7683861554</v>
      </c>
      <c r="T60" s="4">
        <f t="shared" ca="1" si="3"/>
        <v>8589428.0336224698</v>
      </c>
      <c r="U60" s="236">
        <f ca="1">'Investment Simulation'!AJ65</f>
        <v>6027082.961076906</v>
      </c>
      <c r="V60" s="237">
        <f t="shared" ca="1" si="4"/>
        <v>6027082.961076906</v>
      </c>
    </row>
    <row r="61" spans="11:22" x14ac:dyDescent="0.25">
      <c r="K61" s="161">
        <v>45</v>
      </c>
      <c r="L61" s="235">
        <f t="shared" si="5"/>
        <v>2066</v>
      </c>
      <c r="M61" s="161">
        <f>IF(AnnualExpenses[[#This Row],[Calendar Year]]&gt;=$C$8,Table48[[#This Row],[Calendar Year]],NA())</f>
        <v>2066</v>
      </c>
      <c r="N61" s="161" t="e">
        <f>IF((Table48[[#This Row],[Calendar Year]]&gt;=$C$8)*(Table48[[#This Row],[Calendar Year]]&lt;=$C$10),Table48[[#This Row],[Calendar Year]],NA())</f>
        <v>#N/A</v>
      </c>
      <c r="O61" s="159" t="e">
        <f>IF((Table48[[#This Row],[Year (Range)]]&gt;=$C$8)*(Table48[[#This Row],[Year (Range)]]&lt;=$C$10),Table48[[#This Row],[Buy Total Assets]],NA())</f>
        <v>#N/A</v>
      </c>
      <c r="P61" s="159" t="e">
        <f>IF((Table48[[#This Row],[Year (Range)]]&gt;=$C$8)*(Table48[[#This Row],[Year (Range)]]&lt;=$C$10),Table48[[#This Row],[Rent Total Assets]],NA())</f>
        <v>#N/A</v>
      </c>
      <c r="Q61" s="236">
        <f>'Annual Amort. Sch.'!AI61</f>
        <v>602995.30794004421</v>
      </c>
      <c r="R61" s="4">
        <f>'Annual Amort. Sch.'!AF61</f>
        <v>2221415.1308016405</v>
      </c>
      <c r="S61" s="4">
        <f ca="1">'Investment Simulation'!Z66</f>
        <v>5567698.519844776</v>
      </c>
      <c r="T61" s="4">
        <f t="shared" ca="1" si="3"/>
        <v>8392108.9585864618</v>
      </c>
      <c r="U61" s="236">
        <f ca="1">'Investment Simulation'!AJ66</f>
        <v>5580689.5479347184</v>
      </c>
      <c r="V61" s="237">
        <f t="shared" ca="1" si="4"/>
        <v>5580689.5479347184</v>
      </c>
    </row>
    <row r="62" spans="11:22" x14ac:dyDescent="0.25">
      <c r="K62" s="161">
        <v>46</v>
      </c>
      <c r="L62" s="235">
        <f t="shared" si="5"/>
        <v>2067</v>
      </c>
      <c r="M62" s="161">
        <f>IF(AnnualExpenses[[#This Row],[Calendar Year]]&gt;=$C$8,Table48[[#This Row],[Calendar Year]],NA())</f>
        <v>2067</v>
      </c>
      <c r="N62" s="161" t="e">
        <f>IF((Table48[[#This Row],[Calendar Year]]&gt;=$C$8)*(Table48[[#This Row],[Calendar Year]]&lt;=$C$10),Table48[[#This Row],[Calendar Year]],NA())</f>
        <v>#N/A</v>
      </c>
      <c r="O62" s="159" t="e">
        <f>IF((Table48[[#This Row],[Year (Range)]]&gt;=$C$8)*(Table48[[#This Row],[Year (Range)]]&lt;=$C$10),Table48[[#This Row],[Buy Total Assets]],NA())</f>
        <v>#N/A</v>
      </c>
      <c r="P62" s="159" t="e">
        <f>IF((Table48[[#This Row],[Year (Range)]]&gt;=$C$8)*(Table48[[#This Row],[Year (Range)]]&lt;=$C$10),Table48[[#This Row],[Rent Total Assets]],NA())</f>
        <v>#N/A</v>
      </c>
      <c r="Q62" s="236">
        <f>'Annual Amort. Sch.'!AI62</f>
        <v>602995.30794004421</v>
      </c>
      <c r="R62" s="4">
        <f>'Annual Amort. Sch.'!AF62</f>
        <v>2320164.6603796976</v>
      </c>
      <c r="S62" s="4">
        <f ca="1">'Investment Simulation'!Z67</f>
        <v>6135832.3072733972</v>
      </c>
      <c r="T62" s="4">
        <f t="shared" ca="1" si="3"/>
        <v>9058992.2755931392</v>
      </c>
      <c r="U62" s="236">
        <f ca="1">'Investment Simulation'!AJ67</f>
        <v>5990967.4671057807</v>
      </c>
      <c r="V62" s="237">
        <f t="shared" ca="1" si="4"/>
        <v>5990967.4671057807</v>
      </c>
    </row>
    <row r="63" spans="11:22" x14ac:dyDescent="0.25">
      <c r="K63" s="161">
        <v>47</v>
      </c>
      <c r="L63" s="235">
        <f t="shared" si="5"/>
        <v>2068</v>
      </c>
      <c r="M63" s="161">
        <f>IF(AnnualExpenses[[#This Row],[Calendar Year]]&gt;=$C$8,Table48[[#This Row],[Calendar Year]],NA())</f>
        <v>2068</v>
      </c>
      <c r="N63" s="161" t="e">
        <f>IF((Table48[[#This Row],[Calendar Year]]&gt;=$C$8)*(Table48[[#This Row],[Calendar Year]]&lt;=$C$10),Table48[[#This Row],[Calendar Year]],NA())</f>
        <v>#N/A</v>
      </c>
      <c r="O63" s="159" t="e">
        <f>IF((Table48[[#This Row],[Year (Range)]]&gt;=$C$8)*(Table48[[#This Row],[Year (Range)]]&lt;=$C$10),Table48[[#This Row],[Buy Total Assets]],NA())</f>
        <v>#N/A</v>
      </c>
      <c r="P63" s="159" t="e">
        <f>IF((Table48[[#This Row],[Year (Range)]]&gt;=$C$8)*(Table48[[#This Row],[Year (Range)]]&lt;=$C$10),Table48[[#This Row],[Rent Total Assets]],NA())</f>
        <v>#N/A</v>
      </c>
      <c r="Q63" s="236">
        <f>'Annual Amort. Sch.'!AI63</f>
        <v>602995.30794004421</v>
      </c>
      <c r="R63" s="4">
        <f>'Annual Amort. Sch.'!AF63</f>
        <v>2422370.4234929867</v>
      </c>
      <c r="S63" s="4">
        <f ca="1">'Investment Simulation'!Z68</f>
        <v>6977383.9878417738</v>
      </c>
      <c r="T63" s="4">
        <f t="shared" ca="1" si="3"/>
        <v>10002749.719274804</v>
      </c>
      <c r="U63" s="236">
        <f ca="1">'Investment Simulation'!AJ68</f>
        <v>6647986.8056762218</v>
      </c>
      <c r="V63" s="237">
        <f t="shared" ca="1" si="4"/>
        <v>6647986.8056762218</v>
      </c>
    </row>
    <row r="64" spans="11:22" x14ac:dyDescent="0.25">
      <c r="K64" s="161">
        <v>48</v>
      </c>
      <c r="L64" s="235">
        <f t="shared" si="5"/>
        <v>2069</v>
      </c>
      <c r="M64" s="161">
        <f>IF(AnnualExpenses[[#This Row],[Calendar Year]]&gt;=$C$8,Table48[[#This Row],[Calendar Year]],NA())</f>
        <v>2069</v>
      </c>
      <c r="N64" s="161" t="e">
        <f>IF((Table48[[#This Row],[Calendar Year]]&gt;=$C$8)*(Table48[[#This Row],[Calendar Year]]&lt;=$C$10),Table48[[#This Row],[Calendar Year]],NA())</f>
        <v>#N/A</v>
      </c>
      <c r="O64" s="159" t="e">
        <f>IF((Table48[[#This Row],[Year (Range)]]&gt;=$C$8)*(Table48[[#This Row],[Year (Range)]]&lt;=$C$10),Table48[[#This Row],[Buy Total Assets]],NA())</f>
        <v>#N/A</v>
      </c>
      <c r="P64" s="159" t="e">
        <f>IF((Table48[[#This Row],[Year (Range)]]&gt;=$C$8)*(Table48[[#This Row],[Year (Range)]]&lt;=$C$10),Table48[[#This Row],[Rent Total Assets]],NA())</f>
        <v>#N/A</v>
      </c>
      <c r="Q64" s="236">
        <f>'Annual Amort. Sch.'!AI64</f>
        <v>602995.30794004421</v>
      </c>
      <c r="R64" s="4">
        <f>'Annual Amort. Sch.'!AF64</f>
        <v>2528153.3883152409</v>
      </c>
      <c r="S64" s="4">
        <f ca="1">'Investment Simulation'!Z69</f>
        <v>10059363.07367993</v>
      </c>
      <c r="T64" s="4">
        <f t="shared" ca="1" si="3"/>
        <v>13190511.769935215</v>
      </c>
      <c r="U64" s="236">
        <f ca="1">'Investment Simulation'!AJ69</f>
        <v>9392664.5778422244</v>
      </c>
      <c r="V64" s="237">
        <f t="shared" ca="1" si="4"/>
        <v>9392664.5778422244</v>
      </c>
    </row>
    <row r="65" spans="11:22" x14ac:dyDescent="0.25">
      <c r="K65" s="161">
        <v>49</v>
      </c>
      <c r="L65" s="235">
        <f t="shared" si="5"/>
        <v>2070</v>
      </c>
      <c r="M65" s="161">
        <f>IF(AnnualExpenses[[#This Row],[Calendar Year]]&gt;=$C$8,Table48[[#This Row],[Calendar Year]],NA())</f>
        <v>2070</v>
      </c>
      <c r="N65" s="161" t="e">
        <f>IF((Table48[[#This Row],[Calendar Year]]&gt;=$C$8)*(Table48[[#This Row],[Calendar Year]]&lt;=$C$10),Table48[[#This Row],[Calendar Year]],NA())</f>
        <v>#N/A</v>
      </c>
      <c r="O65" s="159" t="e">
        <f>IF((Table48[[#This Row],[Year (Range)]]&gt;=$C$8)*(Table48[[#This Row],[Year (Range)]]&lt;=$C$10),Table48[[#This Row],[Buy Total Assets]],NA())</f>
        <v>#N/A</v>
      </c>
      <c r="P65" s="159" t="e">
        <f>IF((Table48[[#This Row],[Year (Range)]]&gt;=$C$8)*(Table48[[#This Row],[Year (Range)]]&lt;=$C$10),Table48[[#This Row],[Rent Total Assets]],NA())</f>
        <v>#N/A</v>
      </c>
      <c r="Q65" s="236">
        <f>'Annual Amort. Sch.'!AI65</f>
        <v>602995.30794004421</v>
      </c>
      <c r="R65" s="4">
        <f>'Annual Amort. Sch.'!AF65</f>
        <v>2637638.7569062742</v>
      </c>
      <c r="S65" s="4">
        <f ca="1">'Investment Simulation'!Z70</f>
        <v>11926668.898981987</v>
      </c>
      <c r="T65" s="4">
        <f t="shared" ca="1" si="3"/>
        <v>15167302.963828305</v>
      </c>
      <c r="U65" s="236">
        <f ca="1">'Investment Simulation'!AJ70</f>
        <v>10960044.766320428</v>
      </c>
      <c r="V65" s="237">
        <f t="shared" ca="1" si="4"/>
        <v>10960044.766320428</v>
      </c>
    </row>
    <row r="66" spans="11:22" x14ac:dyDescent="0.25">
      <c r="K66" s="161">
        <v>50</v>
      </c>
      <c r="L66" s="235">
        <f t="shared" si="5"/>
        <v>2071</v>
      </c>
      <c r="M66" s="161">
        <f>IF(AnnualExpenses[[#This Row],[Calendar Year]]&gt;=$C$8,Table48[[#This Row],[Calendar Year]],NA())</f>
        <v>2071</v>
      </c>
      <c r="N66" s="161" t="e">
        <f>IF((Table48[[#This Row],[Calendar Year]]&gt;=$C$8)*(Table48[[#This Row],[Calendar Year]]&lt;=$C$10),Table48[[#This Row],[Calendar Year]],NA())</f>
        <v>#N/A</v>
      </c>
      <c r="O66" s="159" t="e">
        <f>IF((Table48[[#This Row],[Year (Range)]]&gt;=$C$8)*(Table48[[#This Row],[Year (Range)]]&lt;=$C$10),Table48[[#This Row],[Buy Total Assets]],NA())</f>
        <v>#N/A</v>
      </c>
      <c r="P66" s="159" t="e">
        <f>IF((Table48[[#This Row],[Year (Range)]]&gt;=$C$8)*(Table48[[#This Row],[Year (Range)]]&lt;=$C$10),Table48[[#This Row],[Rent Total Assets]],NA())</f>
        <v>#N/A</v>
      </c>
      <c r="Q66" s="236">
        <f>'Annual Amort. Sch.'!AI66</f>
        <v>602995.30794004421</v>
      </c>
      <c r="R66" s="4">
        <f>'Annual Amort. Sch.'!AF66</f>
        <v>2750956.1133979936</v>
      </c>
      <c r="S66" s="4">
        <f ca="1">'Investment Simulation'!Z71</f>
        <v>10450426.41343276</v>
      </c>
      <c r="T66" s="4">
        <f t="shared" ca="1" si="3"/>
        <v>13804377.834770799</v>
      </c>
      <c r="U66" s="236">
        <f ca="1">'Investment Simulation'!AJ71</f>
        <v>9447965.0173413884</v>
      </c>
      <c r="V66" s="237">
        <f t="shared" ca="1" si="4"/>
        <v>9447965.0173413884</v>
      </c>
    </row>
    <row r="67" spans="11:22" x14ac:dyDescent="0.25">
      <c r="K67" s="161">
        <v>51</v>
      </c>
      <c r="L67" s="235">
        <f t="shared" si="5"/>
        <v>2072</v>
      </c>
      <c r="M67" s="161">
        <f>IF(AnnualExpenses[[#This Row],[Calendar Year]]&gt;=$C$8,Table48[[#This Row],[Calendar Year]],NA())</f>
        <v>2072</v>
      </c>
      <c r="N67" s="161" t="e">
        <f>IF((Table48[[#This Row],[Calendar Year]]&gt;=$C$8)*(Table48[[#This Row],[Calendar Year]]&lt;=$C$10),Table48[[#This Row],[Calendar Year]],NA())</f>
        <v>#N/A</v>
      </c>
      <c r="O67" s="159" t="e">
        <f>IF((Table48[[#This Row],[Year (Range)]]&gt;=$C$8)*(Table48[[#This Row],[Year (Range)]]&lt;=$C$10),Table48[[#This Row],[Buy Total Assets]],NA())</f>
        <v>#N/A</v>
      </c>
      <c r="P67" s="159" t="e">
        <f>IF((Table48[[#This Row],[Year (Range)]]&gt;=$C$8)*(Table48[[#This Row],[Year (Range)]]&lt;=$C$10),Table48[[#This Row],[Rent Total Assets]],NA())</f>
        <v>#N/A</v>
      </c>
      <c r="Q67" s="236">
        <f>'Annual Amort. Sch.'!AI67</f>
        <v>602995.30794004421</v>
      </c>
      <c r="R67" s="4">
        <f>'Annual Amort. Sch.'!AF67</f>
        <v>2868239.577366923</v>
      </c>
      <c r="S67" s="4">
        <f ca="1">'Investment Simulation'!Z72</f>
        <v>13029848.467614371</v>
      </c>
      <c r="T67" s="4">
        <f t="shared" ca="1" si="3"/>
        <v>16501083.352921339</v>
      </c>
      <c r="U67" s="236">
        <f ca="1">'Investment Simulation'!AJ72</f>
        <v>11589075.64568612</v>
      </c>
      <c r="V67" s="237">
        <f t="shared" ca="1" si="4"/>
        <v>11589075.64568612</v>
      </c>
    </row>
    <row r="68" spans="11:22" x14ac:dyDescent="0.25">
      <c r="K68" s="161">
        <v>52</v>
      </c>
      <c r="L68" s="235">
        <f t="shared" si="5"/>
        <v>2073</v>
      </c>
      <c r="M68" s="161">
        <f>IF(AnnualExpenses[[#This Row],[Calendar Year]]&gt;=$C$8,Table48[[#This Row],[Calendar Year]],NA())</f>
        <v>2073</v>
      </c>
      <c r="N68" s="161" t="e">
        <f>IF((Table48[[#This Row],[Calendar Year]]&gt;=$C$8)*(Table48[[#This Row],[Calendar Year]]&lt;=$C$10),Table48[[#This Row],[Calendar Year]],NA())</f>
        <v>#N/A</v>
      </c>
      <c r="O68" s="159" t="e">
        <f>IF((Table48[[#This Row],[Year (Range)]]&gt;=$C$8)*(Table48[[#This Row],[Year (Range)]]&lt;=$C$10),Table48[[#This Row],[Buy Total Assets]],NA())</f>
        <v>#N/A</v>
      </c>
      <c r="P68" s="159" t="e">
        <f>IF((Table48[[#This Row],[Year (Range)]]&gt;=$C$8)*(Table48[[#This Row],[Year (Range)]]&lt;=$C$10),Table48[[#This Row],[Rent Total Assets]],NA())</f>
        <v>#N/A</v>
      </c>
      <c r="Q68" s="236">
        <f>'Annual Amort. Sch.'!AI68</f>
        <v>602995.30794004421</v>
      </c>
      <c r="R68" s="4">
        <f>'Annual Amort. Sch.'!AF68</f>
        <v>2989627.9625747651</v>
      </c>
      <c r="S68" s="4">
        <f ca="1">'Investment Simulation'!Z73</f>
        <v>15168406.853043336</v>
      </c>
      <c r="T68" s="4">
        <f t="shared" ca="1" si="3"/>
        <v>18761030.123558145</v>
      </c>
      <c r="U68" s="236">
        <f ca="1">'Investment Simulation'!AJ73</f>
        <v>13302145.180428633</v>
      </c>
      <c r="V68" s="237">
        <f t="shared" ca="1" si="4"/>
        <v>13302145.180428633</v>
      </c>
    </row>
    <row r="69" spans="11:22" x14ac:dyDescent="0.25">
      <c r="K69" s="161">
        <v>53</v>
      </c>
      <c r="L69" s="235">
        <f t="shared" si="5"/>
        <v>2074</v>
      </c>
      <c r="M69" s="161">
        <f>IF(AnnualExpenses[[#This Row],[Calendar Year]]&gt;=$C$8,Table48[[#This Row],[Calendar Year]],NA())</f>
        <v>2074</v>
      </c>
      <c r="N69" s="161" t="e">
        <f>IF((Table48[[#This Row],[Calendar Year]]&gt;=$C$8)*(Table48[[#This Row],[Calendar Year]]&lt;=$C$10),Table48[[#This Row],[Calendar Year]],NA())</f>
        <v>#N/A</v>
      </c>
      <c r="O69" s="159" t="e">
        <f>IF((Table48[[#This Row],[Year (Range)]]&gt;=$C$8)*(Table48[[#This Row],[Year (Range)]]&lt;=$C$10),Table48[[#This Row],[Buy Total Assets]],NA())</f>
        <v>#N/A</v>
      </c>
      <c r="P69" s="159" t="e">
        <f>IF((Table48[[#This Row],[Year (Range)]]&gt;=$C$8)*(Table48[[#This Row],[Year (Range)]]&lt;=$C$10),Table48[[#This Row],[Rent Total Assets]],NA())</f>
        <v>#N/A</v>
      </c>
      <c r="Q69" s="236">
        <f>'Annual Amort. Sch.'!AI69</f>
        <v>602995.30794004421</v>
      </c>
      <c r="R69" s="4">
        <f>'Annual Amort. Sch.'!AF69</f>
        <v>3115264.9412648818</v>
      </c>
      <c r="S69" s="4">
        <f ca="1">'Investment Simulation'!Z74</f>
        <v>15608408.01565899</v>
      </c>
      <c r="T69" s="4">
        <f t="shared" ca="1" si="3"/>
        <v>19326668.264863916</v>
      </c>
      <c r="U69" s="236">
        <f ca="1">'Investment Simulation'!AJ74</f>
        <v>13505542.643940119</v>
      </c>
      <c r="V69" s="237">
        <f t="shared" ca="1" si="4"/>
        <v>13505542.643940119</v>
      </c>
    </row>
    <row r="70" spans="11:22" x14ac:dyDescent="0.25">
      <c r="K70" s="161">
        <v>54</v>
      </c>
      <c r="L70" s="235">
        <f t="shared" si="5"/>
        <v>2075</v>
      </c>
      <c r="M70" s="161">
        <f>IF(AnnualExpenses[[#This Row],[Calendar Year]]&gt;=$C$8,Table48[[#This Row],[Calendar Year]],NA())</f>
        <v>2075</v>
      </c>
      <c r="N70" s="161" t="e">
        <f>IF((Table48[[#This Row],[Calendar Year]]&gt;=$C$8)*(Table48[[#This Row],[Calendar Year]]&lt;=$C$10),Table48[[#This Row],[Calendar Year]],NA())</f>
        <v>#N/A</v>
      </c>
      <c r="O70" s="159" t="e">
        <f>IF((Table48[[#This Row],[Year (Range)]]&gt;=$C$8)*(Table48[[#This Row],[Year (Range)]]&lt;=$C$10),Table48[[#This Row],[Buy Total Assets]],NA())</f>
        <v>#N/A</v>
      </c>
      <c r="P70" s="159" t="e">
        <f>IF((Table48[[#This Row],[Year (Range)]]&gt;=$C$8)*(Table48[[#This Row],[Year (Range)]]&lt;=$C$10),Table48[[#This Row],[Rent Total Assets]],NA())</f>
        <v>#N/A</v>
      </c>
      <c r="Q70" s="236">
        <f>'Annual Amort. Sch.'!AI70</f>
        <v>602995.30794004421</v>
      </c>
      <c r="R70" s="4">
        <f>'Annual Amort. Sch.'!AF70</f>
        <v>3245299.2142091524</v>
      </c>
      <c r="S70" s="4">
        <f ca="1">'Investment Simulation'!Z75</f>
        <v>19441071.744972281</v>
      </c>
      <c r="T70" s="4">
        <f t="shared" ca="1" si="3"/>
        <v>23289366.267121479</v>
      </c>
      <c r="U70" s="236">
        <f ca="1">'Investment Simulation'!AJ75</f>
        <v>16613967.877595957</v>
      </c>
      <c r="V70" s="237">
        <f t="shared" ca="1" si="4"/>
        <v>16613967.877595957</v>
      </c>
    </row>
    <row r="71" spans="11:22" x14ac:dyDescent="0.25">
      <c r="K71" s="161">
        <v>55</v>
      </c>
      <c r="L71" s="235">
        <f t="shared" si="5"/>
        <v>2076</v>
      </c>
      <c r="M71" s="161">
        <f>IF(AnnualExpenses[[#This Row],[Calendar Year]]&gt;=$C$8,Table48[[#This Row],[Calendar Year]],NA())</f>
        <v>2076</v>
      </c>
      <c r="N71" s="161" t="e">
        <f>IF((Table48[[#This Row],[Calendar Year]]&gt;=$C$8)*(Table48[[#This Row],[Calendar Year]]&lt;=$C$10),Table48[[#This Row],[Calendar Year]],NA())</f>
        <v>#N/A</v>
      </c>
      <c r="O71" s="159" t="e">
        <f>IF((Table48[[#This Row],[Year (Range)]]&gt;=$C$8)*(Table48[[#This Row],[Year (Range)]]&lt;=$C$10),Table48[[#This Row],[Buy Total Assets]],NA())</f>
        <v>#N/A</v>
      </c>
      <c r="P71" s="159" t="e">
        <f>IF((Table48[[#This Row],[Year (Range)]]&gt;=$C$8)*(Table48[[#This Row],[Year (Range)]]&lt;=$C$10),Table48[[#This Row],[Rent Total Assets]],NA())</f>
        <v>#N/A</v>
      </c>
      <c r="Q71" s="236">
        <f>'Annual Amort. Sch.'!AI71</f>
        <v>602995.30794004421</v>
      </c>
      <c r="R71" s="4">
        <f>'Annual Amort. Sch.'!AF71</f>
        <v>3379884.6867064722</v>
      </c>
      <c r="S71" s="4">
        <f ca="1">'Investment Simulation'!Z76</f>
        <v>19738762.805035811</v>
      </c>
      <c r="T71" s="4">
        <f t="shared" ca="1" si="3"/>
        <v>23721642.799682327</v>
      </c>
      <c r="U71" s="236">
        <f ca="1">'Investment Simulation'!AJ76</f>
        <v>16675907.894450102</v>
      </c>
      <c r="V71" s="237">
        <f t="shared" ca="1" si="4"/>
        <v>16675907.894450102</v>
      </c>
    </row>
    <row r="72" spans="11:22" x14ac:dyDescent="0.25">
      <c r="K72" s="161">
        <v>56</v>
      </c>
      <c r="L72" s="235">
        <f t="shared" si="5"/>
        <v>2077</v>
      </c>
      <c r="M72" s="161">
        <f>IF(AnnualExpenses[[#This Row],[Calendar Year]]&gt;=$C$8,Table48[[#This Row],[Calendar Year]],NA())</f>
        <v>2077</v>
      </c>
      <c r="N72" s="161" t="e">
        <f>IF((Table48[[#This Row],[Calendar Year]]&gt;=$C$8)*(Table48[[#This Row],[Calendar Year]]&lt;=$C$10),Table48[[#This Row],[Calendar Year]],NA())</f>
        <v>#N/A</v>
      </c>
      <c r="O72" s="159" t="e">
        <f>IF((Table48[[#This Row],[Year (Range)]]&gt;=$C$8)*(Table48[[#This Row],[Year (Range)]]&lt;=$C$10),Table48[[#This Row],[Buy Total Assets]],NA())</f>
        <v>#N/A</v>
      </c>
      <c r="P72" s="159" t="e">
        <f>IF((Table48[[#This Row],[Year (Range)]]&gt;=$C$8)*(Table48[[#This Row],[Year (Range)]]&lt;=$C$10),Table48[[#This Row],[Rent Total Assets]],NA())</f>
        <v>#N/A</v>
      </c>
      <c r="Q72" s="236">
        <f>'Annual Amort. Sch.'!AI72</f>
        <v>602995.30794004421</v>
      </c>
      <c r="R72" s="4">
        <f>'Annual Amort. Sch.'!AF72</f>
        <v>3519180.6507411986</v>
      </c>
      <c r="S72" s="4">
        <f ca="1">'Investment Simulation'!Z77</f>
        <v>20411369.82948212</v>
      </c>
      <c r="T72" s="4">
        <f t="shared" ca="1" si="3"/>
        <v>24533545.788163364</v>
      </c>
      <c r="U72" s="236">
        <f ca="1">'Investment Simulation'!AJ77</f>
        <v>17043824.025394723</v>
      </c>
      <c r="V72" s="237">
        <f t="shared" ca="1" si="4"/>
        <v>17043824.025394723</v>
      </c>
    </row>
    <row r="73" spans="11:22" x14ac:dyDescent="0.25">
      <c r="K73" s="161">
        <v>57</v>
      </c>
      <c r="L73" s="235">
        <f t="shared" si="5"/>
        <v>2078</v>
      </c>
      <c r="M73" s="161">
        <f>IF(AnnualExpenses[[#This Row],[Calendar Year]]&gt;=$C$8,Table48[[#This Row],[Calendar Year]],NA())</f>
        <v>2078</v>
      </c>
      <c r="N73" s="161" t="e">
        <f>IF((Table48[[#This Row],[Calendar Year]]&gt;=$C$8)*(Table48[[#This Row],[Calendar Year]]&lt;=$C$10),Table48[[#This Row],[Calendar Year]],NA())</f>
        <v>#N/A</v>
      </c>
      <c r="O73" s="159" t="e">
        <f>IF((Table48[[#This Row],[Year (Range)]]&gt;=$C$8)*(Table48[[#This Row],[Year (Range)]]&lt;=$C$10),Table48[[#This Row],[Buy Total Assets]],NA())</f>
        <v>#N/A</v>
      </c>
      <c r="P73" s="159" t="e">
        <f>IF((Table48[[#This Row],[Year (Range)]]&gt;=$C$8)*(Table48[[#This Row],[Year (Range)]]&lt;=$C$10),Table48[[#This Row],[Rent Total Assets]],NA())</f>
        <v>#N/A</v>
      </c>
      <c r="Q73" s="236">
        <f>'Annual Amort. Sch.'!AI73</f>
        <v>602995.30794004421</v>
      </c>
      <c r="R73" s="4">
        <f>'Annual Amort. Sch.'!AF73</f>
        <v>3663351.9735171404</v>
      </c>
      <c r="S73" s="4">
        <f ca="1">'Investment Simulation'!Z78</f>
        <v>24116092.647665083</v>
      </c>
      <c r="T73" s="4">
        <f t="shared" ca="1" si="3"/>
        <v>28382439.929122269</v>
      </c>
      <c r="U73" s="236">
        <f ca="1">'Investment Simulation'!AJ78</f>
        <v>19915804.340748105</v>
      </c>
      <c r="V73" s="237">
        <f t="shared" ca="1" si="4"/>
        <v>19915804.340748105</v>
      </c>
    </row>
    <row r="74" spans="11:22" x14ac:dyDescent="0.25">
      <c r="K74" s="161">
        <v>58</v>
      </c>
      <c r="L74" s="235">
        <f t="shared" si="5"/>
        <v>2079</v>
      </c>
      <c r="M74" s="161">
        <f>IF(AnnualExpenses[[#This Row],[Calendar Year]]&gt;=$C$8,Table48[[#This Row],[Calendar Year]],NA())</f>
        <v>2079</v>
      </c>
      <c r="N74" s="161" t="e">
        <f>IF((Table48[[#This Row],[Calendar Year]]&gt;=$C$8)*(Table48[[#This Row],[Calendar Year]]&lt;=$C$10),Table48[[#This Row],[Calendar Year]],NA())</f>
        <v>#N/A</v>
      </c>
      <c r="O74" s="159" t="e">
        <f>IF((Table48[[#This Row],[Year (Range)]]&gt;=$C$8)*(Table48[[#This Row],[Year (Range)]]&lt;=$C$10),Table48[[#This Row],[Buy Total Assets]],NA())</f>
        <v>#N/A</v>
      </c>
      <c r="P74" s="159" t="e">
        <f>IF((Table48[[#This Row],[Year (Range)]]&gt;=$C$8)*(Table48[[#This Row],[Year (Range)]]&lt;=$C$10),Table48[[#This Row],[Rent Total Assets]],NA())</f>
        <v>#N/A</v>
      </c>
      <c r="Q74" s="236">
        <f>'Annual Amort. Sch.'!AI74</f>
        <v>602995.30794004421</v>
      </c>
      <c r="R74" s="4">
        <f>'Annual Amort. Sch.'!AF74</f>
        <v>3812569.29259024</v>
      </c>
      <c r="S74" s="4">
        <f ca="1">'Investment Simulation'!Z79</f>
        <v>24287112.652754374</v>
      </c>
      <c r="T74" s="4">
        <f t="shared" ca="1" si="3"/>
        <v>28702677.253284659</v>
      </c>
      <c r="U74" s="236">
        <f ca="1">'Investment Simulation'!AJ79</f>
        <v>19846606.854455195</v>
      </c>
      <c r="V74" s="237">
        <f t="shared" ca="1" si="4"/>
        <v>19846606.854455195</v>
      </c>
    </row>
    <row r="75" spans="11:22" x14ac:dyDescent="0.25">
      <c r="K75" s="161">
        <v>59</v>
      </c>
      <c r="L75" s="235">
        <f t="shared" si="5"/>
        <v>2080</v>
      </c>
      <c r="M75" s="161">
        <f>IF(AnnualExpenses[[#This Row],[Calendar Year]]&gt;=$C$8,Table48[[#This Row],[Calendar Year]],NA())</f>
        <v>2080</v>
      </c>
      <c r="N75" s="161" t="e">
        <f>IF((Table48[[#This Row],[Calendar Year]]&gt;=$C$8)*(Table48[[#This Row],[Calendar Year]]&lt;=$C$10),Table48[[#This Row],[Calendar Year]],NA())</f>
        <v>#N/A</v>
      </c>
      <c r="O75" s="159" t="e">
        <f>IF((Table48[[#This Row],[Year (Range)]]&gt;=$C$8)*(Table48[[#This Row],[Year (Range)]]&lt;=$C$10),Table48[[#This Row],[Buy Total Assets]],NA())</f>
        <v>#N/A</v>
      </c>
      <c r="P75" s="159" t="e">
        <f>IF((Table48[[#This Row],[Year (Range)]]&gt;=$C$8)*(Table48[[#This Row],[Year (Range)]]&lt;=$C$10),Table48[[#This Row],[Rent Total Assets]],NA())</f>
        <v>#N/A</v>
      </c>
      <c r="Q75" s="236">
        <f>'Annual Amort. Sch.'!AI75</f>
        <v>602995.30794004421</v>
      </c>
      <c r="R75" s="4">
        <f>'Annual Amort. Sch.'!AF75</f>
        <v>3967009.2178308982</v>
      </c>
      <c r="S75" s="4">
        <f ca="1">'Investment Simulation'!Z80</f>
        <v>23086030.17881079</v>
      </c>
      <c r="T75" s="4">
        <f t="shared" ca="1" si="3"/>
        <v>27656034.704581734</v>
      </c>
      <c r="U75" s="236">
        <f ca="1">'Investment Simulation'!AJ80</f>
        <v>18654065.949040335</v>
      </c>
      <c r="V75" s="237">
        <f t="shared" ca="1" si="4"/>
        <v>18654065.949040335</v>
      </c>
    </row>
    <row r="76" spans="11:22" x14ac:dyDescent="0.25">
      <c r="K76" s="161">
        <v>60</v>
      </c>
      <c r="L76" s="235">
        <f t="shared" si="5"/>
        <v>2081</v>
      </c>
      <c r="M76" s="161">
        <f>IF(AnnualExpenses[[#This Row],[Calendar Year]]&gt;=$C$8,Table48[[#This Row],[Calendar Year]],NA())</f>
        <v>2081</v>
      </c>
      <c r="N76" s="161" t="e">
        <f>IF((Table48[[#This Row],[Calendar Year]]&gt;=$C$8)*(Table48[[#This Row],[Calendar Year]]&lt;=$C$10),Table48[[#This Row],[Calendar Year]],NA())</f>
        <v>#N/A</v>
      </c>
      <c r="O76" s="159" t="e">
        <f>IF((Table48[[#This Row],[Year (Range)]]&gt;=$C$8)*(Table48[[#This Row],[Year (Range)]]&lt;=$C$10),Table48[[#This Row],[Buy Total Assets]],NA())</f>
        <v>#N/A</v>
      </c>
      <c r="P76" s="159" t="e">
        <f>IF((Table48[[#This Row],[Year (Range)]]&gt;=$C$8)*(Table48[[#This Row],[Year (Range)]]&lt;=$C$10),Table48[[#This Row],[Rent Total Assets]],NA())</f>
        <v>#N/A</v>
      </c>
      <c r="Q76" s="236">
        <f>'Annual Amort. Sch.'!AI76</f>
        <v>602995.30794004421</v>
      </c>
      <c r="R76" s="4">
        <f>'Annual Amort. Sch.'!AF76</f>
        <v>4126854.5404549791</v>
      </c>
      <c r="S76" s="4">
        <f ca="1">'Investment Simulation'!Z81</f>
        <v>23642847.509472016</v>
      </c>
      <c r="T76" s="4">
        <f t="shared" ca="1" si="3"/>
        <v>28372697.35786704</v>
      </c>
      <c r="U76" s="236">
        <f ca="1">'Investment Simulation'!AJ81</f>
        <v>18878195.417373307</v>
      </c>
      <c r="V76" s="237">
        <f t="shared" ca="1" si="4"/>
        <v>18878195.417373307</v>
      </c>
    </row>
    <row r="77" spans="11:22" x14ac:dyDescent="0.25">
      <c r="K77" s="161">
        <v>61</v>
      </c>
      <c r="L77" s="235">
        <f t="shared" si="5"/>
        <v>2082</v>
      </c>
      <c r="M77" s="161">
        <f>IF(AnnualExpenses[[#This Row],[Calendar Year]]&gt;=$C$8,Table48[[#This Row],[Calendar Year]],NA())</f>
        <v>2082</v>
      </c>
      <c r="N77" s="161" t="e">
        <f>IF((Table48[[#This Row],[Calendar Year]]&gt;=$C$8)*(Table48[[#This Row],[Calendar Year]]&lt;=$C$10),Table48[[#This Row],[Calendar Year]],NA())</f>
        <v>#N/A</v>
      </c>
      <c r="O77" s="159" t="e">
        <f>IF((Table48[[#This Row],[Year (Range)]]&gt;=$C$8)*(Table48[[#This Row],[Year (Range)]]&lt;=$C$10),Table48[[#This Row],[Buy Total Assets]],NA())</f>
        <v>#N/A</v>
      </c>
      <c r="P77" s="159" t="e">
        <f>IF((Table48[[#This Row],[Year (Range)]]&gt;=$C$8)*(Table48[[#This Row],[Year (Range)]]&lt;=$C$10),Table48[[#This Row],[Rent Total Assets]],NA())</f>
        <v>#N/A</v>
      </c>
      <c r="Q77" s="236">
        <f>'Annual Amort. Sch.'!AI77</f>
        <v>602995.30794004421</v>
      </c>
      <c r="R77" s="4">
        <f>'Annual Amort. Sch.'!AF77</f>
        <v>4292294.449370903</v>
      </c>
      <c r="S77" s="4">
        <f ca="1">'Investment Simulation'!Z82</f>
        <v>23458632.080362704</v>
      </c>
      <c r="T77" s="4">
        <f t="shared" ca="1" si="3"/>
        <v>28353921.837673649</v>
      </c>
      <c r="U77" s="236">
        <f ca="1">'Investment Simulation'!AJ82</f>
        <v>18502056.497128978</v>
      </c>
      <c r="V77" s="237">
        <f t="shared" ca="1" si="4"/>
        <v>18502056.497128978</v>
      </c>
    </row>
    <row r="78" spans="11:22" x14ac:dyDescent="0.25">
      <c r="K78" s="161">
        <v>62</v>
      </c>
      <c r="L78" s="235">
        <f t="shared" si="5"/>
        <v>2083</v>
      </c>
      <c r="M78" s="161">
        <f>IF(AnnualExpenses[[#This Row],[Calendar Year]]&gt;=$C$8,Table48[[#This Row],[Calendar Year]],NA())</f>
        <v>2083</v>
      </c>
      <c r="N78" s="161" t="e">
        <f>IF((Table48[[#This Row],[Calendar Year]]&gt;=$C$8)*(Table48[[#This Row],[Calendar Year]]&lt;=$C$10),Table48[[#This Row],[Calendar Year]],NA())</f>
        <v>#N/A</v>
      </c>
      <c r="O78" s="159" t="e">
        <f>IF((Table48[[#This Row],[Year (Range)]]&gt;=$C$8)*(Table48[[#This Row],[Year (Range)]]&lt;=$C$10),Table48[[#This Row],[Buy Total Assets]],NA())</f>
        <v>#N/A</v>
      </c>
      <c r="P78" s="159" t="e">
        <f>IF((Table48[[#This Row],[Year (Range)]]&gt;=$C$8)*(Table48[[#This Row],[Year (Range)]]&lt;=$C$10),Table48[[#This Row],[Rent Total Assets]],NA())</f>
        <v>#N/A</v>
      </c>
      <c r="Q78" s="236">
        <f>'Annual Amort. Sch.'!AI78</f>
        <v>602995.30794004421</v>
      </c>
      <c r="R78" s="4">
        <f>'Annual Amort. Sch.'!AF78</f>
        <v>4463524.755098884</v>
      </c>
      <c r="S78" s="4">
        <f ca="1">'Investment Simulation'!Z83</f>
        <v>25426248.133884959</v>
      </c>
      <c r="T78" s="4">
        <f t="shared" ca="1" si="3"/>
        <v>30492768.196923889</v>
      </c>
      <c r="U78" s="236">
        <f ca="1">'Investment Simulation'!AJ83</f>
        <v>19807161.78579472</v>
      </c>
      <c r="V78" s="237">
        <f t="shared" ca="1" si="4"/>
        <v>19807161.78579472</v>
      </c>
    </row>
    <row r="79" spans="11:22" x14ac:dyDescent="0.25">
      <c r="K79" s="161">
        <v>63</v>
      </c>
      <c r="L79" s="235">
        <f t="shared" si="5"/>
        <v>2084</v>
      </c>
      <c r="M79" s="161">
        <f>IF(AnnualExpenses[[#This Row],[Calendar Year]]&gt;=$C$8,Table48[[#This Row],[Calendar Year]],NA())</f>
        <v>2084</v>
      </c>
      <c r="N79" s="161" t="e">
        <f>IF((Table48[[#This Row],[Calendar Year]]&gt;=$C$8)*(Table48[[#This Row],[Calendar Year]]&lt;=$C$10),Table48[[#This Row],[Calendar Year]],NA())</f>
        <v>#N/A</v>
      </c>
      <c r="O79" s="159" t="e">
        <f>IF((Table48[[#This Row],[Year (Range)]]&gt;=$C$8)*(Table48[[#This Row],[Year (Range)]]&lt;=$C$10),Table48[[#This Row],[Buy Total Assets]],NA())</f>
        <v>#N/A</v>
      </c>
      <c r="P79" s="159" t="e">
        <f>IF((Table48[[#This Row],[Year (Range)]]&gt;=$C$8)*(Table48[[#This Row],[Year (Range)]]&lt;=$C$10),Table48[[#This Row],[Rent Total Assets]],NA())</f>
        <v>#N/A</v>
      </c>
      <c r="Q79" s="236">
        <f>'Annual Amort. Sch.'!AI79</f>
        <v>602995.30794004421</v>
      </c>
      <c r="R79" s="4">
        <f>'Annual Amort. Sch.'!AF79</f>
        <v>4640748.1215273449</v>
      </c>
      <c r="S79" s="4">
        <f ca="1">'Investment Simulation'!Z84</f>
        <v>28309926.404471096</v>
      </c>
      <c r="T79" s="4">
        <f t="shared" ca="1" si="3"/>
        <v>33553669.833938487</v>
      </c>
      <c r="U79" s="236">
        <f ca="1">'Investment Simulation'!AJ84</f>
        <v>21795669.628738336</v>
      </c>
      <c r="V79" s="237">
        <f t="shared" ca="1" si="4"/>
        <v>21795669.628738336</v>
      </c>
    </row>
    <row r="80" spans="11:22" x14ac:dyDescent="0.25">
      <c r="K80" s="161">
        <v>64</v>
      </c>
      <c r="L80" s="235">
        <f t="shared" si="5"/>
        <v>2085</v>
      </c>
      <c r="M80" s="161">
        <f>IF(AnnualExpenses[[#This Row],[Calendar Year]]&gt;=$C$8,Table48[[#This Row],[Calendar Year]],NA())</f>
        <v>2085</v>
      </c>
      <c r="N80" s="161" t="e">
        <f>IF((Table48[[#This Row],[Calendar Year]]&gt;=$C$8)*(Table48[[#This Row],[Calendar Year]]&lt;=$C$10),Table48[[#This Row],[Calendar Year]],NA())</f>
        <v>#N/A</v>
      </c>
      <c r="O80" s="159" t="e">
        <f>IF((Table48[[#This Row],[Year (Range)]]&gt;=$C$8)*(Table48[[#This Row],[Year (Range)]]&lt;=$C$10),Table48[[#This Row],[Buy Total Assets]],NA())</f>
        <v>#N/A</v>
      </c>
      <c r="P80" s="159" t="e">
        <f>IF((Table48[[#This Row],[Year (Range)]]&gt;=$C$8)*(Table48[[#This Row],[Year (Range)]]&lt;=$C$10),Table48[[#This Row],[Rent Total Assets]],NA())</f>
        <v>#N/A</v>
      </c>
      <c r="Q80" s="236">
        <f>'Annual Amort. Sch.'!AI80</f>
        <v>602995.30794004421</v>
      </c>
      <c r="R80" s="4">
        <f>'Annual Amort. Sch.'!AF80</f>
        <v>4824174.3057808019</v>
      </c>
      <c r="S80" s="4">
        <f ca="1">'Investment Simulation'!Z85</f>
        <v>26509226.233782642</v>
      </c>
      <c r="T80" s="4">
        <f t="shared" ca="1" si="3"/>
        <v>31936395.847503487</v>
      </c>
      <c r="U80" s="236">
        <f ca="1">'Investment Simulation'!AJ85</f>
        <v>20165658.053825714</v>
      </c>
      <c r="V80" s="237">
        <f t="shared" ca="1" si="4"/>
        <v>20165658.053825714</v>
      </c>
    </row>
    <row r="81" spans="11:22" x14ac:dyDescent="0.25">
      <c r="K81" s="161">
        <v>65</v>
      </c>
      <c r="L81" s="235">
        <f t="shared" si="5"/>
        <v>2086</v>
      </c>
      <c r="M81" s="161">
        <f>IF(AnnualExpenses[[#This Row],[Calendar Year]]&gt;=$C$8,Table48[[#This Row],[Calendar Year]],NA())</f>
        <v>2086</v>
      </c>
      <c r="N81" s="161" t="e">
        <f>IF((Table48[[#This Row],[Calendar Year]]&gt;=$C$8)*(Table48[[#This Row],[Calendar Year]]&lt;=$C$10),Table48[[#This Row],[Calendar Year]],NA())</f>
        <v>#N/A</v>
      </c>
      <c r="O81" s="159" t="e">
        <f>IF((Table48[[#This Row],[Year (Range)]]&gt;=$C$8)*(Table48[[#This Row],[Year (Range)]]&lt;=$C$10),Table48[[#This Row],[Buy Total Assets]],NA())</f>
        <v>#N/A</v>
      </c>
      <c r="P81" s="159" t="e">
        <f>IF((Table48[[#This Row],[Year (Range)]]&gt;=$C$8)*(Table48[[#This Row],[Year (Range)]]&lt;=$C$10),Table48[[#This Row],[Rent Total Assets]],NA())</f>
        <v>#N/A</v>
      </c>
      <c r="Q81" s="236">
        <f>'Annual Amort. Sch.'!AI81</f>
        <v>602995.30794004421</v>
      </c>
      <c r="R81" s="4">
        <f>'Annual Amort. Sch.'!AF81</f>
        <v>5014020.4064831296</v>
      </c>
      <c r="S81" s="4">
        <f ca="1">'Investment Simulation'!Z86</f>
        <v>31409963.613651298</v>
      </c>
      <c r="T81" s="4">
        <f t="shared" ref="T81:T112" ca="1" si="6">SUM(Q81:S81)</f>
        <v>37026979.32807447</v>
      </c>
      <c r="U81" s="236">
        <f ca="1">'Investment Simulation'!AJ86</f>
        <v>23610536.879993401</v>
      </c>
      <c r="V81" s="237">
        <f t="shared" ref="V81:V112" ca="1" si="7">U81</f>
        <v>23610536.879993401</v>
      </c>
    </row>
    <row r="82" spans="11:22" x14ac:dyDescent="0.25">
      <c r="K82" s="161">
        <v>66</v>
      </c>
      <c r="L82" s="235">
        <f t="shared" ref="L82:L116" si="8">purchase_year+K81</f>
        <v>2087</v>
      </c>
      <c r="M82" s="161">
        <f>IF(AnnualExpenses[[#This Row],[Calendar Year]]&gt;=$C$8,Table48[[#This Row],[Calendar Year]],NA())</f>
        <v>2087</v>
      </c>
      <c r="N82" s="161" t="e">
        <f>IF((Table48[[#This Row],[Calendar Year]]&gt;=$C$8)*(Table48[[#This Row],[Calendar Year]]&lt;=$C$10),Table48[[#This Row],[Calendar Year]],NA())</f>
        <v>#N/A</v>
      </c>
      <c r="O82" s="159" t="e">
        <f>IF((Table48[[#This Row],[Year (Range)]]&gt;=$C$8)*(Table48[[#This Row],[Year (Range)]]&lt;=$C$10),Table48[[#This Row],[Buy Total Assets]],NA())</f>
        <v>#N/A</v>
      </c>
      <c r="P82" s="159" t="e">
        <f>IF((Table48[[#This Row],[Year (Range)]]&gt;=$C$8)*(Table48[[#This Row],[Year (Range)]]&lt;=$C$10),Table48[[#This Row],[Rent Total Assets]],NA())</f>
        <v>#N/A</v>
      </c>
      <c r="Q82" s="236">
        <f>'Annual Amort. Sch.'!AI82</f>
        <v>602995.30794004421</v>
      </c>
      <c r="R82" s="4">
        <f>'Annual Amort. Sch.'!AF82</f>
        <v>5210511.1207100386</v>
      </c>
      <c r="S82" s="4">
        <f ca="1">'Investment Simulation'!Z87</f>
        <v>32016723.061928615</v>
      </c>
      <c r="T82" s="4">
        <f t="shared" ca="1" si="6"/>
        <v>37830229.490578696</v>
      </c>
      <c r="U82" s="236">
        <f ca="1">'Investment Simulation'!AJ87</f>
        <v>23796750.983476419</v>
      </c>
      <c r="V82" s="237">
        <f t="shared" ca="1" si="7"/>
        <v>23796750.983476419</v>
      </c>
    </row>
    <row r="83" spans="11:22" x14ac:dyDescent="0.25">
      <c r="K83" s="161">
        <v>67</v>
      </c>
      <c r="L83" s="235">
        <f t="shared" si="8"/>
        <v>2088</v>
      </c>
      <c r="M83" s="161">
        <f>IF(AnnualExpenses[[#This Row],[Calendar Year]]&gt;=$C$8,Table48[[#This Row],[Calendar Year]],NA())</f>
        <v>2088</v>
      </c>
      <c r="N83" s="161" t="e">
        <f>IF((Table48[[#This Row],[Calendar Year]]&gt;=$C$8)*(Table48[[#This Row],[Calendar Year]]&lt;=$C$10),Table48[[#This Row],[Calendar Year]],NA())</f>
        <v>#N/A</v>
      </c>
      <c r="O83" s="159" t="e">
        <f>IF((Table48[[#This Row],[Year (Range)]]&gt;=$C$8)*(Table48[[#This Row],[Year (Range)]]&lt;=$C$10),Table48[[#This Row],[Buy Total Assets]],NA())</f>
        <v>#N/A</v>
      </c>
      <c r="P83" s="159" t="e">
        <f>IF((Table48[[#This Row],[Year (Range)]]&gt;=$C$8)*(Table48[[#This Row],[Year (Range)]]&lt;=$C$10),Table48[[#This Row],[Rent Total Assets]],NA())</f>
        <v>#N/A</v>
      </c>
      <c r="Q83" s="236">
        <f>'Annual Amort. Sch.'!AI83</f>
        <v>602995.30794004421</v>
      </c>
      <c r="R83" s="4">
        <f>'Annual Amort. Sch.'!AF83</f>
        <v>5413879.0099348892</v>
      </c>
      <c r="S83" s="4">
        <f ca="1">'Investment Simulation'!Z88</f>
        <v>40019884.491300799</v>
      </c>
      <c r="T83" s="4">
        <f t="shared" ca="1" si="6"/>
        <v>46036758.80917573</v>
      </c>
      <c r="U83" s="236">
        <f ca="1">'Investment Simulation'!AJ88</f>
        <v>29435136.029983997</v>
      </c>
      <c r="V83" s="237">
        <f t="shared" ca="1" si="7"/>
        <v>29435136.029983997</v>
      </c>
    </row>
    <row r="84" spans="11:22" x14ac:dyDescent="0.25">
      <c r="K84" s="161">
        <v>68</v>
      </c>
      <c r="L84" s="235">
        <f t="shared" si="8"/>
        <v>2089</v>
      </c>
      <c r="M84" s="161">
        <f>IF(AnnualExpenses[[#This Row],[Calendar Year]]&gt;=$C$8,Table48[[#This Row],[Calendar Year]],NA())</f>
        <v>2089</v>
      </c>
      <c r="N84" s="161" t="e">
        <f>IF((Table48[[#This Row],[Calendar Year]]&gt;=$C$8)*(Table48[[#This Row],[Calendar Year]]&lt;=$C$10),Table48[[#This Row],[Calendar Year]],NA())</f>
        <v>#N/A</v>
      </c>
      <c r="O84" s="159" t="e">
        <f>IF((Table48[[#This Row],[Year (Range)]]&gt;=$C$8)*(Table48[[#This Row],[Year (Range)]]&lt;=$C$10),Table48[[#This Row],[Buy Total Assets]],NA())</f>
        <v>#N/A</v>
      </c>
      <c r="P84" s="159" t="e">
        <f>IF((Table48[[#This Row],[Year (Range)]]&gt;=$C$8)*(Table48[[#This Row],[Year (Range)]]&lt;=$C$10),Table48[[#This Row],[Rent Total Assets]],NA())</f>
        <v>#N/A</v>
      </c>
      <c r="Q84" s="236">
        <f>'Annual Amort. Sch.'!AI84</f>
        <v>602995.30794004421</v>
      </c>
      <c r="R84" s="4">
        <f>'Annual Amort. Sch.'!AF84</f>
        <v>5624364.7752826102</v>
      </c>
      <c r="S84" s="4">
        <f ca="1">'Investment Simulation'!Z89</f>
        <v>31193356.955992289</v>
      </c>
      <c r="T84" s="4">
        <f t="shared" ca="1" si="6"/>
        <v>37420717.039214946</v>
      </c>
      <c r="U84" s="236">
        <f ca="1">'Investment Simulation'!AJ89</f>
        <v>22689820.705092546</v>
      </c>
      <c r="V84" s="237">
        <f t="shared" ca="1" si="7"/>
        <v>22689820.705092546</v>
      </c>
    </row>
    <row r="85" spans="11:22" x14ac:dyDescent="0.25">
      <c r="K85" s="161">
        <v>69</v>
      </c>
      <c r="L85" s="235">
        <f t="shared" si="8"/>
        <v>2090</v>
      </c>
      <c r="M85" s="161">
        <f>IF(AnnualExpenses[[#This Row],[Calendar Year]]&gt;=$C$8,Table48[[#This Row],[Calendar Year]],NA())</f>
        <v>2090</v>
      </c>
      <c r="N85" s="161" t="e">
        <f>IF((Table48[[#This Row],[Calendar Year]]&gt;=$C$8)*(Table48[[#This Row],[Calendar Year]]&lt;=$C$10),Table48[[#This Row],[Calendar Year]],NA())</f>
        <v>#N/A</v>
      </c>
      <c r="O85" s="159" t="e">
        <f>IF((Table48[[#This Row],[Year (Range)]]&gt;=$C$8)*(Table48[[#This Row],[Year (Range)]]&lt;=$C$10),Table48[[#This Row],[Buy Total Assets]],NA())</f>
        <v>#N/A</v>
      </c>
      <c r="P85" s="159" t="e">
        <f>IF((Table48[[#This Row],[Year (Range)]]&gt;=$C$8)*(Table48[[#This Row],[Year (Range)]]&lt;=$C$10),Table48[[#This Row],[Rent Total Assets]],NA())</f>
        <v>#N/A</v>
      </c>
      <c r="Q85" s="236">
        <f>'Annual Amort. Sch.'!AI85</f>
        <v>602995.30794004421</v>
      </c>
      <c r="R85" s="4">
        <f>'Annual Amort. Sch.'!AF85</f>
        <v>5842217.5424175011</v>
      </c>
      <c r="S85" s="4">
        <f ca="1">'Investment Simulation'!Z90</f>
        <v>27978900.159536887</v>
      </c>
      <c r="T85" s="4">
        <f t="shared" ca="1" si="6"/>
        <v>34424113.009894431</v>
      </c>
      <c r="U85" s="236">
        <f ca="1">'Investment Simulation'!AJ90</f>
        <v>20073633.319305412</v>
      </c>
      <c r="V85" s="237">
        <f t="shared" ca="1" si="7"/>
        <v>20073633.319305412</v>
      </c>
    </row>
    <row r="86" spans="11:22" x14ac:dyDescent="0.25">
      <c r="K86" s="161">
        <v>70</v>
      </c>
      <c r="L86" s="235">
        <f t="shared" si="8"/>
        <v>2091</v>
      </c>
      <c r="M86" s="161">
        <f>IF(AnnualExpenses[[#This Row],[Calendar Year]]&gt;=$C$8,Table48[[#This Row],[Calendar Year]],NA())</f>
        <v>2091</v>
      </c>
      <c r="N86" s="161" t="e">
        <f>IF((Table48[[#This Row],[Calendar Year]]&gt;=$C$8)*(Table48[[#This Row],[Calendar Year]]&lt;=$C$10),Table48[[#This Row],[Calendar Year]],NA())</f>
        <v>#N/A</v>
      </c>
      <c r="O86" s="159" t="e">
        <f>IF((Table48[[#This Row],[Year (Range)]]&gt;=$C$8)*(Table48[[#This Row],[Year (Range)]]&lt;=$C$10),Table48[[#This Row],[Buy Total Assets]],NA())</f>
        <v>#N/A</v>
      </c>
      <c r="P86" s="159" t="e">
        <f>IF((Table48[[#This Row],[Year (Range)]]&gt;=$C$8)*(Table48[[#This Row],[Year (Range)]]&lt;=$C$10),Table48[[#This Row],[Rent Total Assets]],NA())</f>
        <v>#N/A</v>
      </c>
      <c r="Q86" s="236">
        <f>'Annual Amort. Sch.'!AI86</f>
        <v>602995.30794004421</v>
      </c>
      <c r="R86" s="4">
        <f>'Annual Amort. Sch.'!AF86</f>
        <v>6067695.1564021129</v>
      </c>
      <c r="S86" s="4">
        <f ca="1">'Investment Simulation'!Z91</f>
        <v>37352892.281022936</v>
      </c>
      <c r="T86" s="4">
        <f t="shared" ca="1" si="6"/>
        <v>44023582.745365091</v>
      </c>
      <c r="U86" s="236">
        <f ca="1">'Investment Simulation'!AJ91</f>
        <v>26447445.3554409</v>
      </c>
      <c r="V86" s="237">
        <f t="shared" ca="1" si="7"/>
        <v>26447445.3554409</v>
      </c>
    </row>
    <row r="87" spans="11:22" x14ac:dyDescent="0.25">
      <c r="K87" s="161">
        <v>71</v>
      </c>
      <c r="L87" s="235">
        <f t="shared" si="8"/>
        <v>2092</v>
      </c>
      <c r="M87" s="161">
        <f>IF(AnnualExpenses[[#This Row],[Calendar Year]]&gt;=$C$8,Table48[[#This Row],[Calendar Year]],NA())</f>
        <v>2092</v>
      </c>
      <c r="N87" s="161" t="e">
        <f>IF((Table48[[#This Row],[Calendar Year]]&gt;=$C$8)*(Table48[[#This Row],[Calendar Year]]&lt;=$C$10),Table48[[#This Row],[Calendar Year]],NA())</f>
        <v>#N/A</v>
      </c>
      <c r="O87" s="159" t="e">
        <f>IF((Table48[[#This Row],[Year (Range)]]&gt;=$C$8)*(Table48[[#This Row],[Year (Range)]]&lt;=$C$10),Table48[[#This Row],[Buy Total Assets]],NA())</f>
        <v>#N/A</v>
      </c>
      <c r="P87" s="159" t="e">
        <f>IF((Table48[[#This Row],[Year (Range)]]&gt;=$C$8)*(Table48[[#This Row],[Year (Range)]]&lt;=$C$10),Table48[[#This Row],[Rent Total Assets]],NA())</f>
        <v>#N/A</v>
      </c>
      <c r="Q87" s="236">
        <f>'Annual Amort. Sch.'!AI87</f>
        <v>602995.30794004421</v>
      </c>
      <c r="R87" s="4">
        <f>'Annual Amort. Sch.'!AF87</f>
        <v>6301064.486876186</v>
      </c>
      <c r="S87" s="4">
        <f ca="1">'Investment Simulation'!Z92</f>
        <v>45629646.665867761</v>
      </c>
      <c r="T87" s="4">
        <f t="shared" ca="1" si="6"/>
        <v>52533706.460683994</v>
      </c>
      <c r="U87" s="236">
        <f ca="1">'Investment Simulation'!AJ92</f>
        <v>31962920.910331681</v>
      </c>
      <c r="V87" s="237">
        <f t="shared" ca="1" si="7"/>
        <v>31962920.910331681</v>
      </c>
    </row>
    <row r="88" spans="11:22" x14ac:dyDescent="0.25">
      <c r="K88" s="161">
        <v>72</v>
      </c>
      <c r="L88" s="235">
        <f t="shared" si="8"/>
        <v>2093</v>
      </c>
      <c r="M88" s="161">
        <f>IF(AnnualExpenses[[#This Row],[Calendar Year]]&gt;=$C$8,Table48[[#This Row],[Calendar Year]],NA())</f>
        <v>2093</v>
      </c>
      <c r="N88" s="161" t="e">
        <f>IF((Table48[[#This Row],[Calendar Year]]&gt;=$C$8)*(Table48[[#This Row],[Calendar Year]]&lt;=$C$10),Table48[[#This Row],[Calendar Year]],NA())</f>
        <v>#N/A</v>
      </c>
      <c r="O88" s="159" t="e">
        <f>IF((Table48[[#This Row],[Year (Range)]]&gt;=$C$8)*(Table48[[#This Row],[Year (Range)]]&lt;=$C$10),Table48[[#This Row],[Buy Total Assets]],NA())</f>
        <v>#N/A</v>
      </c>
      <c r="P88" s="159" t="e">
        <f>IF((Table48[[#This Row],[Year (Range)]]&gt;=$C$8)*(Table48[[#This Row],[Year (Range)]]&lt;=$C$10),Table48[[#This Row],[Rent Total Assets]],NA())</f>
        <v>#N/A</v>
      </c>
      <c r="Q88" s="236">
        <f>'Annual Amort. Sch.'!AI88</f>
        <v>602995.30794004421</v>
      </c>
      <c r="R88" s="4">
        <f>'Annual Amort. Sch.'!AF88</f>
        <v>6542601.7439168524</v>
      </c>
      <c r="S88" s="4">
        <f ca="1">'Investment Simulation'!Z93</f>
        <v>41018063.10582003</v>
      </c>
      <c r="T88" s="4">
        <f t="shared" ca="1" si="6"/>
        <v>48163660.157676928</v>
      </c>
      <c r="U88" s="236">
        <f ca="1">'Investment Simulation'!AJ93</f>
        <v>28428260.856265955</v>
      </c>
      <c r="V88" s="237">
        <f t="shared" ca="1" si="7"/>
        <v>28428260.856265955</v>
      </c>
    </row>
    <row r="89" spans="11:22" x14ac:dyDescent="0.25">
      <c r="K89" s="161">
        <v>73</v>
      </c>
      <c r="L89" s="235">
        <f t="shared" si="8"/>
        <v>2094</v>
      </c>
      <c r="M89" s="161">
        <f>IF(AnnualExpenses[[#This Row],[Calendar Year]]&gt;=$C$8,Table48[[#This Row],[Calendar Year]],NA())</f>
        <v>2094</v>
      </c>
      <c r="N89" s="161" t="e">
        <f>IF((Table48[[#This Row],[Calendar Year]]&gt;=$C$8)*(Table48[[#This Row],[Calendar Year]]&lt;=$C$10),Table48[[#This Row],[Calendar Year]],NA())</f>
        <v>#N/A</v>
      </c>
      <c r="O89" s="159" t="e">
        <f>IF((Table48[[#This Row],[Year (Range)]]&gt;=$C$8)*(Table48[[#This Row],[Year (Range)]]&lt;=$C$10),Table48[[#This Row],[Buy Total Assets]],NA())</f>
        <v>#N/A</v>
      </c>
      <c r="P89" s="159" t="e">
        <f>IF((Table48[[#This Row],[Year (Range)]]&gt;=$C$8)*(Table48[[#This Row],[Year (Range)]]&lt;=$C$10),Table48[[#This Row],[Rent Total Assets]],NA())</f>
        <v>#N/A</v>
      </c>
      <c r="Q89" s="236">
        <f>'Annual Amort. Sch.'!AI89</f>
        <v>602995.30794004421</v>
      </c>
      <c r="R89" s="4">
        <f>'Annual Amort. Sch.'!AF89</f>
        <v>6792592.8049539421</v>
      </c>
      <c r="S89" s="4">
        <f ca="1">'Investment Simulation'!Z94</f>
        <v>48952597.424999855</v>
      </c>
      <c r="T89" s="4">
        <f t="shared" ca="1" si="6"/>
        <v>56348185.537893839</v>
      </c>
      <c r="U89" s="236">
        <f ca="1">'Investment Simulation'!AJ94</f>
        <v>33565087.739152044</v>
      </c>
      <c r="V89" s="237">
        <f t="shared" ca="1" si="7"/>
        <v>33565087.739152044</v>
      </c>
    </row>
    <row r="90" spans="11:22" x14ac:dyDescent="0.25">
      <c r="K90" s="161">
        <v>74</v>
      </c>
      <c r="L90" s="235">
        <f t="shared" si="8"/>
        <v>2095</v>
      </c>
      <c r="M90" s="161">
        <f>IF(AnnualExpenses[[#This Row],[Calendar Year]]&gt;=$C$8,Table48[[#This Row],[Calendar Year]],NA())</f>
        <v>2095</v>
      </c>
      <c r="N90" s="161" t="e">
        <f>IF((Table48[[#This Row],[Calendar Year]]&gt;=$C$8)*(Table48[[#This Row],[Calendar Year]]&lt;=$C$10),Table48[[#This Row],[Calendar Year]],NA())</f>
        <v>#N/A</v>
      </c>
      <c r="O90" s="159" t="e">
        <f>IF((Table48[[#This Row],[Year (Range)]]&gt;=$C$8)*(Table48[[#This Row],[Year (Range)]]&lt;=$C$10),Table48[[#This Row],[Buy Total Assets]],NA())</f>
        <v>#N/A</v>
      </c>
      <c r="P90" s="159" t="e">
        <f>IF((Table48[[#This Row],[Year (Range)]]&gt;=$C$8)*(Table48[[#This Row],[Year (Range)]]&lt;=$C$10),Table48[[#This Row],[Rent Total Assets]],NA())</f>
        <v>#N/A</v>
      </c>
      <c r="Q90" s="236">
        <f>'Annual Amort. Sch.'!AI90</f>
        <v>602995.30794004421</v>
      </c>
      <c r="R90" s="4">
        <f>'Annual Amort. Sch.'!AF90</f>
        <v>7051333.5531273298</v>
      </c>
      <c r="S90" s="4">
        <f ca="1">'Investment Simulation'!Z95</f>
        <v>59520571.144569144</v>
      </c>
      <c r="T90" s="4">
        <f t="shared" ca="1" si="6"/>
        <v>67174900.005636513</v>
      </c>
      <c r="U90" s="236">
        <f ca="1">'Investment Simulation'!AJ95</f>
        <v>40433323.806965902</v>
      </c>
      <c r="V90" s="237">
        <f t="shared" ca="1" si="7"/>
        <v>40433323.806965902</v>
      </c>
    </row>
    <row r="91" spans="11:22" x14ac:dyDescent="0.25">
      <c r="K91" s="161">
        <v>75</v>
      </c>
      <c r="L91" s="235">
        <f t="shared" si="8"/>
        <v>2096</v>
      </c>
      <c r="M91" s="161">
        <f>IF(AnnualExpenses[[#This Row],[Calendar Year]]&gt;=$C$8,Table48[[#This Row],[Calendar Year]],NA())</f>
        <v>2096</v>
      </c>
      <c r="N91" s="161" t="e">
        <f>IF((Table48[[#This Row],[Calendar Year]]&gt;=$C$8)*(Table48[[#This Row],[Calendar Year]]&lt;=$C$10),Table48[[#This Row],[Calendar Year]],NA())</f>
        <v>#N/A</v>
      </c>
      <c r="O91" s="159" t="e">
        <f>IF((Table48[[#This Row],[Year (Range)]]&gt;=$C$8)*(Table48[[#This Row],[Year (Range)]]&lt;=$C$10),Table48[[#This Row],[Buy Total Assets]],NA())</f>
        <v>#N/A</v>
      </c>
      <c r="P91" s="159" t="e">
        <f>IF((Table48[[#This Row],[Year (Range)]]&gt;=$C$8)*(Table48[[#This Row],[Year (Range)]]&lt;=$C$10),Table48[[#This Row],[Rent Total Assets]],NA())</f>
        <v>#N/A</v>
      </c>
      <c r="Q91" s="236">
        <f>'Annual Amort. Sch.'!AI91</f>
        <v>602995.30794004421</v>
      </c>
      <c r="R91" s="4">
        <f>'Annual Amort. Sch.'!AF91</f>
        <v>7319130.2274867855</v>
      </c>
      <c r="S91" s="4">
        <f ca="1">'Investment Simulation'!Z96</f>
        <v>74595153.739529371</v>
      </c>
      <c r="T91" s="4">
        <f t="shared" ca="1" si="6"/>
        <v>82517279.274956197</v>
      </c>
      <c r="U91" s="236">
        <f ca="1">'Investment Simulation'!AJ96</f>
        <v>50276559.531212747</v>
      </c>
      <c r="V91" s="237">
        <f t="shared" ca="1" si="7"/>
        <v>50276559.531212747</v>
      </c>
    </row>
    <row r="92" spans="11:22" x14ac:dyDescent="0.25">
      <c r="K92" s="161">
        <v>76</v>
      </c>
      <c r="L92" s="235">
        <f t="shared" si="8"/>
        <v>2097</v>
      </c>
      <c r="M92" s="161">
        <f>IF(AnnualExpenses[[#This Row],[Calendar Year]]&gt;=$C$8,Table48[[#This Row],[Calendar Year]],NA())</f>
        <v>2097</v>
      </c>
      <c r="N92" s="161" t="e">
        <f>IF((Table48[[#This Row],[Calendar Year]]&gt;=$C$8)*(Table48[[#This Row],[Calendar Year]]&lt;=$C$10),Table48[[#This Row],[Calendar Year]],NA())</f>
        <v>#N/A</v>
      </c>
      <c r="O92" s="159" t="e">
        <f>IF((Table48[[#This Row],[Year (Range)]]&gt;=$C$8)*(Table48[[#This Row],[Year (Range)]]&lt;=$C$10),Table48[[#This Row],[Buy Total Assets]],NA())</f>
        <v>#N/A</v>
      </c>
      <c r="P92" s="159" t="e">
        <f>IF((Table48[[#This Row],[Year (Range)]]&gt;=$C$8)*(Table48[[#This Row],[Year (Range)]]&lt;=$C$10),Table48[[#This Row],[Rent Total Assets]],NA())</f>
        <v>#N/A</v>
      </c>
      <c r="Q92" s="236">
        <f>'Annual Amort. Sch.'!AI92</f>
        <v>602995.30794004421</v>
      </c>
      <c r="R92" s="4">
        <f>'Annual Amort. Sch.'!AF92</f>
        <v>7596299.7854488222</v>
      </c>
      <c r="S92" s="4">
        <f ca="1">'Investment Simulation'!Z97</f>
        <v>80410967.76255478</v>
      </c>
      <c r="T92" s="4">
        <f t="shared" ca="1" si="6"/>
        <v>88610262.85594365</v>
      </c>
      <c r="U92" s="236">
        <f ca="1">'Investment Simulation'!AJ97</f>
        <v>53817210.683042094</v>
      </c>
      <c r="V92" s="237">
        <f t="shared" ca="1" si="7"/>
        <v>53817210.683042094</v>
      </c>
    </row>
    <row r="93" spans="11:22" x14ac:dyDescent="0.25">
      <c r="K93" s="161">
        <v>77</v>
      </c>
      <c r="L93" s="235">
        <f t="shared" si="8"/>
        <v>2098</v>
      </c>
      <c r="M93" s="161">
        <f>IF(AnnualExpenses[[#This Row],[Calendar Year]]&gt;=$C$8,Table48[[#This Row],[Calendar Year]],NA())</f>
        <v>2098</v>
      </c>
      <c r="N93" s="161" t="e">
        <f>IF((Table48[[#This Row],[Calendar Year]]&gt;=$C$8)*(Table48[[#This Row],[Calendar Year]]&lt;=$C$10),Table48[[#This Row],[Calendar Year]],NA())</f>
        <v>#N/A</v>
      </c>
      <c r="O93" s="159" t="e">
        <f>IF((Table48[[#This Row],[Year (Range)]]&gt;=$C$8)*(Table48[[#This Row],[Year (Range)]]&lt;=$C$10),Table48[[#This Row],[Buy Total Assets]],NA())</f>
        <v>#N/A</v>
      </c>
      <c r="P93" s="159" t="e">
        <f>IF((Table48[[#This Row],[Year (Range)]]&gt;=$C$8)*(Table48[[#This Row],[Year (Range)]]&lt;=$C$10),Table48[[#This Row],[Rent Total Assets]],NA())</f>
        <v>#N/A</v>
      </c>
      <c r="Q93" s="236">
        <f>'Annual Amort. Sch.'!AI93</f>
        <v>602995.30794004421</v>
      </c>
      <c r="R93" s="4">
        <f>'Annual Amort. Sch.'!AF93</f>
        <v>7883170.2779395301</v>
      </c>
      <c r="S93" s="4">
        <f ca="1">'Investment Simulation'!Z98</f>
        <v>84653009.825129434</v>
      </c>
      <c r="T93" s="4">
        <f t="shared" ca="1" si="6"/>
        <v>93139175.411009014</v>
      </c>
      <c r="U93" s="236">
        <f ca="1">'Investment Simulation'!AJ98</f>
        <v>56268497.121879987</v>
      </c>
      <c r="V93" s="237">
        <f t="shared" ca="1" si="7"/>
        <v>56268497.121879987</v>
      </c>
    </row>
    <row r="94" spans="11:22" x14ac:dyDescent="0.25">
      <c r="K94" s="161">
        <v>78</v>
      </c>
      <c r="L94" s="235">
        <f t="shared" si="8"/>
        <v>2099</v>
      </c>
      <c r="M94" s="161">
        <f>IF(AnnualExpenses[[#This Row],[Calendar Year]]&gt;=$C$8,Table48[[#This Row],[Calendar Year]],NA())</f>
        <v>2099</v>
      </c>
      <c r="N94" s="161" t="e">
        <f>IF((Table48[[#This Row],[Calendar Year]]&gt;=$C$8)*(Table48[[#This Row],[Calendar Year]]&lt;=$C$10),Table48[[#This Row],[Calendar Year]],NA())</f>
        <v>#N/A</v>
      </c>
      <c r="O94" s="159" t="e">
        <f>IF((Table48[[#This Row],[Year (Range)]]&gt;=$C$8)*(Table48[[#This Row],[Year (Range)]]&lt;=$C$10),Table48[[#This Row],[Buy Total Assets]],NA())</f>
        <v>#N/A</v>
      </c>
      <c r="P94" s="159" t="e">
        <f>IF((Table48[[#This Row],[Year (Range)]]&gt;=$C$8)*(Table48[[#This Row],[Year (Range)]]&lt;=$C$10),Table48[[#This Row],[Rent Total Assets]],NA())</f>
        <v>#N/A</v>
      </c>
      <c r="Q94" s="236">
        <f>'Annual Amort. Sch.'!AI94</f>
        <v>602995.30794004421</v>
      </c>
      <c r="R94" s="4">
        <f>'Annual Amort. Sch.'!AF94</f>
        <v>8180081.2376674134</v>
      </c>
      <c r="S94" s="4">
        <f ca="1">'Investment Simulation'!Z99</f>
        <v>101509832.02058603</v>
      </c>
      <c r="T94" s="4">
        <f t="shared" ca="1" si="6"/>
        <v>110292908.56619349</v>
      </c>
      <c r="U94" s="236">
        <f ca="1">'Investment Simulation'!AJ99</f>
        <v>67042971.68080581</v>
      </c>
      <c r="V94" s="237">
        <f t="shared" ca="1" si="7"/>
        <v>67042971.68080581</v>
      </c>
    </row>
    <row r="95" spans="11:22" x14ac:dyDescent="0.25">
      <c r="K95" s="161">
        <v>79</v>
      </c>
      <c r="L95" s="235">
        <f t="shared" si="8"/>
        <v>2100</v>
      </c>
      <c r="M95" s="161">
        <f>IF(AnnualExpenses[[#This Row],[Calendar Year]]&gt;=$C$8,Table48[[#This Row],[Calendar Year]],NA())</f>
        <v>2100</v>
      </c>
      <c r="N95" s="161" t="e">
        <f>IF((Table48[[#This Row],[Calendar Year]]&gt;=$C$8)*(Table48[[#This Row],[Calendar Year]]&lt;=$C$10),Table48[[#This Row],[Calendar Year]],NA())</f>
        <v>#N/A</v>
      </c>
      <c r="O95" s="159" t="e">
        <f>IF((Table48[[#This Row],[Year (Range)]]&gt;=$C$8)*(Table48[[#This Row],[Year (Range)]]&lt;=$C$10),Table48[[#This Row],[Buy Total Assets]],NA())</f>
        <v>#N/A</v>
      </c>
      <c r="P95" s="159" t="e">
        <f>IF((Table48[[#This Row],[Year (Range)]]&gt;=$C$8)*(Table48[[#This Row],[Year (Range)]]&lt;=$C$10),Table48[[#This Row],[Rent Total Assets]],NA())</f>
        <v>#N/A</v>
      </c>
      <c r="Q95" s="236">
        <f>'Annual Amort. Sch.'!AI95</f>
        <v>602995.30794004421</v>
      </c>
      <c r="R95" s="4">
        <f>'Annual Amort. Sch.'!AF95</f>
        <v>8487384.0809857715</v>
      </c>
      <c r="S95" s="4">
        <f ca="1">'Investment Simulation'!Z100</f>
        <v>103573681.20392697</v>
      </c>
      <c r="T95" s="4">
        <f t="shared" ca="1" si="6"/>
        <v>112664060.59285279</v>
      </c>
      <c r="U95" s="236">
        <f ca="1">'Investment Simulation'!AJ100</f>
        <v>67996497.450671971</v>
      </c>
      <c r="V95" s="237">
        <f t="shared" ca="1" si="7"/>
        <v>67996497.450671971</v>
      </c>
    </row>
    <row r="96" spans="11:22" x14ac:dyDescent="0.25">
      <c r="K96" s="161">
        <v>80</v>
      </c>
      <c r="L96" s="235">
        <f t="shared" si="8"/>
        <v>2101</v>
      </c>
      <c r="M96" s="161">
        <f>IF(AnnualExpenses[[#This Row],[Calendar Year]]&gt;=$C$8,Table48[[#This Row],[Calendar Year]],NA())</f>
        <v>2101</v>
      </c>
      <c r="N96" s="161" t="e">
        <f>IF((Table48[[#This Row],[Calendar Year]]&gt;=$C$8)*(Table48[[#This Row],[Calendar Year]]&lt;=$C$10),Table48[[#This Row],[Calendar Year]],NA())</f>
        <v>#N/A</v>
      </c>
      <c r="O96" s="159" t="e">
        <f>IF((Table48[[#This Row],[Year (Range)]]&gt;=$C$8)*(Table48[[#This Row],[Year (Range)]]&lt;=$C$10),Table48[[#This Row],[Buy Total Assets]],NA())</f>
        <v>#N/A</v>
      </c>
      <c r="P96" s="159" t="e">
        <f>IF((Table48[[#This Row],[Year (Range)]]&gt;=$C$8)*(Table48[[#This Row],[Year (Range)]]&lt;=$C$10),Table48[[#This Row],[Rent Total Assets]],NA())</f>
        <v>#N/A</v>
      </c>
      <c r="Q96" s="236">
        <f>'Annual Amort. Sch.'!AI96</f>
        <v>602995.30794004421</v>
      </c>
      <c r="R96" s="4">
        <f>'Annual Amort. Sch.'!AF96</f>
        <v>8805442.5238202736</v>
      </c>
      <c r="S96" s="4">
        <f ca="1">'Investment Simulation'!Z101</f>
        <v>124838318.20886192</v>
      </c>
      <c r="T96" s="4">
        <f t="shared" ca="1" si="6"/>
        <v>134246756.04062223</v>
      </c>
      <c r="U96" s="236">
        <f ca="1">'Investment Simulation'!AJ101</f>
        <v>81493589.191520005</v>
      </c>
      <c r="V96" s="237">
        <f t="shared" ca="1" si="7"/>
        <v>81493589.191520005</v>
      </c>
    </row>
    <row r="97" spans="11:22" x14ac:dyDescent="0.25">
      <c r="K97" s="161">
        <v>81</v>
      </c>
      <c r="L97" s="235">
        <f t="shared" si="8"/>
        <v>2102</v>
      </c>
      <c r="M97" s="161">
        <f>IF(AnnualExpenses[[#This Row],[Calendar Year]]&gt;=$C$8,Table48[[#This Row],[Calendar Year]],NA())</f>
        <v>2102</v>
      </c>
      <c r="N97" s="161" t="e">
        <f>IF((Table48[[#This Row],[Calendar Year]]&gt;=$C$8)*(Table48[[#This Row],[Calendar Year]]&lt;=$C$10),Table48[[#This Row],[Calendar Year]],NA())</f>
        <v>#N/A</v>
      </c>
      <c r="O97" s="159" t="e">
        <f>IF((Table48[[#This Row],[Year (Range)]]&gt;=$C$8)*(Table48[[#This Row],[Year (Range)]]&lt;=$C$10),Table48[[#This Row],[Buy Total Assets]],NA())</f>
        <v>#N/A</v>
      </c>
      <c r="P97" s="159" t="e">
        <f>IF((Table48[[#This Row],[Year (Range)]]&gt;=$C$8)*(Table48[[#This Row],[Year (Range)]]&lt;=$C$10),Table48[[#This Row],[Rent Total Assets]],NA())</f>
        <v>#N/A</v>
      </c>
      <c r="Q97" s="236">
        <f>'Annual Amort. Sch.'!AI97</f>
        <v>602995.30794004421</v>
      </c>
      <c r="R97" s="4">
        <f>'Annual Amort. Sch.'!AF97</f>
        <v>9134633.0121539831</v>
      </c>
      <c r="S97" s="4">
        <f ca="1">'Investment Simulation'!Z102</f>
        <v>157119368.15349543</v>
      </c>
      <c r="T97" s="4">
        <f t="shared" ca="1" si="6"/>
        <v>166856996.47358945</v>
      </c>
      <c r="U97" s="236">
        <f ca="1">'Investment Simulation'!AJ102</f>
        <v>102074485.77992618</v>
      </c>
      <c r="V97" s="237">
        <f t="shared" ca="1" si="7"/>
        <v>102074485.77992618</v>
      </c>
    </row>
    <row r="98" spans="11:22" x14ac:dyDescent="0.25">
      <c r="K98" s="161">
        <v>82</v>
      </c>
      <c r="L98" s="235">
        <f t="shared" si="8"/>
        <v>2103</v>
      </c>
      <c r="M98" s="161">
        <f>IF(AnnualExpenses[[#This Row],[Calendar Year]]&gt;=$C$8,Table48[[#This Row],[Calendar Year]],NA())</f>
        <v>2103</v>
      </c>
      <c r="N98" s="161" t="e">
        <f>IF((Table48[[#This Row],[Calendar Year]]&gt;=$C$8)*(Table48[[#This Row],[Calendar Year]]&lt;=$C$10),Table48[[#This Row],[Calendar Year]],NA())</f>
        <v>#N/A</v>
      </c>
      <c r="O98" s="159" t="e">
        <f>IF((Table48[[#This Row],[Year (Range)]]&gt;=$C$8)*(Table48[[#This Row],[Year (Range)]]&lt;=$C$10),Table48[[#This Row],[Buy Total Assets]],NA())</f>
        <v>#N/A</v>
      </c>
      <c r="P98" s="159" t="e">
        <f>IF((Table48[[#This Row],[Year (Range)]]&gt;=$C$8)*(Table48[[#This Row],[Year (Range)]]&lt;=$C$10),Table48[[#This Row],[Rent Total Assets]],NA())</f>
        <v>#N/A</v>
      </c>
      <c r="Q98" s="236">
        <f>'Annual Amort. Sch.'!AI98</f>
        <v>602995.30794004421</v>
      </c>
      <c r="R98" s="4">
        <f>'Annual Amort. Sch.'!AF98</f>
        <v>9475345.1675793715</v>
      </c>
      <c r="S98" s="4">
        <f ca="1">'Investment Simulation'!Z103</f>
        <v>208493488.97709495</v>
      </c>
      <c r="T98" s="4">
        <f t="shared" ca="1" si="6"/>
        <v>218571829.45261437</v>
      </c>
      <c r="U98" s="236">
        <f ca="1">'Investment Simulation'!AJ103</f>
        <v>134924256.56260532</v>
      </c>
      <c r="V98" s="237">
        <f t="shared" ca="1" si="7"/>
        <v>134924256.56260532</v>
      </c>
    </row>
    <row r="99" spans="11:22" x14ac:dyDescent="0.25">
      <c r="K99" s="161">
        <v>83</v>
      </c>
      <c r="L99" s="235">
        <f t="shared" si="8"/>
        <v>2104</v>
      </c>
      <c r="M99" s="161">
        <f>IF(AnnualExpenses[[#This Row],[Calendar Year]]&gt;=$C$8,Table48[[#This Row],[Calendar Year]],NA())</f>
        <v>2104</v>
      </c>
      <c r="N99" s="161" t="e">
        <f>IF((Table48[[#This Row],[Calendar Year]]&gt;=$C$8)*(Table48[[#This Row],[Calendar Year]]&lt;=$C$10),Table48[[#This Row],[Calendar Year]],NA())</f>
        <v>#N/A</v>
      </c>
      <c r="O99" s="159" t="e">
        <f>IF((Table48[[#This Row],[Year (Range)]]&gt;=$C$8)*(Table48[[#This Row],[Year (Range)]]&lt;=$C$10),Table48[[#This Row],[Buy Total Assets]],NA())</f>
        <v>#N/A</v>
      </c>
      <c r="P99" s="159" t="e">
        <f>IF((Table48[[#This Row],[Year (Range)]]&gt;=$C$8)*(Table48[[#This Row],[Year (Range)]]&lt;=$C$10),Table48[[#This Row],[Rent Total Assets]],NA())</f>
        <v>#N/A</v>
      </c>
      <c r="Q99" s="236">
        <f>'Annual Amort. Sch.'!AI99</f>
        <v>602995.30794004421</v>
      </c>
      <c r="R99" s="4">
        <f>'Annual Amort. Sch.'!AF99</f>
        <v>9827982.2484446485</v>
      </c>
      <c r="S99" s="4">
        <f ca="1">'Investment Simulation'!Z104</f>
        <v>259738168.4358992</v>
      </c>
      <c r="T99" s="4">
        <f t="shared" ca="1" si="6"/>
        <v>270169145.99228388</v>
      </c>
      <c r="U99" s="236">
        <f ca="1">'Investment Simulation'!AJ104</f>
        <v>167559286.65511402</v>
      </c>
      <c r="V99" s="237">
        <f t="shared" ca="1" si="7"/>
        <v>167559286.65511402</v>
      </c>
    </row>
    <row r="100" spans="11:22" x14ac:dyDescent="0.25">
      <c r="K100" s="161">
        <v>84</v>
      </c>
      <c r="L100" s="235">
        <f t="shared" si="8"/>
        <v>2105</v>
      </c>
      <c r="M100" s="161">
        <f>IF(AnnualExpenses[[#This Row],[Calendar Year]]&gt;=$C$8,Table48[[#This Row],[Calendar Year]],NA())</f>
        <v>2105</v>
      </c>
      <c r="N100" s="161" t="e">
        <f>IF((Table48[[#This Row],[Calendar Year]]&gt;=$C$8)*(Table48[[#This Row],[Calendar Year]]&lt;=$C$10),Table48[[#This Row],[Calendar Year]],NA())</f>
        <v>#N/A</v>
      </c>
      <c r="O100" s="159" t="e">
        <f>IF((Table48[[#This Row],[Year (Range)]]&gt;=$C$8)*(Table48[[#This Row],[Year (Range)]]&lt;=$C$10),Table48[[#This Row],[Buy Total Assets]],NA())</f>
        <v>#N/A</v>
      </c>
      <c r="P100" s="159" t="e">
        <f>IF((Table48[[#This Row],[Year (Range)]]&gt;=$C$8)*(Table48[[#This Row],[Year (Range)]]&lt;=$C$10),Table48[[#This Row],[Rent Total Assets]],NA())</f>
        <v>#N/A</v>
      </c>
      <c r="Q100" s="236">
        <f>'Annual Amort. Sch.'!AI100</f>
        <v>602995.30794004421</v>
      </c>
      <c r="R100" s="4">
        <f>'Annual Amort. Sch.'!AF100</f>
        <v>10192961.627140211</v>
      </c>
      <c r="S100" s="4">
        <f ca="1">'Investment Simulation'!Z105</f>
        <v>310710727.96665466</v>
      </c>
      <c r="T100" s="4">
        <f t="shared" ca="1" si="6"/>
        <v>321506684.90173489</v>
      </c>
      <c r="U100" s="236">
        <f ca="1">'Investment Simulation'!AJ105</f>
        <v>199906046.12835696</v>
      </c>
      <c r="V100" s="237">
        <f t="shared" ca="1" si="7"/>
        <v>199906046.12835696</v>
      </c>
    </row>
    <row r="101" spans="11:22" x14ac:dyDescent="0.25">
      <c r="K101" s="161">
        <v>85</v>
      </c>
      <c r="L101" s="235">
        <f t="shared" si="8"/>
        <v>2106</v>
      </c>
      <c r="M101" s="161">
        <f>IF(AnnualExpenses[[#This Row],[Calendar Year]]&gt;=$C$8,Table48[[#This Row],[Calendar Year]],NA())</f>
        <v>2106</v>
      </c>
      <c r="N101" s="161" t="e">
        <f>IF((Table48[[#This Row],[Calendar Year]]&gt;=$C$8)*(Table48[[#This Row],[Calendar Year]]&lt;=$C$10),Table48[[#This Row],[Calendar Year]],NA())</f>
        <v>#N/A</v>
      </c>
      <c r="O101" s="159" t="e">
        <f>IF((Table48[[#This Row],[Year (Range)]]&gt;=$C$8)*(Table48[[#This Row],[Year (Range)]]&lt;=$C$10),Table48[[#This Row],[Buy Total Assets]],NA())</f>
        <v>#N/A</v>
      </c>
      <c r="P101" s="159" t="e">
        <f>IF((Table48[[#This Row],[Year (Range)]]&gt;=$C$8)*(Table48[[#This Row],[Year (Range)]]&lt;=$C$10),Table48[[#This Row],[Rent Total Assets]],NA())</f>
        <v>#N/A</v>
      </c>
      <c r="Q101" s="236">
        <f>'Annual Amort. Sch.'!AI101</f>
        <v>602995.30794004421</v>
      </c>
      <c r="R101" s="4">
        <f>'Annual Amort. Sch.'!AF101</f>
        <v>10570715.284090117</v>
      </c>
      <c r="S101" s="4">
        <f ca="1">'Investment Simulation'!Z106</f>
        <v>382670503.99275219</v>
      </c>
      <c r="T101" s="4">
        <f t="shared" ca="1" si="6"/>
        <v>393844214.58478236</v>
      </c>
      <c r="U101" s="236">
        <f ca="1">'Investment Simulation'!AJ106</f>
        <v>245637417.66637811</v>
      </c>
      <c r="V101" s="237">
        <f t="shared" ca="1" si="7"/>
        <v>245637417.66637811</v>
      </c>
    </row>
    <row r="102" spans="11:22" x14ac:dyDescent="0.25">
      <c r="K102" s="161">
        <v>86</v>
      </c>
      <c r="L102" s="235">
        <f t="shared" si="8"/>
        <v>2107</v>
      </c>
      <c r="M102" s="161">
        <f>IF(AnnualExpenses[[#This Row],[Calendar Year]]&gt;=$C$8,Table48[[#This Row],[Calendar Year]],NA())</f>
        <v>2107</v>
      </c>
      <c r="N102" s="161" t="e">
        <f>IF((Table48[[#This Row],[Calendar Year]]&gt;=$C$8)*(Table48[[#This Row],[Calendar Year]]&lt;=$C$10),Table48[[#This Row],[Calendar Year]],NA())</f>
        <v>#N/A</v>
      </c>
      <c r="O102" s="159" t="e">
        <f>IF((Table48[[#This Row],[Year (Range)]]&gt;=$C$8)*(Table48[[#This Row],[Year (Range)]]&lt;=$C$10),Table48[[#This Row],[Buy Total Assets]],NA())</f>
        <v>#N/A</v>
      </c>
      <c r="P102" s="159" t="e">
        <f>IF((Table48[[#This Row],[Year (Range)]]&gt;=$C$8)*(Table48[[#This Row],[Year (Range)]]&lt;=$C$10),Table48[[#This Row],[Rent Total Assets]],NA())</f>
        <v>#N/A</v>
      </c>
      <c r="Q102" s="236">
        <f>'Annual Amort. Sch.'!AI102</f>
        <v>602995.30794004421</v>
      </c>
      <c r="R102" s="4">
        <f>'Annual Amort. Sch.'!AF102</f>
        <v>10961690.319033271</v>
      </c>
      <c r="S102" s="4">
        <f ca="1">'Investment Simulation'!Z107</f>
        <v>489077831.67725325</v>
      </c>
      <c r="T102" s="4">
        <f t="shared" ca="1" si="6"/>
        <v>500642517.30422658</v>
      </c>
      <c r="U102" s="236">
        <f ca="1">'Investment Simulation'!AJ107</f>
        <v>313339312.61289752</v>
      </c>
      <c r="V102" s="237">
        <f t="shared" ca="1" si="7"/>
        <v>313339312.61289752</v>
      </c>
    </row>
    <row r="103" spans="11:22" x14ac:dyDescent="0.25">
      <c r="K103" s="161">
        <v>87</v>
      </c>
      <c r="L103" s="235">
        <f t="shared" si="8"/>
        <v>2108</v>
      </c>
      <c r="M103" s="161">
        <f>IF(AnnualExpenses[[#This Row],[Calendar Year]]&gt;=$C$8,Table48[[#This Row],[Calendar Year]],NA())</f>
        <v>2108</v>
      </c>
      <c r="N103" s="161" t="e">
        <f>IF((Table48[[#This Row],[Calendar Year]]&gt;=$C$8)*(Table48[[#This Row],[Calendar Year]]&lt;=$C$10),Table48[[#This Row],[Calendar Year]],NA())</f>
        <v>#N/A</v>
      </c>
      <c r="O103" s="159" t="e">
        <f>IF((Table48[[#This Row],[Year (Range)]]&gt;=$C$8)*(Table48[[#This Row],[Year (Range)]]&lt;=$C$10),Table48[[#This Row],[Buy Total Assets]],NA())</f>
        <v>#N/A</v>
      </c>
      <c r="P103" s="159" t="e">
        <f>IF((Table48[[#This Row],[Year (Range)]]&gt;=$C$8)*(Table48[[#This Row],[Year (Range)]]&lt;=$C$10),Table48[[#This Row],[Rent Total Assets]],NA())</f>
        <v>#N/A</v>
      </c>
      <c r="Q103" s="236">
        <f>'Annual Amort. Sch.'!AI103</f>
        <v>602995.30794004421</v>
      </c>
      <c r="R103" s="4">
        <f>'Annual Amort. Sch.'!AF103</f>
        <v>11366349.480199434</v>
      </c>
      <c r="S103" s="4">
        <f ca="1">'Investment Simulation'!Z108</f>
        <v>389727317.66452122</v>
      </c>
      <c r="T103" s="4">
        <f t="shared" ca="1" si="6"/>
        <v>401696662.45266068</v>
      </c>
      <c r="U103" s="236">
        <f ca="1">'Investment Simulation'!AJ108</f>
        <v>249194561.87648621</v>
      </c>
      <c r="V103" s="237">
        <f t="shared" ca="1" si="7"/>
        <v>249194561.87648621</v>
      </c>
    </row>
    <row r="104" spans="11:22" x14ac:dyDescent="0.25">
      <c r="K104" s="161">
        <v>88</v>
      </c>
      <c r="L104" s="235">
        <f t="shared" si="8"/>
        <v>2109</v>
      </c>
      <c r="M104" s="161">
        <f>IF(AnnualExpenses[[#This Row],[Calendar Year]]&gt;=$C$8,Table48[[#This Row],[Calendar Year]],NA())</f>
        <v>2109</v>
      </c>
      <c r="N104" s="161" t="e">
        <f>IF((Table48[[#This Row],[Calendar Year]]&gt;=$C$8)*(Table48[[#This Row],[Calendar Year]]&lt;=$C$10),Table48[[#This Row],[Calendar Year]],NA())</f>
        <v>#N/A</v>
      </c>
      <c r="O104" s="159" t="e">
        <f>IF((Table48[[#This Row],[Year (Range)]]&gt;=$C$8)*(Table48[[#This Row],[Year (Range)]]&lt;=$C$10),Table48[[#This Row],[Buy Total Assets]],NA())</f>
        <v>#N/A</v>
      </c>
      <c r="P104" s="159" t="e">
        <f>IF((Table48[[#This Row],[Year (Range)]]&gt;=$C$8)*(Table48[[#This Row],[Year (Range)]]&lt;=$C$10),Table48[[#This Row],[Rent Total Assets]],NA())</f>
        <v>#N/A</v>
      </c>
      <c r="Q104" s="236">
        <f>'Annual Amort. Sch.'!AI104</f>
        <v>602995.30794004421</v>
      </c>
      <c r="R104" s="4">
        <f>'Annual Amort. Sch.'!AF104</f>
        <v>11785171.712006412</v>
      </c>
      <c r="S104" s="4">
        <f ca="1">'Investment Simulation'!Z109</f>
        <v>397251528.42748863</v>
      </c>
      <c r="T104" s="4">
        <f t="shared" ca="1" si="6"/>
        <v>409639695.44743508</v>
      </c>
      <c r="U104" s="236">
        <f ca="1">'Investment Simulation'!AJ109</f>
        <v>253428893.88889259</v>
      </c>
      <c r="V104" s="237">
        <f t="shared" ca="1" si="7"/>
        <v>253428893.88889259</v>
      </c>
    </row>
    <row r="105" spans="11:22" x14ac:dyDescent="0.25">
      <c r="K105" s="161">
        <v>89</v>
      </c>
      <c r="L105" s="235">
        <f t="shared" si="8"/>
        <v>2110</v>
      </c>
      <c r="M105" s="161">
        <f>IF(AnnualExpenses[[#This Row],[Calendar Year]]&gt;=$C$8,Table48[[#This Row],[Calendar Year]],NA())</f>
        <v>2110</v>
      </c>
      <c r="N105" s="161" t="e">
        <f>IF((Table48[[#This Row],[Calendar Year]]&gt;=$C$8)*(Table48[[#This Row],[Calendar Year]]&lt;=$C$10),Table48[[#This Row],[Calendar Year]],NA())</f>
        <v>#N/A</v>
      </c>
      <c r="O105" s="159" t="e">
        <f>IF((Table48[[#This Row],[Year (Range)]]&gt;=$C$8)*(Table48[[#This Row],[Year (Range)]]&lt;=$C$10),Table48[[#This Row],[Buy Total Assets]],NA())</f>
        <v>#N/A</v>
      </c>
      <c r="P105" s="159" t="e">
        <f>IF((Table48[[#This Row],[Year (Range)]]&gt;=$C$8)*(Table48[[#This Row],[Year (Range)]]&lt;=$C$10),Table48[[#This Row],[Rent Total Assets]],NA())</f>
        <v>#N/A</v>
      </c>
      <c r="Q105" s="236">
        <f>'Annual Amort. Sch.'!AI105</f>
        <v>602995.30794004421</v>
      </c>
      <c r="R105" s="4">
        <f>'Annual Amort. Sch.'!AF105</f>
        <v>12218652.721926635</v>
      </c>
      <c r="S105" s="4">
        <f ca="1">'Investment Simulation'!Z110</f>
        <v>412287002.35877097</v>
      </c>
      <c r="T105" s="4">
        <f t="shared" ca="1" si="6"/>
        <v>425108650.38863766</v>
      </c>
      <c r="U105" s="236">
        <f ca="1">'Investment Simulation'!AJ110</f>
        <v>262415687.33484557</v>
      </c>
      <c r="V105" s="237">
        <f t="shared" ca="1" si="7"/>
        <v>262415687.33484557</v>
      </c>
    </row>
    <row r="106" spans="11:22" x14ac:dyDescent="0.25">
      <c r="K106" s="161">
        <v>90</v>
      </c>
      <c r="L106" s="235">
        <f t="shared" si="8"/>
        <v>2111</v>
      </c>
      <c r="M106" s="161">
        <f>IF(AnnualExpenses[[#This Row],[Calendar Year]]&gt;=$C$8,Table48[[#This Row],[Calendar Year]],NA())</f>
        <v>2111</v>
      </c>
      <c r="N106" s="161" t="e">
        <f>IF((Table48[[#This Row],[Calendar Year]]&gt;=$C$8)*(Table48[[#This Row],[Calendar Year]]&lt;=$C$10),Table48[[#This Row],[Calendar Year]],NA())</f>
        <v>#N/A</v>
      </c>
      <c r="O106" s="159" t="e">
        <f>IF((Table48[[#This Row],[Year (Range)]]&gt;=$C$8)*(Table48[[#This Row],[Year (Range)]]&lt;=$C$10),Table48[[#This Row],[Buy Total Assets]],NA())</f>
        <v>#N/A</v>
      </c>
      <c r="P106" s="159" t="e">
        <f>IF((Table48[[#This Row],[Year (Range)]]&gt;=$C$8)*(Table48[[#This Row],[Year (Range)]]&lt;=$C$10),Table48[[#This Row],[Rent Total Assets]],NA())</f>
        <v>#N/A</v>
      </c>
      <c r="Q106" s="236">
        <f>'Annual Amort. Sch.'!AI106</f>
        <v>602995.30794004421</v>
      </c>
      <c r="R106" s="4">
        <f>'Annual Amort. Sch.'!AF106</f>
        <v>12667305.567194067</v>
      </c>
      <c r="S106" s="4">
        <f ca="1">'Investment Simulation'!Z111</f>
        <v>545265955.54711413</v>
      </c>
      <c r="T106" s="4">
        <f t="shared" ca="1" si="6"/>
        <v>558536256.42224824</v>
      </c>
      <c r="U106" s="236">
        <f ca="1">'Investment Simulation'!AJ111</f>
        <v>346338026.94591135</v>
      </c>
      <c r="V106" s="237">
        <f t="shared" ca="1" si="7"/>
        <v>346338026.94591135</v>
      </c>
    </row>
    <row r="107" spans="11:22" x14ac:dyDescent="0.25">
      <c r="K107" s="161">
        <v>91</v>
      </c>
      <c r="L107" s="235">
        <f t="shared" si="8"/>
        <v>2112</v>
      </c>
      <c r="M107" s="161">
        <f>IF(AnnualExpenses[[#This Row],[Calendar Year]]&gt;=$C$8,Table48[[#This Row],[Calendar Year]],NA())</f>
        <v>2112</v>
      </c>
      <c r="N107" s="161" t="e">
        <f>IF((Table48[[#This Row],[Calendar Year]]&gt;=$C$8)*(Table48[[#This Row],[Calendar Year]]&lt;=$C$10),Table48[[#This Row],[Calendar Year]],NA())</f>
        <v>#N/A</v>
      </c>
      <c r="O107" s="159" t="e">
        <f>IF((Table48[[#This Row],[Year (Range)]]&gt;=$C$8)*(Table48[[#This Row],[Year (Range)]]&lt;=$C$10),Table48[[#This Row],[Buy Total Assets]],NA())</f>
        <v>#N/A</v>
      </c>
      <c r="P107" s="159" t="e">
        <f>IF((Table48[[#This Row],[Year (Range)]]&gt;=$C$8)*(Table48[[#This Row],[Year (Range)]]&lt;=$C$10),Table48[[#This Row],[Rent Total Assets]],NA())</f>
        <v>#N/A</v>
      </c>
      <c r="Q107" s="236">
        <f>'Annual Amort. Sch.'!AI107</f>
        <v>602995.30794004421</v>
      </c>
      <c r="R107" s="4">
        <f>'Annual Amort. Sch.'!AF107</f>
        <v>13131661.262045858</v>
      </c>
      <c r="S107" s="4">
        <f ca="1">'Investment Simulation'!Z112</f>
        <v>537017189.48580086</v>
      </c>
      <c r="T107" s="4">
        <f t="shared" ca="1" si="6"/>
        <v>550751846.05578673</v>
      </c>
      <c r="U107" s="236">
        <f ca="1">'Investment Simulation'!AJ112</f>
        <v>340461069.22519702</v>
      </c>
      <c r="V107" s="237">
        <f t="shared" ca="1" si="7"/>
        <v>340461069.22519702</v>
      </c>
    </row>
    <row r="108" spans="11:22" x14ac:dyDescent="0.25">
      <c r="K108" s="161">
        <v>92</v>
      </c>
      <c r="L108" s="235">
        <f t="shared" si="8"/>
        <v>2113</v>
      </c>
      <c r="M108" s="161">
        <f>IF(AnnualExpenses[[#This Row],[Calendar Year]]&gt;=$C$8,Table48[[#This Row],[Calendar Year]],NA())</f>
        <v>2113</v>
      </c>
      <c r="N108" s="161" t="e">
        <f>IF((Table48[[#This Row],[Calendar Year]]&gt;=$C$8)*(Table48[[#This Row],[Calendar Year]]&lt;=$C$10),Table48[[#This Row],[Calendar Year]],NA())</f>
        <v>#N/A</v>
      </c>
      <c r="O108" s="159" t="e">
        <f>IF((Table48[[#This Row],[Year (Range)]]&gt;=$C$8)*(Table48[[#This Row],[Year (Range)]]&lt;=$C$10),Table48[[#This Row],[Buy Total Assets]],NA())</f>
        <v>#N/A</v>
      </c>
      <c r="P108" s="159" t="e">
        <f>IF((Table48[[#This Row],[Year (Range)]]&gt;=$C$8)*(Table48[[#This Row],[Year (Range)]]&lt;=$C$10),Table48[[#This Row],[Rent Total Assets]],NA())</f>
        <v>#N/A</v>
      </c>
      <c r="Q108" s="236">
        <f>'Annual Amort. Sch.'!AI108</f>
        <v>602995.30794004421</v>
      </c>
      <c r="R108" s="4">
        <f>'Annual Amort. Sch.'!AF108</f>
        <v>13612269.406217461</v>
      </c>
      <c r="S108" s="4">
        <f ca="1">'Investment Simulation'!Z113</f>
        <v>443219651.09701711</v>
      </c>
      <c r="T108" s="4">
        <f t="shared" ca="1" si="6"/>
        <v>457434915.81117463</v>
      </c>
      <c r="U108" s="236">
        <f ca="1">'Investment Simulation'!AJ113</f>
        <v>280384946.80236536</v>
      </c>
      <c r="V108" s="237">
        <f t="shared" ca="1" si="7"/>
        <v>280384946.80236536</v>
      </c>
    </row>
    <row r="109" spans="11:22" x14ac:dyDescent="0.25">
      <c r="K109" s="161">
        <v>93</v>
      </c>
      <c r="L109" s="235">
        <f t="shared" si="8"/>
        <v>2114</v>
      </c>
      <c r="M109" s="161">
        <f>IF(AnnualExpenses[[#This Row],[Calendar Year]]&gt;=$C$8,Table48[[#This Row],[Calendar Year]],NA())</f>
        <v>2114</v>
      </c>
      <c r="N109" s="161" t="e">
        <f>IF((Table48[[#This Row],[Calendar Year]]&gt;=$C$8)*(Table48[[#This Row],[Calendar Year]]&lt;=$C$10),Table48[[#This Row],[Calendar Year]],NA())</f>
        <v>#N/A</v>
      </c>
      <c r="O109" s="159" t="e">
        <f>IF((Table48[[#This Row],[Year (Range)]]&gt;=$C$8)*(Table48[[#This Row],[Year (Range)]]&lt;=$C$10),Table48[[#This Row],[Buy Total Assets]],NA())</f>
        <v>#N/A</v>
      </c>
      <c r="P109" s="159" t="e">
        <f>IF((Table48[[#This Row],[Year (Range)]]&gt;=$C$8)*(Table48[[#This Row],[Year (Range)]]&lt;=$C$10),Table48[[#This Row],[Rent Total Assets]],NA())</f>
        <v>#N/A</v>
      </c>
      <c r="Q109" s="236">
        <f>'Annual Amort. Sch.'!AI109</f>
        <v>602995.30794004421</v>
      </c>
      <c r="R109" s="4">
        <f>'Annual Amort. Sch.'!AF109</f>
        <v>14109698.835435072</v>
      </c>
      <c r="S109" s="4">
        <f ca="1">'Investment Simulation'!Z114</f>
        <v>556773390.48192418</v>
      </c>
      <c r="T109" s="4">
        <f t="shared" ca="1" si="6"/>
        <v>571486084.62529933</v>
      </c>
      <c r="U109" s="236">
        <f ca="1">'Investment Simulation'!AJ114</f>
        <v>351436478.62620634</v>
      </c>
      <c r="V109" s="237">
        <f t="shared" ca="1" si="7"/>
        <v>351436478.62620634</v>
      </c>
    </row>
    <row r="110" spans="11:22" x14ac:dyDescent="0.25">
      <c r="K110" s="161">
        <v>94</v>
      </c>
      <c r="L110" s="235">
        <f t="shared" si="8"/>
        <v>2115</v>
      </c>
      <c r="M110" s="161">
        <f>IF(AnnualExpenses[[#This Row],[Calendar Year]]&gt;=$C$8,Table48[[#This Row],[Calendar Year]],NA())</f>
        <v>2115</v>
      </c>
      <c r="N110" s="161" t="e">
        <f>IF((Table48[[#This Row],[Calendar Year]]&gt;=$C$8)*(Table48[[#This Row],[Calendar Year]]&lt;=$C$10),Table48[[#This Row],[Calendar Year]],NA())</f>
        <v>#N/A</v>
      </c>
      <c r="O110" s="159" t="e">
        <f>IF((Table48[[#This Row],[Year (Range)]]&gt;=$C$8)*(Table48[[#This Row],[Year (Range)]]&lt;=$C$10),Table48[[#This Row],[Buy Total Assets]],NA())</f>
        <v>#N/A</v>
      </c>
      <c r="P110" s="159" t="e">
        <f>IF((Table48[[#This Row],[Year (Range)]]&gt;=$C$8)*(Table48[[#This Row],[Year (Range)]]&lt;=$C$10),Table48[[#This Row],[Rent Total Assets]],NA())</f>
        <v>#N/A</v>
      </c>
      <c r="Q110" s="236">
        <f>'Annual Amort. Sch.'!AI110</f>
        <v>602995.30794004421</v>
      </c>
      <c r="R110" s="4">
        <f>'Annual Amort. Sch.'!AF110</f>
        <v>14624538.294675298</v>
      </c>
      <c r="S110" s="4">
        <f ca="1">'Investment Simulation'!Z115</f>
        <v>599591190.13691461</v>
      </c>
      <c r="T110" s="4">
        <f t="shared" ca="1" si="6"/>
        <v>614818723.73952997</v>
      </c>
      <c r="U110" s="236">
        <f ca="1">'Investment Simulation'!AJ115</f>
        <v>377712952.41683489</v>
      </c>
      <c r="V110" s="237">
        <f t="shared" ca="1" si="7"/>
        <v>377712952.41683489</v>
      </c>
    </row>
    <row r="111" spans="11:22" x14ac:dyDescent="0.25">
      <c r="K111" s="161">
        <v>95</v>
      </c>
      <c r="L111" s="235">
        <f t="shared" si="8"/>
        <v>2116</v>
      </c>
      <c r="M111" s="161">
        <f>IF(AnnualExpenses[[#This Row],[Calendar Year]]&gt;=$C$8,Table48[[#This Row],[Calendar Year]],NA())</f>
        <v>2116</v>
      </c>
      <c r="N111" s="161" t="e">
        <f>IF((Table48[[#This Row],[Calendar Year]]&gt;=$C$8)*(Table48[[#This Row],[Calendar Year]]&lt;=$C$10),Table48[[#This Row],[Calendar Year]],NA())</f>
        <v>#N/A</v>
      </c>
      <c r="O111" s="159" t="e">
        <f>IF((Table48[[#This Row],[Year (Range)]]&gt;=$C$8)*(Table48[[#This Row],[Year (Range)]]&lt;=$C$10),Table48[[#This Row],[Buy Total Assets]],NA())</f>
        <v>#N/A</v>
      </c>
      <c r="P111" s="159" t="e">
        <f>IF((Table48[[#This Row],[Year (Range)]]&gt;=$C$8)*(Table48[[#This Row],[Year (Range)]]&lt;=$C$10),Table48[[#This Row],[Rent Total Assets]],NA())</f>
        <v>#N/A</v>
      </c>
      <c r="Q111" s="236">
        <f>'Annual Amort. Sch.'!AI111</f>
        <v>602995.30794004421</v>
      </c>
      <c r="R111" s="4">
        <f>'Annual Amort. Sch.'!AF111</f>
        <v>15157397.134988932</v>
      </c>
      <c r="S111" s="4">
        <f ca="1">'Investment Simulation'!Z116</f>
        <v>564662425.64165294</v>
      </c>
      <c r="T111" s="4">
        <f t="shared" ca="1" si="6"/>
        <v>580422818.08458197</v>
      </c>
      <c r="U111" s="236">
        <f ca="1">'Investment Simulation'!AJ116</f>
        <v>354980087.54576993</v>
      </c>
      <c r="V111" s="237">
        <f t="shared" ca="1" si="7"/>
        <v>354980087.54576993</v>
      </c>
    </row>
    <row r="112" spans="11:22" x14ac:dyDescent="0.25">
      <c r="K112" s="161">
        <v>96</v>
      </c>
      <c r="L112" s="235">
        <f t="shared" si="8"/>
        <v>2117</v>
      </c>
      <c r="M112" s="161">
        <f>IF(AnnualExpenses[[#This Row],[Calendar Year]]&gt;=$C$8,Table48[[#This Row],[Calendar Year]],NA())</f>
        <v>2117</v>
      </c>
      <c r="N112" s="161" t="e">
        <f>IF((Table48[[#This Row],[Calendar Year]]&gt;=$C$8)*(Table48[[#This Row],[Calendar Year]]&lt;=$C$10),Table48[[#This Row],[Calendar Year]],NA())</f>
        <v>#N/A</v>
      </c>
      <c r="O112" s="159" t="e">
        <f>IF((Table48[[#This Row],[Year (Range)]]&gt;=$C$8)*(Table48[[#This Row],[Year (Range)]]&lt;=$C$10),Table48[[#This Row],[Buy Total Assets]],NA())</f>
        <v>#N/A</v>
      </c>
      <c r="P112" s="159" t="e">
        <f>IF((Table48[[#This Row],[Year (Range)]]&gt;=$C$8)*(Table48[[#This Row],[Year (Range)]]&lt;=$C$10),Table48[[#This Row],[Rent Total Assets]],NA())</f>
        <v>#N/A</v>
      </c>
      <c r="Q112" s="236">
        <f>'Annual Amort. Sch.'!AI112</f>
        <v>602995.30794004421</v>
      </c>
      <c r="R112" s="4">
        <f>'Annual Amort. Sch.'!AF112</f>
        <v>15708906.034713544</v>
      </c>
      <c r="S112" s="4">
        <f ca="1">'Investment Simulation'!Z117</f>
        <v>687603174.68203163</v>
      </c>
      <c r="T112" s="4">
        <f t="shared" ca="1" si="6"/>
        <v>703915076.02468526</v>
      </c>
      <c r="U112" s="236">
        <f ca="1">'Investment Simulation'!AJ117</f>
        <v>431401600.93764734</v>
      </c>
      <c r="V112" s="237">
        <f t="shared" ca="1" si="7"/>
        <v>431401600.93764734</v>
      </c>
    </row>
    <row r="113" spans="11:22" x14ac:dyDescent="0.25">
      <c r="K113" s="161">
        <v>97</v>
      </c>
      <c r="L113" s="235">
        <f t="shared" si="8"/>
        <v>2118</v>
      </c>
      <c r="M113" s="161">
        <f>IF(AnnualExpenses[[#This Row],[Calendar Year]]&gt;=$C$8,Table48[[#This Row],[Calendar Year]],NA())</f>
        <v>2118</v>
      </c>
      <c r="N113" s="161" t="e">
        <f>IF((Table48[[#This Row],[Calendar Year]]&gt;=$C$8)*(Table48[[#This Row],[Calendar Year]]&lt;=$C$10),Table48[[#This Row],[Calendar Year]],NA())</f>
        <v>#N/A</v>
      </c>
      <c r="O113" s="159" t="e">
        <f>IF((Table48[[#This Row],[Year (Range)]]&gt;=$C$8)*(Table48[[#This Row],[Year (Range)]]&lt;=$C$10),Table48[[#This Row],[Buy Total Assets]],NA())</f>
        <v>#N/A</v>
      </c>
      <c r="P113" s="159" t="e">
        <f>IF((Table48[[#This Row],[Year (Range)]]&gt;=$C$8)*(Table48[[#This Row],[Year (Range)]]&lt;=$C$10),Table48[[#This Row],[Rent Total Assets]],NA())</f>
        <v>#N/A</v>
      </c>
      <c r="Q113" s="236">
        <f>'Annual Amort. Sch.'!AI113</f>
        <v>602995.30794004421</v>
      </c>
      <c r="R113" s="4">
        <f>'Annual Amort. Sch.'!AF113</f>
        <v>16279717.745928518</v>
      </c>
      <c r="S113" s="4">
        <f ca="1">'Investment Simulation'!Z118</f>
        <v>702653985.80176103</v>
      </c>
      <c r="T113" s="4">
        <f t="shared" ref="T113:T116" ca="1" si="9">SUM(Q113:S113)</f>
        <v>719536698.85562956</v>
      </c>
      <c r="U113" s="236">
        <f ca="1">'Investment Simulation'!AJ118</f>
        <v>440023012.61394137</v>
      </c>
      <c r="V113" s="237">
        <f t="shared" ref="V113:V116" ca="1" si="10">U113</f>
        <v>440023012.61394137</v>
      </c>
    </row>
    <row r="114" spans="11:22" x14ac:dyDescent="0.25">
      <c r="K114" s="161">
        <v>98</v>
      </c>
      <c r="L114" s="235">
        <f t="shared" si="8"/>
        <v>2119</v>
      </c>
      <c r="M114" s="161">
        <f>IF(AnnualExpenses[[#This Row],[Calendar Year]]&gt;=$C$8,Table48[[#This Row],[Calendar Year]],NA())</f>
        <v>2119</v>
      </c>
      <c r="N114" s="161" t="e">
        <f>IF((Table48[[#This Row],[Calendar Year]]&gt;=$C$8)*(Table48[[#This Row],[Calendar Year]]&lt;=$C$10),Table48[[#This Row],[Calendar Year]],NA())</f>
        <v>#N/A</v>
      </c>
      <c r="O114" s="159" t="e">
        <f>IF((Table48[[#This Row],[Year (Range)]]&gt;=$C$8)*(Table48[[#This Row],[Year (Range)]]&lt;=$C$10),Table48[[#This Row],[Buy Total Assets]],NA())</f>
        <v>#N/A</v>
      </c>
      <c r="P114" s="159" t="e">
        <f>IF((Table48[[#This Row],[Year (Range)]]&gt;=$C$8)*(Table48[[#This Row],[Year (Range)]]&lt;=$C$10),Table48[[#This Row],[Rent Total Assets]],NA())</f>
        <v>#N/A</v>
      </c>
      <c r="Q114" s="236">
        <f>'Annual Amort. Sch.'!AI114</f>
        <v>602995.30794004421</v>
      </c>
      <c r="R114" s="4">
        <f>'Annual Amort. Sch.'!AF114</f>
        <v>16870507.867036015</v>
      </c>
      <c r="S114" s="4">
        <f ca="1">'Investment Simulation'!Z119</f>
        <v>718343693.6651305</v>
      </c>
      <c r="T114" s="4">
        <f t="shared" ca="1" si="9"/>
        <v>735817196.84010661</v>
      </c>
      <c r="U114" s="236">
        <f ca="1">'Investment Simulation'!AJ119</f>
        <v>448993857.80145586</v>
      </c>
      <c r="V114" s="237">
        <f t="shared" ca="1" si="10"/>
        <v>448993857.80145586</v>
      </c>
    </row>
    <row r="115" spans="11:22" x14ac:dyDescent="0.25">
      <c r="K115" s="161">
        <v>99</v>
      </c>
      <c r="L115" s="235">
        <f t="shared" si="8"/>
        <v>2120</v>
      </c>
      <c r="M115" s="161">
        <f>IF(AnnualExpenses[[#This Row],[Calendar Year]]&gt;=$C$8,Table48[[#This Row],[Calendar Year]],NA())</f>
        <v>2120</v>
      </c>
      <c r="N115" s="161" t="e">
        <f>IF((Table48[[#This Row],[Calendar Year]]&gt;=$C$8)*(Table48[[#This Row],[Calendar Year]]&lt;=$C$10),Table48[[#This Row],[Calendar Year]],NA())</f>
        <v>#N/A</v>
      </c>
      <c r="O115" s="159" t="e">
        <f>IF((Table48[[#This Row],[Year (Range)]]&gt;=$C$8)*(Table48[[#This Row],[Year (Range)]]&lt;=$C$10),Table48[[#This Row],[Buy Total Assets]],NA())</f>
        <v>#N/A</v>
      </c>
      <c r="P115" s="159" t="e">
        <f>IF((Table48[[#This Row],[Year (Range)]]&gt;=$C$8)*(Table48[[#This Row],[Year (Range)]]&lt;=$C$10),Table48[[#This Row],[Rent Total Assets]],NA())</f>
        <v>#N/A</v>
      </c>
      <c r="Q115" s="236">
        <f>'Annual Amort. Sch.'!AI115</f>
        <v>602995.30794004421</v>
      </c>
      <c r="R115" s="4">
        <f>'Annual Amort. Sch.'!AF115</f>
        <v>17481975.642382275</v>
      </c>
      <c r="S115" s="4">
        <f ca="1">'Investment Simulation'!Z120</f>
        <v>856020658.48034227</v>
      </c>
      <c r="T115" s="4">
        <f t="shared" ca="1" si="9"/>
        <v>874105629.43066454</v>
      </c>
      <c r="U115" s="236">
        <f ca="1">'Investment Simulation'!AJ120</f>
        <v>534084445.78317153</v>
      </c>
      <c r="V115" s="237">
        <f t="shared" ca="1" si="10"/>
        <v>534084445.78317153</v>
      </c>
    </row>
    <row r="116" spans="11:22" ht="13.8" thickBot="1" x14ac:dyDescent="0.3">
      <c r="K116" s="161">
        <v>100</v>
      </c>
      <c r="L116" s="235">
        <f t="shared" si="8"/>
        <v>2121</v>
      </c>
      <c r="M116" s="161">
        <f>IF(AnnualExpenses[[#This Row],[Calendar Year]]&gt;=$C$8,Table48[[#This Row],[Calendar Year]],NA())</f>
        <v>2121</v>
      </c>
      <c r="N116" s="161" t="e">
        <f>IF((Table48[[#This Row],[Calendar Year]]&gt;=$C$8)*(Table48[[#This Row],[Calendar Year]]&lt;=$C$10),Table48[[#This Row],[Calendar Year]],NA())</f>
        <v>#N/A</v>
      </c>
      <c r="O116" s="159" t="e">
        <f>IF((Table48[[#This Row],[Year (Range)]]&gt;=$C$8)*(Table48[[#This Row],[Year (Range)]]&lt;=$C$10),Table48[[#This Row],[Buy Total Assets]],NA())</f>
        <v>#N/A</v>
      </c>
      <c r="P116" s="159" t="e">
        <f>IF((Table48[[#This Row],[Year (Range)]]&gt;=$C$8)*(Table48[[#This Row],[Year (Range)]]&lt;=$C$10),Table48[[#This Row],[Rent Total Assets]],NA())</f>
        <v>#N/A</v>
      </c>
      <c r="Q116" s="238">
        <f>'Annual Amort. Sch.'!AI116</f>
        <v>602995.30794004421</v>
      </c>
      <c r="R116" s="190">
        <f>'Annual Amort. Sch.'!AF116</f>
        <v>0</v>
      </c>
      <c r="S116" s="190">
        <f ca="1">'Investment Simulation'!Z121</f>
        <v>1091765773.7049592</v>
      </c>
      <c r="T116" s="190">
        <f t="shared" ca="1" si="9"/>
        <v>1092368769.0128992</v>
      </c>
      <c r="U116" s="238">
        <f ca="1">'Investment Simulation'!AJ121</f>
        <v>680129376.00115025</v>
      </c>
      <c r="V116" s="239">
        <f t="shared" ca="1" si="10"/>
        <v>680129376.00115025</v>
      </c>
    </row>
  </sheetData>
  <sheetProtection algorithmName="SHA-512" hashValue="oxKTK80RWOtzE0RiV5Sdy7KvSsKvey1FlV17ZjiKq9Q0ikYsur5yZPKqHWfjZaqHwj1bEAwCa1lgLgPIwMO2lg==" saltValue="KcFiuOYDvgOKg9WV/ktlSw==" spinCount="100000" sheet="1" objects="1" scenarios="1"/>
  <mergeCells count="7">
    <mergeCell ref="Q15:T15"/>
    <mergeCell ref="U15:V15"/>
    <mergeCell ref="B7:C7"/>
    <mergeCell ref="C8:C9"/>
    <mergeCell ref="C10:C11"/>
    <mergeCell ref="B8:B9"/>
    <mergeCell ref="B10:B11"/>
  </mergeCells>
  <pageMargins left="0.25" right="0.25" top="0.75" bottom="0.75" header="0.3" footer="0.3"/>
  <pageSetup scale="54"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39265" r:id="rId4" name="Spinner 1">
              <controlPr defaultSize="0" autoPict="0">
                <anchor moveWithCells="1" sizeWithCells="1">
                  <from>
                    <xdr:col>3</xdr:col>
                    <xdr:colOff>15240</xdr:colOff>
                    <xdr:row>6</xdr:row>
                    <xdr:rowOff>167640</xdr:rowOff>
                  </from>
                  <to>
                    <xdr:col>3</xdr:col>
                    <xdr:colOff>281940</xdr:colOff>
                    <xdr:row>8</xdr:row>
                    <xdr:rowOff>167640</xdr:rowOff>
                  </to>
                </anchor>
              </controlPr>
            </control>
          </mc:Choice>
        </mc:AlternateContent>
        <mc:AlternateContent xmlns:mc="http://schemas.openxmlformats.org/markup-compatibility/2006">
          <mc:Choice Requires="x14">
            <control shapeId="139266" r:id="rId5" name="Spinner 2">
              <controlPr defaultSize="0" autoPict="0">
                <anchor moveWithCells="1" sizeWithCells="1">
                  <from>
                    <xdr:col>3</xdr:col>
                    <xdr:colOff>22860</xdr:colOff>
                    <xdr:row>9</xdr:row>
                    <xdr:rowOff>7620</xdr:rowOff>
                  </from>
                  <to>
                    <xdr:col>3</xdr:col>
                    <xdr:colOff>281940</xdr:colOff>
                    <xdr:row>11</xdr:row>
                    <xdr:rowOff>0</xdr:rowOff>
                  </to>
                </anchor>
              </controlPr>
            </control>
          </mc:Choice>
        </mc:AlternateContent>
      </controls>
    </mc:Choice>
  </mc:AlternateContent>
  <tableParts count="1">
    <tablePart r:id="rId6"/>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2C943-426E-4352-95A3-C02E1BDB01B8}">
  <sheetPr>
    <tabColor theme="4" tint="0.79998168889431442"/>
    <pageSetUpPr fitToPage="1"/>
  </sheetPr>
  <dimension ref="B6:Q271"/>
  <sheetViews>
    <sheetView zoomScaleNormal="100" workbookViewId="0"/>
  </sheetViews>
  <sheetFormatPr defaultRowHeight="13.2" x14ac:dyDescent="0.25"/>
  <cols>
    <col min="1" max="1" width="5.21875" style="11" customWidth="1"/>
    <col min="2" max="2" width="15.77734375" style="11" bestFit="1" customWidth="1"/>
    <col min="3" max="3" width="15.44140625" style="11" customWidth="1"/>
    <col min="4" max="4" width="4.44140625" style="11" customWidth="1"/>
    <col min="5" max="5" width="15" style="11" bestFit="1" customWidth="1"/>
    <col min="6" max="6" width="15.33203125" style="11" customWidth="1"/>
    <col min="7" max="10" width="25.44140625" style="11" customWidth="1"/>
    <col min="11" max="11" width="11.77734375" style="11" bestFit="1" customWidth="1"/>
    <col min="12" max="12" width="4.44140625" style="11" customWidth="1"/>
    <col min="13" max="13" width="6.77734375" style="11" bestFit="1" customWidth="1"/>
    <col min="14" max="14" width="16.5546875" style="11" customWidth="1"/>
    <col min="15" max="15" width="4" style="11" customWidth="1"/>
    <col min="16" max="16" width="9.33203125" style="11" customWidth="1"/>
    <col min="17" max="17" width="14.44140625" style="11" customWidth="1"/>
    <col min="18" max="16384" width="8.88671875" style="11"/>
  </cols>
  <sheetData>
    <row r="6" spans="2:6" ht="19.8" customHeight="1" x14ac:dyDescent="0.25">
      <c r="B6" s="101" t="s">
        <v>585</v>
      </c>
      <c r="C6" s="301">
        <v>30</v>
      </c>
      <c r="D6" s="58"/>
      <c r="E6" s="179"/>
    </row>
    <row r="7" spans="2:6" ht="52.8" x14ac:dyDescent="0.25">
      <c r="B7" s="102" t="s">
        <v>604</v>
      </c>
      <c r="C7" s="28">
        <f>COUNTIF(K22:K271,"1")/(MAX(M22:M271))</f>
        <v>0.78400000000000003</v>
      </c>
    </row>
    <row r="10" spans="2:6" x14ac:dyDescent="0.25">
      <c r="B10" s="348" t="s">
        <v>590</v>
      </c>
      <c r="C10" s="348"/>
      <c r="E10" s="349" t="s">
        <v>589</v>
      </c>
      <c r="F10" s="349"/>
    </row>
    <row r="11" spans="2:6" x14ac:dyDescent="0.25">
      <c r="B11" s="225" t="s">
        <v>587</v>
      </c>
      <c r="C11" s="227">
        <f>AVERAGE($N$22:$N$271)</f>
        <v>2285635.8067641631</v>
      </c>
      <c r="E11" s="225" t="s">
        <v>587</v>
      </c>
      <c r="F11" s="227">
        <f>AVERAGE($Q$22:$Q$271)</f>
        <v>1767877.3249804922</v>
      </c>
    </row>
    <row r="12" spans="2:6" x14ac:dyDescent="0.25">
      <c r="B12" s="225" t="s">
        <v>588</v>
      </c>
      <c r="C12" s="227">
        <f>MEDIAN($N$22:$N$271)</f>
        <v>2271953.3543893723</v>
      </c>
      <c r="E12" s="225" t="s">
        <v>588</v>
      </c>
      <c r="F12" s="227">
        <f>MEDIAN($Q$22:$Q$271)</f>
        <v>1437676.6327365444</v>
      </c>
    </row>
    <row r="13" spans="2:6" x14ac:dyDescent="0.25">
      <c r="B13" s="226" t="s">
        <v>598</v>
      </c>
      <c r="C13" s="228">
        <f>_xlfn.PERCENTILE.INC($N$22:$N$271,0.25)</f>
        <v>2197243.0242027845</v>
      </c>
      <c r="E13" s="226" t="s">
        <v>598</v>
      </c>
      <c r="F13" s="228">
        <f>_xlfn.PERCENTILE.INC($Q$22:$Q$271,0.25)</f>
        <v>947113.67982428963</v>
      </c>
    </row>
    <row r="14" spans="2:6" x14ac:dyDescent="0.25">
      <c r="B14" s="226" t="s">
        <v>599</v>
      </c>
      <c r="C14" s="228">
        <f>_xlfn.PERCENTILE.INC($N$22:$N$271,0.5)</f>
        <v>2271953.3543893723</v>
      </c>
      <c r="E14" s="226" t="s">
        <v>599</v>
      </c>
      <c r="F14" s="228">
        <f>_xlfn.PERCENTILE.INC($Q$22:$Q$271,0.5)</f>
        <v>1437676.6327365444</v>
      </c>
    </row>
    <row r="15" spans="2:6" x14ac:dyDescent="0.25">
      <c r="B15" s="226" t="s">
        <v>600</v>
      </c>
      <c r="C15" s="228">
        <f>_xlfn.PERCENTILE.INC($N$22:$N$271,0.75)</f>
        <v>2381413.3998986501</v>
      </c>
      <c r="E15" s="226" t="s">
        <v>600</v>
      </c>
      <c r="F15" s="228">
        <f>_xlfn.PERCENTILE.INC($Q$22:$Q$271,0.75)</f>
        <v>2135599.6918160599</v>
      </c>
    </row>
    <row r="16" spans="2:6" x14ac:dyDescent="0.25">
      <c r="B16" s="101" t="s">
        <v>591</v>
      </c>
      <c r="C16" s="227">
        <f>C15-C13</f>
        <v>184170.3756958656</v>
      </c>
      <c r="E16" s="101" t="s">
        <v>591</v>
      </c>
      <c r="F16" s="227">
        <f>F15-F13</f>
        <v>1188486.0119917702</v>
      </c>
    </row>
    <row r="17" spans="2:17" x14ac:dyDescent="0.25">
      <c r="B17" s="101" t="s">
        <v>482</v>
      </c>
      <c r="C17" s="227">
        <f>MIN($N$22:$N$271)</f>
        <v>2002134.291655378</v>
      </c>
      <c r="E17" s="101" t="s">
        <v>482</v>
      </c>
      <c r="F17" s="227">
        <f>MIN($Q$22:$Q$271)</f>
        <v>215567.6030413757</v>
      </c>
    </row>
    <row r="18" spans="2:17" x14ac:dyDescent="0.25">
      <c r="B18" s="101" t="s">
        <v>483</v>
      </c>
      <c r="C18" s="227">
        <f>MAX($N$22:$N$271)</f>
        <v>2698584.6811223323</v>
      </c>
      <c r="E18" s="101" t="s">
        <v>483</v>
      </c>
      <c r="F18" s="227">
        <f>MAX($Q$22:$Q$271)</f>
        <v>9250427.1500950046</v>
      </c>
    </row>
    <row r="20" spans="2:17" ht="27.6" customHeight="1" x14ac:dyDescent="0.25">
      <c r="M20" s="346" t="str">
        <f>"Buy - Projected Assets at "&amp;$C$6&amp;" Years"</f>
        <v>Buy - Projected Assets at 30 Years</v>
      </c>
      <c r="N20" s="346"/>
      <c r="P20" s="347" t="str">
        <f>"Rent - Projected Assets at "&amp;$C$6&amp;" Years"</f>
        <v>Rent - Projected Assets at 30 Years</v>
      </c>
      <c r="Q20" s="347"/>
    </row>
    <row r="21" spans="2:17" ht="37.200000000000003" customHeight="1" x14ac:dyDescent="0.25">
      <c r="K21" s="102" t="s">
        <v>603</v>
      </c>
      <c r="M21" s="101" t="s">
        <v>586</v>
      </c>
      <c r="N21" s="110">
        <f ca="1">INDEX(Table48[[Calendar Year]:[Rent Total Assets]],MATCH($C$6,Table48[Year],0),9)</f>
        <v>2292441.0903825453</v>
      </c>
      <c r="P21" s="101" t="s">
        <v>586</v>
      </c>
      <c r="Q21" s="110">
        <f ca="1">INDEX(Table48[[Calendar Year]:[Rent Total Assets]],MATCH($C$6,Table48[Year],0),11)</f>
        <v>1253488.1029609826</v>
      </c>
    </row>
    <row r="22" spans="2:17" x14ac:dyDescent="0.25">
      <c r="K22" s="229">
        <f>IF(N22&gt;Q22,1,0)</f>
        <v>1</v>
      </c>
      <c r="M22" s="25">
        <v>1</v>
      </c>
      <c r="N22" s="110">
        <f t="dataTable" ref="N22:N271" dt2D="0" dtr="0" r1="N19" ca="1"/>
        <v>2156696.0993910371</v>
      </c>
      <c r="P22" s="25">
        <v>1</v>
      </c>
      <c r="Q22" s="110">
        <f t="dataTable" ref="Q22:Q271" dt2D="0" dtr="0" r1="N19" ca="1"/>
        <v>1817551.0680513328</v>
      </c>
    </row>
    <row r="23" spans="2:17" x14ac:dyDescent="0.25">
      <c r="K23" s="229">
        <f t="shared" ref="K23:K86" si="0">IF(N23&gt;Q23,1,0)</f>
        <v>1</v>
      </c>
      <c r="M23" s="25">
        <v>2</v>
      </c>
      <c r="N23" s="110">
        <v>2102401.7932113577</v>
      </c>
      <c r="P23" s="25">
        <v>2</v>
      </c>
      <c r="Q23" s="110">
        <v>1905964.5026950878</v>
      </c>
    </row>
    <row r="24" spans="2:17" x14ac:dyDescent="0.25">
      <c r="K24" s="229">
        <f t="shared" si="0"/>
        <v>0</v>
      </c>
      <c r="M24" s="25">
        <v>3</v>
      </c>
      <c r="N24" s="110">
        <v>2219360.8441229453</v>
      </c>
      <c r="P24" s="25">
        <v>3</v>
      </c>
      <c r="Q24" s="110">
        <v>3245173.6111854743</v>
      </c>
    </row>
    <row r="25" spans="2:17" x14ac:dyDescent="0.25">
      <c r="K25" s="229">
        <f t="shared" si="0"/>
        <v>0</v>
      </c>
      <c r="M25" s="25">
        <v>4</v>
      </c>
      <c r="N25" s="110">
        <v>2341458.2439737916</v>
      </c>
      <c r="P25" s="25">
        <v>4</v>
      </c>
      <c r="Q25" s="110">
        <v>8157277.1089107124</v>
      </c>
    </row>
    <row r="26" spans="2:17" x14ac:dyDescent="0.25">
      <c r="K26" s="229">
        <f t="shared" si="0"/>
        <v>1</v>
      </c>
      <c r="M26" s="25">
        <v>5</v>
      </c>
      <c r="N26" s="110">
        <v>2531352.8990279022</v>
      </c>
      <c r="P26" s="25">
        <v>5</v>
      </c>
      <c r="Q26" s="110">
        <v>2148043.0113751986</v>
      </c>
    </row>
    <row r="27" spans="2:17" x14ac:dyDescent="0.25">
      <c r="K27" s="229">
        <f t="shared" si="0"/>
        <v>1</v>
      </c>
      <c r="M27" s="25">
        <v>6</v>
      </c>
      <c r="N27" s="110">
        <v>2476744.4988753116</v>
      </c>
      <c r="P27" s="25">
        <v>6</v>
      </c>
      <c r="Q27" s="110">
        <v>829891.69586712646</v>
      </c>
    </row>
    <row r="28" spans="2:17" x14ac:dyDescent="0.25">
      <c r="K28" s="229">
        <f t="shared" si="0"/>
        <v>1</v>
      </c>
      <c r="M28" s="25">
        <v>7</v>
      </c>
      <c r="N28" s="110">
        <v>2169263.8502420005</v>
      </c>
      <c r="P28" s="25">
        <v>7</v>
      </c>
      <c r="Q28" s="110">
        <v>1468160.9225620069</v>
      </c>
    </row>
    <row r="29" spans="2:17" ht="13.2" customHeight="1" x14ac:dyDescent="0.25">
      <c r="K29" s="229">
        <f t="shared" si="0"/>
        <v>1</v>
      </c>
      <c r="M29" s="25">
        <v>8</v>
      </c>
      <c r="N29" s="110">
        <v>2323995.6153185694</v>
      </c>
      <c r="P29" s="25">
        <v>8</v>
      </c>
      <c r="Q29" s="110">
        <v>2157633.4480370083</v>
      </c>
    </row>
    <row r="30" spans="2:17" x14ac:dyDescent="0.25">
      <c r="K30" s="229">
        <f t="shared" si="0"/>
        <v>1</v>
      </c>
      <c r="M30" s="25">
        <v>9</v>
      </c>
      <c r="N30" s="110">
        <v>2207682.6246431498</v>
      </c>
      <c r="P30" s="25">
        <v>9</v>
      </c>
      <c r="Q30" s="110">
        <v>1797856.8868146958</v>
      </c>
    </row>
    <row r="31" spans="2:17" x14ac:dyDescent="0.25">
      <c r="K31" s="229">
        <f t="shared" si="0"/>
        <v>1</v>
      </c>
      <c r="M31" s="25">
        <v>10</v>
      </c>
      <c r="N31" s="110">
        <v>2276456.0448212312</v>
      </c>
      <c r="P31" s="25">
        <v>10</v>
      </c>
      <c r="Q31" s="110">
        <v>477472.796939041</v>
      </c>
    </row>
    <row r="32" spans="2:17" x14ac:dyDescent="0.25">
      <c r="K32" s="229">
        <f t="shared" si="0"/>
        <v>0</v>
      </c>
      <c r="M32" s="25">
        <v>11</v>
      </c>
      <c r="N32" s="110">
        <v>2401541.3805208569</v>
      </c>
      <c r="P32" s="25">
        <v>11</v>
      </c>
      <c r="Q32" s="110">
        <v>2538226.3503462938</v>
      </c>
    </row>
    <row r="33" spans="11:17" x14ac:dyDescent="0.25">
      <c r="K33" s="229">
        <f t="shared" si="0"/>
        <v>1</v>
      </c>
      <c r="M33" s="25">
        <v>12</v>
      </c>
      <c r="N33" s="110">
        <v>2371410.6282058866</v>
      </c>
      <c r="P33" s="25">
        <v>12</v>
      </c>
      <c r="Q33" s="110">
        <v>2243485.2932079178</v>
      </c>
    </row>
    <row r="34" spans="11:17" x14ac:dyDescent="0.25">
      <c r="K34" s="229">
        <f t="shared" si="0"/>
        <v>1</v>
      </c>
      <c r="M34" s="25">
        <v>13</v>
      </c>
      <c r="N34" s="110">
        <v>2435956.2401917619</v>
      </c>
      <c r="P34" s="25">
        <v>13</v>
      </c>
      <c r="Q34" s="110">
        <v>1856409.781306505</v>
      </c>
    </row>
    <row r="35" spans="11:17" x14ac:dyDescent="0.25">
      <c r="K35" s="229">
        <f t="shared" si="0"/>
        <v>1</v>
      </c>
      <c r="M35" s="25">
        <v>14</v>
      </c>
      <c r="N35" s="110">
        <v>2485775.6618686924</v>
      </c>
      <c r="P35" s="25">
        <v>14</v>
      </c>
      <c r="Q35" s="110">
        <v>344934.46160898113</v>
      </c>
    </row>
    <row r="36" spans="11:17" x14ac:dyDescent="0.25">
      <c r="K36" s="229">
        <f t="shared" si="0"/>
        <v>1</v>
      </c>
      <c r="M36" s="25">
        <v>15</v>
      </c>
      <c r="N36" s="110">
        <v>2376350.8047218435</v>
      </c>
      <c r="P36" s="25">
        <v>15</v>
      </c>
      <c r="Q36" s="110">
        <v>1483682.5047807889</v>
      </c>
    </row>
    <row r="37" spans="11:17" x14ac:dyDescent="0.25">
      <c r="K37" s="229">
        <f t="shared" si="0"/>
        <v>1</v>
      </c>
      <c r="M37" s="25">
        <v>16</v>
      </c>
      <c r="N37" s="110">
        <v>2410545.7168415906</v>
      </c>
      <c r="P37" s="25">
        <v>16</v>
      </c>
      <c r="Q37" s="110">
        <v>409138.41292591643</v>
      </c>
    </row>
    <row r="38" spans="11:17" x14ac:dyDescent="0.25">
      <c r="K38" s="229">
        <f t="shared" si="0"/>
        <v>1</v>
      </c>
      <c r="M38" s="25">
        <v>17</v>
      </c>
      <c r="N38" s="110">
        <v>2445071.5961877112</v>
      </c>
      <c r="P38" s="25">
        <v>17</v>
      </c>
      <c r="Q38" s="110">
        <v>1262092.6150387239</v>
      </c>
    </row>
    <row r="39" spans="11:17" x14ac:dyDescent="0.25">
      <c r="K39" s="229">
        <f t="shared" si="0"/>
        <v>1</v>
      </c>
      <c r="M39" s="25">
        <v>18</v>
      </c>
      <c r="N39" s="110">
        <v>2009601.2052574081</v>
      </c>
      <c r="P39" s="25">
        <v>18</v>
      </c>
      <c r="Q39" s="110">
        <v>1144643.098466082</v>
      </c>
    </row>
    <row r="40" spans="11:17" x14ac:dyDescent="0.25">
      <c r="K40" s="229">
        <f t="shared" si="0"/>
        <v>1</v>
      </c>
      <c r="M40" s="25">
        <v>19</v>
      </c>
      <c r="N40" s="110">
        <v>2187046.6994648655</v>
      </c>
      <c r="P40" s="25">
        <v>19</v>
      </c>
      <c r="Q40" s="110">
        <v>681415.66236952296</v>
      </c>
    </row>
    <row r="41" spans="11:17" x14ac:dyDescent="0.25">
      <c r="K41" s="229">
        <f t="shared" si="0"/>
        <v>1</v>
      </c>
      <c r="M41" s="25">
        <v>20</v>
      </c>
      <c r="N41" s="110">
        <v>2498238.0100505678</v>
      </c>
      <c r="P41" s="25">
        <v>20</v>
      </c>
      <c r="Q41" s="110">
        <v>1059997.9775351607</v>
      </c>
    </row>
    <row r="42" spans="11:17" x14ac:dyDescent="0.25">
      <c r="K42" s="229">
        <f t="shared" si="0"/>
        <v>0</v>
      </c>
      <c r="M42" s="25">
        <v>21</v>
      </c>
      <c r="N42" s="110">
        <v>2335879.5880082948</v>
      </c>
      <c r="P42" s="25">
        <v>21</v>
      </c>
      <c r="Q42" s="110">
        <v>3773249.886929377</v>
      </c>
    </row>
    <row r="43" spans="11:17" x14ac:dyDescent="0.25">
      <c r="K43" s="229">
        <f t="shared" si="0"/>
        <v>0</v>
      </c>
      <c r="M43" s="25">
        <v>22</v>
      </c>
      <c r="N43" s="110">
        <v>2064541.3784822617</v>
      </c>
      <c r="P43" s="25">
        <v>22</v>
      </c>
      <c r="Q43" s="110">
        <v>4870897.819174624</v>
      </c>
    </row>
    <row r="44" spans="11:17" x14ac:dyDescent="0.25">
      <c r="K44" s="229">
        <f t="shared" si="0"/>
        <v>1</v>
      </c>
      <c r="M44" s="25">
        <v>23</v>
      </c>
      <c r="N44" s="110">
        <v>2386150.19617343</v>
      </c>
      <c r="P44" s="25">
        <v>23</v>
      </c>
      <c r="Q44" s="110">
        <v>866644.09793028503</v>
      </c>
    </row>
    <row r="45" spans="11:17" x14ac:dyDescent="0.25">
      <c r="K45" s="229">
        <f t="shared" si="0"/>
        <v>1</v>
      </c>
      <c r="M45" s="25">
        <v>24</v>
      </c>
      <c r="N45" s="110">
        <v>2261345.3169378885</v>
      </c>
      <c r="P45" s="25">
        <v>24</v>
      </c>
      <c r="Q45" s="110">
        <v>1516359.2529432983</v>
      </c>
    </row>
    <row r="46" spans="11:17" x14ac:dyDescent="0.25">
      <c r="K46" s="229">
        <f t="shared" si="0"/>
        <v>1</v>
      </c>
      <c r="M46" s="25">
        <v>25</v>
      </c>
      <c r="N46" s="110">
        <v>2110357.1299520591</v>
      </c>
      <c r="P46" s="25">
        <v>25</v>
      </c>
      <c r="Q46" s="110">
        <v>2045715.0322884177</v>
      </c>
    </row>
    <row r="47" spans="11:17" x14ac:dyDescent="0.25">
      <c r="K47" s="229">
        <f t="shared" si="0"/>
        <v>1</v>
      </c>
      <c r="M47" s="25">
        <v>26</v>
      </c>
      <c r="N47" s="110">
        <v>2466682.4708579439</v>
      </c>
      <c r="P47" s="25">
        <v>26</v>
      </c>
      <c r="Q47" s="110">
        <v>583244.92152985861</v>
      </c>
    </row>
    <row r="48" spans="11:17" x14ac:dyDescent="0.25">
      <c r="K48" s="229">
        <f t="shared" si="0"/>
        <v>1</v>
      </c>
      <c r="M48" s="25">
        <v>27</v>
      </c>
      <c r="N48" s="110">
        <v>2165899.0259549972</v>
      </c>
      <c r="P48" s="25">
        <v>27</v>
      </c>
      <c r="Q48" s="110">
        <v>1717283.0650802422</v>
      </c>
    </row>
    <row r="49" spans="11:17" x14ac:dyDescent="0.25">
      <c r="K49" s="229">
        <f t="shared" si="0"/>
        <v>1</v>
      </c>
      <c r="M49" s="25">
        <v>28</v>
      </c>
      <c r="N49" s="110">
        <v>2351536.0933394972</v>
      </c>
      <c r="P49" s="25">
        <v>28</v>
      </c>
      <c r="Q49" s="110">
        <v>679911.77551505051</v>
      </c>
    </row>
    <row r="50" spans="11:17" x14ac:dyDescent="0.25">
      <c r="K50" s="229">
        <f t="shared" si="0"/>
        <v>1</v>
      </c>
      <c r="M50" s="25">
        <v>29</v>
      </c>
      <c r="N50" s="110">
        <v>2221018.2088706251</v>
      </c>
      <c r="P50" s="25">
        <v>29</v>
      </c>
      <c r="Q50" s="110">
        <v>1206652.8871185505</v>
      </c>
    </row>
    <row r="51" spans="11:17" x14ac:dyDescent="0.25">
      <c r="K51" s="229">
        <f t="shared" si="0"/>
        <v>1</v>
      </c>
      <c r="M51" s="25">
        <v>30</v>
      </c>
      <c r="N51" s="110">
        <v>2358086.204571086</v>
      </c>
      <c r="P51" s="25">
        <v>30</v>
      </c>
      <c r="Q51" s="110">
        <v>1518769.3371866925</v>
      </c>
    </row>
    <row r="52" spans="11:17" x14ac:dyDescent="0.25">
      <c r="K52" s="229">
        <f t="shared" si="0"/>
        <v>1</v>
      </c>
      <c r="M52" s="25">
        <v>31</v>
      </c>
      <c r="N52" s="110">
        <v>2405439.0141895874</v>
      </c>
      <c r="P52" s="25">
        <v>31</v>
      </c>
      <c r="Q52" s="110">
        <v>1361280.8097721648</v>
      </c>
    </row>
    <row r="53" spans="11:17" x14ac:dyDescent="0.25">
      <c r="K53" s="229">
        <f t="shared" si="0"/>
        <v>0</v>
      </c>
      <c r="M53" s="25">
        <v>32</v>
      </c>
      <c r="N53" s="110">
        <v>2415558.2276722207</v>
      </c>
      <c r="P53" s="25">
        <v>32</v>
      </c>
      <c r="Q53" s="110">
        <v>2780667.9498089873</v>
      </c>
    </row>
    <row r="54" spans="11:17" x14ac:dyDescent="0.25">
      <c r="K54" s="229">
        <f t="shared" si="0"/>
        <v>1</v>
      </c>
      <c r="M54" s="25">
        <v>33</v>
      </c>
      <c r="N54" s="110">
        <v>2243893.3312124386</v>
      </c>
      <c r="P54" s="25">
        <v>33</v>
      </c>
      <c r="Q54" s="110">
        <v>742280.78739169287</v>
      </c>
    </row>
    <row r="55" spans="11:17" x14ac:dyDescent="0.25">
      <c r="K55" s="229">
        <f t="shared" si="0"/>
        <v>1</v>
      </c>
      <c r="M55" s="25">
        <v>34</v>
      </c>
      <c r="N55" s="110">
        <v>2142312.9804891706</v>
      </c>
      <c r="P55" s="25">
        <v>34</v>
      </c>
      <c r="Q55" s="110">
        <v>1712438.1481582574</v>
      </c>
    </row>
    <row r="56" spans="11:17" x14ac:dyDescent="0.25">
      <c r="K56" s="229">
        <f t="shared" si="0"/>
        <v>0</v>
      </c>
      <c r="M56" s="25">
        <v>35</v>
      </c>
      <c r="N56" s="110">
        <v>2417104.8778250823</v>
      </c>
      <c r="P56" s="25">
        <v>35</v>
      </c>
      <c r="Q56" s="110">
        <v>6800340.9306602618</v>
      </c>
    </row>
    <row r="57" spans="11:17" x14ac:dyDescent="0.25">
      <c r="K57" s="229">
        <f t="shared" si="0"/>
        <v>1</v>
      </c>
      <c r="M57" s="25">
        <v>36</v>
      </c>
      <c r="N57" s="110">
        <v>2156578.0773047721</v>
      </c>
      <c r="P57" s="25">
        <v>36</v>
      </c>
      <c r="Q57" s="110">
        <v>349066.86414053274</v>
      </c>
    </row>
    <row r="58" spans="11:17" x14ac:dyDescent="0.25">
      <c r="K58" s="229">
        <f t="shared" si="0"/>
        <v>1</v>
      </c>
      <c r="M58" s="25">
        <v>37</v>
      </c>
      <c r="N58" s="110">
        <v>2332151.0024486817</v>
      </c>
      <c r="P58" s="25">
        <v>37</v>
      </c>
      <c r="Q58" s="110">
        <v>1012056.3209655661</v>
      </c>
    </row>
    <row r="59" spans="11:17" x14ac:dyDescent="0.25">
      <c r="K59" s="229">
        <f t="shared" si="0"/>
        <v>0</v>
      </c>
      <c r="M59" s="25">
        <v>38</v>
      </c>
      <c r="N59" s="110">
        <v>2165515.683862342</v>
      </c>
      <c r="P59" s="25">
        <v>38</v>
      </c>
      <c r="Q59" s="110">
        <v>3746756.7896552808</v>
      </c>
    </row>
    <row r="60" spans="11:17" x14ac:dyDescent="0.25">
      <c r="K60" s="229">
        <f t="shared" si="0"/>
        <v>0</v>
      </c>
      <c r="M60" s="25">
        <v>39</v>
      </c>
      <c r="N60" s="110">
        <v>2319974.6608773246</v>
      </c>
      <c r="P60" s="25">
        <v>39</v>
      </c>
      <c r="Q60" s="110">
        <v>2399743.8383495719</v>
      </c>
    </row>
    <row r="61" spans="11:17" x14ac:dyDescent="0.25">
      <c r="K61" s="229">
        <f t="shared" si="0"/>
        <v>1</v>
      </c>
      <c r="M61" s="25">
        <v>40</v>
      </c>
      <c r="N61" s="110">
        <v>2279427.3518002615</v>
      </c>
      <c r="P61" s="25">
        <v>40</v>
      </c>
      <c r="Q61" s="110">
        <v>2109090.5471243542</v>
      </c>
    </row>
    <row r="62" spans="11:17" x14ac:dyDescent="0.25">
      <c r="K62" s="229">
        <f t="shared" si="0"/>
        <v>1</v>
      </c>
      <c r="M62" s="25">
        <v>41</v>
      </c>
      <c r="N62" s="110">
        <v>2392443.6534564388</v>
      </c>
      <c r="P62" s="25">
        <v>41</v>
      </c>
      <c r="Q62" s="110">
        <v>1358629.6269159084</v>
      </c>
    </row>
    <row r="63" spans="11:17" x14ac:dyDescent="0.25">
      <c r="K63" s="229">
        <f t="shared" si="0"/>
        <v>0</v>
      </c>
      <c r="M63" s="25">
        <v>42</v>
      </c>
      <c r="N63" s="110">
        <v>2352078.8016842799</v>
      </c>
      <c r="P63" s="25">
        <v>42</v>
      </c>
      <c r="Q63" s="110">
        <v>2909200.8707932583</v>
      </c>
    </row>
    <row r="64" spans="11:17" x14ac:dyDescent="0.25">
      <c r="K64" s="229">
        <f t="shared" si="0"/>
        <v>0</v>
      </c>
      <c r="M64" s="25">
        <v>43</v>
      </c>
      <c r="N64" s="110">
        <v>2309055.0124765532</v>
      </c>
      <c r="P64" s="25">
        <v>43</v>
      </c>
      <c r="Q64" s="110">
        <v>4165182.563608258</v>
      </c>
    </row>
    <row r="65" spans="11:17" x14ac:dyDescent="0.25">
      <c r="K65" s="229">
        <f t="shared" si="0"/>
        <v>0</v>
      </c>
      <c r="M65" s="25">
        <v>44</v>
      </c>
      <c r="N65" s="110">
        <v>2161960.9482889078</v>
      </c>
      <c r="P65" s="25">
        <v>44</v>
      </c>
      <c r="Q65" s="110">
        <v>4758911.3330565142</v>
      </c>
    </row>
    <row r="66" spans="11:17" x14ac:dyDescent="0.25">
      <c r="K66" s="229">
        <f t="shared" si="0"/>
        <v>0</v>
      </c>
      <c r="M66" s="25">
        <v>45</v>
      </c>
      <c r="N66" s="110">
        <v>2383715.6432606261</v>
      </c>
      <c r="P66" s="25">
        <v>45</v>
      </c>
      <c r="Q66" s="110">
        <v>2841061.7389884568</v>
      </c>
    </row>
    <row r="67" spans="11:17" x14ac:dyDescent="0.25">
      <c r="K67" s="229">
        <f t="shared" si="0"/>
        <v>1</v>
      </c>
      <c r="M67" s="25">
        <v>46</v>
      </c>
      <c r="N67" s="110">
        <v>2411621.869555681</v>
      </c>
      <c r="P67" s="25">
        <v>46</v>
      </c>
      <c r="Q67" s="110">
        <v>1411587.6237765125</v>
      </c>
    </row>
    <row r="68" spans="11:17" x14ac:dyDescent="0.25">
      <c r="K68" s="229">
        <f t="shared" si="0"/>
        <v>1</v>
      </c>
      <c r="M68" s="25">
        <v>47</v>
      </c>
      <c r="N68" s="110">
        <v>2351849.2342985696</v>
      </c>
      <c r="P68" s="25">
        <v>47</v>
      </c>
      <c r="Q68" s="110">
        <v>1266916.6002725509</v>
      </c>
    </row>
    <row r="69" spans="11:17" x14ac:dyDescent="0.25">
      <c r="K69" s="229">
        <f t="shared" si="0"/>
        <v>1</v>
      </c>
      <c r="M69" s="25">
        <v>48</v>
      </c>
      <c r="N69" s="110">
        <v>2162500.2046318473</v>
      </c>
      <c r="P69" s="25">
        <v>48</v>
      </c>
      <c r="Q69" s="110">
        <v>1386943.7273595904</v>
      </c>
    </row>
    <row r="70" spans="11:17" x14ac:dyDescent="0.25">
      <c r="K70" s="229">
        <f t="shared" si="0"/>
        <v>1</v>
      </c>
      <c r="M70" s="25">
        <v>49</v>
      </c>
      <c r="N70" s="110">
        <v>2448798.5838546753</v>
      </c>
      <c r="P70" s="25">
        <v>49</v>
      </c>
      <c r="Q70" s="110">
        <v>1176608.3643821441</v>
      </c>
    </row>
    <row r="71" spans="11:17" x14ac:dyDescent="0.25">
      <c r="K71" s="229">
        <f t="shared" si="0"/>
        <v>1</v>
      </c>
      <c r="M71" s="25">
        <v>50</v>
      </c>
      <c r="N71" s="110">
        <v>2195813.4481125968</v>
      </c>
      <c r="P71" s="25">
        <v>50</v>
      </c>
      <c r="Q71" s="110">
        <v>795801.00385555439</v>
      </c>
    </row>
    <row r="72" spans="11:17" x14ac:dyDescent="0.25">
      <c r="K72" s="229">
        <f t="shared" si="0"/>
        <v>1</v>
      </c>
      <c r="M72" s="25">
        <v>51</v>
      </c>
      <c r="N72" s="110">
        <v>2560464.272275622</v>
      </c>
      <c r="P72" s="25">
        <v>51</v>
      </c>
      <c r="Q72" s="110">
        <v>1293712.8071483662</v>
      </c>
    </row>
    <row r="73" spans="11:17" x14ac:dyDescent="0.25">
      <c r="K73" s="229">
        <f t="shared" si="0"/>
        <v>1</v>
      </c>
      <c r="M73" s="25">
        <v>52</v>
      </c>
      <c r="N73" s="110">
        <v>2172913.0918632234</v>
      </c>
      <c r="P73" s="25">
        <v>52</v>
      </c>
      <c r="Q73" s="110">
        <v>1441004.4115965487</v>
      </c>
    </row>
    <row r="74" spans="11:17" x14ac:dyDescent="0.25">
      <c r="K74" s="229">
        <f t="shared" si="0"/>
        <v>1</v>
      </c>
      <c r="M74" s="25">
        <v>53</v>
      </c>
      <c r="N74" s="110">
        <v>2298291.3492268636</v>
      </c>
      <c r="P74" s="25">
        <v>53</v>
      </c>
      <c r="Q74" s="110">
        <v>1264339.9500777202</v>
      </c>
    </row>
    <row r="75" spans="11:17" x14ac:dyDescent="0.25">
      <c r="K75" s="229">
        <f t="shared" si="0"/>
        <v>1</v>
      </c>
      <c r="M75" s="25">
        <v>54</v>
      </c>
      <c r="N75" s="110">
        <v>2125538.0348532922</v>
      </c>
      <c r="P75" s="25">
        <v>54</v>
      </c>
      <c r="Q75" s="110">
        <v>1400779.4113727335</v>
      </c>
    </row>
    <row r="76" spans="11:17" x14ac:dyDescent="0.25">
      <c r="K76" s="229">
        <f t="shared" si="0"/>
        <v>1</v>
      </c>
      <c r="M76" s="25">
        <v>55</v>
      </c>
      <c r="N76" s="110">
        <v>2222737.0354510252</v>
      </c>
      <c r="P76" s="25">
        <v>55</v>
      </c>
      <c r="Q76" s="110">
        <v>1256530.0535723586</v>
      </c>
    </row>
    <row r="77" spans="11:17" x14ac:dyDescent="0.25">
      <c r="K77" s="229">
        <f t="shared" si="0"/>
        <v>0</v>
      </c>
      <c r="M77" s="25">
        <v>56</v>
      </c>
      <c r="N77" s="110">
        <v>2112891.8408832978</v>
      </c>
      <c r="P77" s="25">
        <v>56</v>
      </c>
      <c r="Q77" s="110">
        <v>2841720.0939594223</v>
      </c>
    </row>
    <row r="78" spans="11:17" x14ac:dyDescent="0.25">
      <c r="K78" s="229">
        <f t="shared" si="0"/>
        <v>1</v>
      </c>
      <c r="M78" s="25">
        <v>57</v>
      </c>
      <c r="N78" s="110">
        <v>2230122.5488482704</v>
      </c>
      <c r="P78" s="25">
        <v>57</v>
      </c>
      <c r="Q78" s="110">
        <v>1012059.8533449101</v>
      </c>
    </row>
    <row r="79" spans="11:17" x14ac:dyDescent="0.25">
      <c r="K79" s="229">
        <f t="shared" si="0"/>
        <v>1</v>
      </c>
      <c r="M79" s="25">
        <v>58</v>
      </c>
      <c r="N79" s="110">
        <v>2034291.1978035097</v>
      </c>
      <c r="P79" s="25">
        <v>58</v>
      </c>
      <c r="Q79" s="110">
        <v>1361134.3835193831</v>
      </c>
    </row>
    <row r="80" spans="11:17" x14ac:dyDescent="0.25">
      <c r="K80" s="229">
        <f t="shared" si="0"/>
        <v>1</v>
      </c>
      <c r="M80" s="25">
        <v>59</v>
      </c>
      <c r="N80" s="110">
        <v>2161125.5787802315</v>
      </c>
      <c r="P80" s="25">
        <v>59</v>
      </c>
      <c r="Q80" s="110">
        <v>1782883.0674964215</v>
      </c>
    </row>
    <row r="81" spans="11:17" x14ac:dyDescent="0.25">
      <c r="K81" s="229">
        <f t="shared" si="0"/>
        <v>1</v>
      </c>
      <c r="M81" s="25">
        <v>60</v>
      </c>
      <c r="N81" s="110">
        <v>2260060.8006152692</v>
      </c>
      <c r="P81" s="25">
        <v>60</v>
      </c>
      <c r="Q81" s="110">
        <v>1205603.3616508213</v>
      </c>
    </row>
    <row r="82" spans="11:17" x14ac:dyDescent="0.25">
      <c r="K82" s="229">
        <f t="shared" si="0"/>
        <v>1</v>
      </c>
      <c r="M82" s="25">
        <v>61</v>
      </c>
      <c r="N82" s="110">
        <v>2397800.0233601416</v>
      </c>
      <c r="P82" s="25">
        <v>61</v>
      </c>
      <c r="Q82" s="110">
        <v>1461803.1144480365</v>
      </c>
    </row>
    <row r="83" spans="11:17" x14ac:dyDescent="0.25">
      <c r="K83" s="229">
        <f t="shared" si="0"/>
        <v>1</v>
      </c>
      <c r="M83" s="25">
        <v>62</v>
      </c>
      <c r="N83" s="110">
        <v>2216640.3021567604</v>
      </c>
      <c r="P83" s="25">
        <v>62</v>
      </c>
      <c r="Q83" s="110">
        <v>946048.78496178798</v>
      </c>
    </row>
    <row r="84" spans="11:17" x14ac:dyDescent="0.25">
      <c r="K84" s="229">
        <f t="shared" si="0"/>
        <v>0</v>
      </c>
      <c r="M84" s="25">
        <v>63</v>
      </c>
      <c r="N84" s="110">
        <v>2285623.341393006</v>
      </c>
      <c r="P84" s="25">
        <v>63</v>
      </c>
      <c r="Q84" s="110">
        <v>5057703.0760075152</v>
      </c>
    </row>
    <row r="85" spans="11:17" x14ac:dyDescent="0.25">
      <c r="K85" s="229">
        <f t="shared" si="0"/>
        <v>1</v>
      </c>
      <c r="M85" s="25">
        <v>64</v>
      </c>
      <c r="N85" s="110">
        <v>2214391.3623500178</v>
      </c>
      <c r="P85" s="25">
        <v>64</v>
      </c>
      <c r="Q85" s="110">
        <v>1571576.0628673949</v>
      </c>
    </row>
    <row r="86" spans="11:17" x14ac:dyDescent="0.25">
      <c r="K86" s="229">
        <f t="shared" si="0"/>
        <v>0</v>
      </c>
      <c r="M86" s="25">
        <v>65</v>
      </c>
      <c r="N86" s="110">
        <v>2543817.3528448869</v>
      </c>
      <c r="P86" s="25">
        <v>65</v>
      </c>
      <c r="Q86" s="110">
        <v>3240836.6484612706</v>
      </c>
    </row>
    <row r="87" spans="11:17" x14ac:dyDescent="0.25">
      <c r="K87" s="229">
        <f t="shared" ref="K87:K150" si="1">IF(N87&gt;Q87,1,0)</f>
        <v>1</v>
      </c>
      <c r="M87" s="25">
        <v>66</v>
      </c>
      <c r="N87" s="110">
        <v>2245269.6559829502</v>
      </c>
      <c r="P87" s="25">
        <v>66</v>
      </c>
      <c r="Q87" s="110">
        <v>2006678.1502675153</v>
      </c>
    </row>
    <row r="88" spans="11:17" x14ac:dyDescent="0.25">
      <c r="K88" s="229">
        <f t="shared" si="1"/>
        <v>0</v>
      </c>
      <c r="M88" s="25">
        <v>67</v>
      </c>
      <c r="N88" s="110">
        <v>2296499.2818764248</v>
      </c>
      <c r="P88" s="25">
        <v>67</v>
      </c>
      <c r="Q88" s="110">
        <v>4469598.7044414505</v>
      </c>
    </row>
    <row r="89" spans="11:17" x14ac:dyDescent="0.25">
      <c r="K89" s="229">
        <f t="shared" si="1"/>
        <v>1</v>
      </c>
      <c r="M89" s="25">
        <v>68</v>
      </c>
      <c r="N89" s="110">
        <v>2002134.291655378</v>
      </c>
      <c r="P89" s="25">
        <v>68</v>
      </c>
      <c r="Q89" s="110">
        <v>1771335.9234538968</v>
      </c>
    </row>
    <row r="90" spans="11:17" x14ac:dyDescent="0.25">
      <c r="K90" s="229">
        <f t="shared" si="1"/>
        <v>0</v>
      </c>
      <c r="M90" s="25">
        <v>69</v>
      </c>
      <c r="N90" s="110">
        <v>2025871.7183089263</v>
      </c>
      <c r="P90" s="25">
        <v>69</v>
      </c>
      <c r="Q90" s="110">
        <v>3440809.7794579687</v>
      </c>
    </row>
    <row r="91" spans="11:17" x14ac:dyDescent="0.25">
      <c r="K91" s="229">
        <f t="shared" si="1"/>
        <v>1</v>
      </c>
      <c r="M91" s="25">
        <v>70</v>
      </c>
      <c r="N91" s="110">
        <v>2214121.5281212889</v>
      </c>
      <c r="P91" s="25">
        <v>70</v>
      </c>
      <c r="Q91" s="110">
        <v>1373867.1752926793</v>
      </c>
    </row>
    <row r="92" spans="11:17" x14ac:dyDescent="0.25">
      <c r="K92" s="229">
        <f t="shared" si="1"/>
        <v>0</v>
      </c>
      <c r="M92" s="25">
        <v>71</v>
      </c>
      <c r="N92" s="110">
        <v>2337798.2037288994</v>
      </c>
      <c r="P92" s="25">
        <v>71</v>
      </c>
      <c r="Q92" s="110">
        <v>2874941.8820858067</v>
      </c>
    </row>
    <row r="93" spans="11:17" x14ac:dyDescent="0.25">
      <c r="K93" s="229">
        <f t="shared" si="1"/>
        <v>0</v>
      </c>
      <c r="M93" s="25">
        <v>72</v>
      </c>
      <c r="N93" s="110">
        <v>2046418.2195470559</v>
      </c>
      <c r="P93" s="25">
        <v>72</v>
      </c>
      <c r="Q93" s="110">
        <v>3725688.533124187</v>
      </c>
    </row>
    <row r="94" spans="11:17" x14ac:dyDescent="0.25">
      <c r="K94" s="229">
        <f t="shared" si="1"/>
        <v>0</v>
      </c>
      <c r="M94" s="25">
        <v>73</v>
      </c>
      <c r="N94" s="110">
        <v>2572541.4974503545</v>
      </c>
      <c r="P94" s="25">
        <v>73</v>
      </c>
      <c r="Q94" s="110">
        <v>9250427.1500950046</v>
      </c>
    </row>
    <row r="95" spans="11:17" x14ac:dyDescent="0.25">
      <c r="K95" s="229">
        <f t="shared" si="1"/>
        <v>1</v>
      </c>
      <c r="M95" s="25">
        <v>74</v>
      </c>
      <c r="N95" s="110">
        <v>2140274.4916036152</v>
      </c>
      <c r="P95" s="25">
        <v>74</v>
      </c>
      <c r="Q95" s="110">
        <v>2066164.7695233678</v>
      </c>
    </row>
    <row r="96" spans="11:17" x14ac:dyDescent="0.25">
      <c r="K96" s="229">
        <f t="shared" si="1"/>
        <v>1</v>
      </c>
      <c r="M96" s="25">
        <v>75</v>
      </c>
      <c r="N96" s="110">
        <v>2288972.6896705073</v>
      </c>
      <c r="P96" s="25">
        <v>75</v>
      </c>
      <c r="Q96" s="110">
        <v>1795443.4758296551</v>
      </c>
    </row>
    <row r="97" spans="11:17" x14ac:dyDescent="0.25">
      <c r="K97" s="229">
        <f t="shared" si="1"/>
        <v>1</v>
      </c>
      <c r="M97" s="25">
        <v>76</v>
      </c>
      <c r="N97" s="110">
        <v>2056451.8253080708</v>
      </c>
      <c r="P97" s="25">
        <v>76</v>
      </c>
      <c r="Q97" s="110">
        <v>1743540.1598554656</v>
      </c>
    </row>
    <row r="98" spans="11:17" x14ac:dyDescent="0.25">
      <c r="K98" s="229">
        <f t="shared" si="1"/>
        <v>1</v>
      </c>
      <c r="M98" s="25">
        <v>77</v>
      </c>
      <c r="N98" s="110">
        <v>2275774.3566603018</v>
      </c>
      <c r="P98" s="25">
        <v>77</v>
      </c>
      <c r="Q98" s="110">
        <v>2272204.0994467121</v>
      </c>
    </row>
    <row r="99" spans="11:17" x14ac:dyDescent="0.25">
      <c r="K99" s="229">
        <f t="shared" si="1"/>
        <v>1</v>
      </c>
      <c r="M99" s="25">
        <v>78</v>
      </c>
      <c r="N99" s="110">
        <v>2135385.1389530688</v>
      </c>
      <c r="P99" s="25">
        <v>78</v>
      </c>
      <c r="Q99" s="110">
        <v>1294867.6867079914</v>
      </c>
    </row>
    <row r="100" spans="11:17" x14ac:dyDescent="0.25">
      <c r="K100" s="229">
        <f t="shared" si="1"/>
        <v>0</v>
      </c>
      <c r="M100" s="25">
        <v>79</v>
      </c>
      <c r="N100" s="110">
        <v>2113256.999974967</v>
      </c>
      <c r="P100" s="25">
        <v>79</v>
      </c>
      <c r="Q100" s="110">
        <v>3045580.4523046496</v>
      </c>
    </row>
    <row r="101" spans="11:17" x14ac:dyDescent="0.25">
      <c r="K101" s="229">
        <f t="shared" si="1"/>
        <v>1</v>
      </c>
      <c r="M101" s="25">
        <v>80</v>
      </c>
      <c r="N101" s="110">
        <v>2364096.189072316</v>
      </c>
      <c r="P101" s="25">
        <v>80</v>
      </c>
      <c r="Q101" s="110">
        <v>433724.51786765055</v>
      </c>
    </row>
    <row r="102" spans="11:17" x14ac:dyDescent="0.25">
      <c r="K102" s="229">
        <f t="shared" si="1"/>
        <v>1</v>
      </c>
      <c r="M102" s="25">
        <v>81</v>
      </c>
      <c r="N102" s="110">
        <v>2363521.7513920404</v>
      </c>
      <c r="P102" s="25">
        <v>81</v>
      </c>
      <c r="Q102" s="110">
        <v>1392241.4352077963</v>
      </c>
    </row>
    <row r="103" spans="11:17" x14ac:dyDescent="0.25">
      <c r="K103" s="229">
        <f t="shared" si="1"/>
        <v>1</v>
      </c>
      <c r="M103" s="25">
        <v>82</v>
      </c>
      <c r="N103" s="110">
        <v>2265883.256621114</v>
      </c>
      <c r="P103" s="25">
        <v>82</v>
      </c>
      <c r="Q103" s="110">
        <v>780772.64425845386</v>
      </c>
    </row>
    <row r="104" spans="11:17" x14ac:dyDescent="0.25">
      <c r="K104" s="229">
        <f t="shared" si="1"/>
        <v>1</v>
      </c>
      <c r="M104" s="25">
        <v>83</v>
      </c>
      <c r="N104" s="110">
        <v>2320694.5135259177</v>
      </c>
      <c r="P104" s="25">
        <v>83</v>
      </c>
      <c r="Q104" s="110">
        <v>1467692.3823387953</v>
      </c>
    </row>
    <row r="105" spans="11:17" x14ac:dyDescent="0.25">
      <c r="K105" s="229">
        <f t="shared" si="1"/>
        <v>0</v>
      </c>
      <c r="M105" s="25">
        <v>84</v>
      </c>
      <c r="N105" s="110">
        <v>2385881.6239173748</v>
      </c>
      <c r="P105" s="25">
        <v>84</v>
      </c>
      <c r="Q105" s="110">
        <v>2909634.1737698466</v>
      </c>
    </row>
    <row r="106" spans="11:17" x14ac:dyDescent="0.25">
      <c r="K106" s="229">
        <f t="shared" si="1"/>
        <v>1</v>
      </c>
      <c r="M106" s="25">
        <v>85</v>
      </c>
      <c r="N106" s="110">
        <v>2307994.8001489327</v>
      </c>
      <c r="P106" s="25">
        <v>85</v>
      </c>
      <c r="Q106" s="110">
        <v>629384.34433394449</v>
      </c>
    </row>
    <row r="107" spans="11:17" x14ac:dyDescent="0.25">
      <c r="K107" s="229">
        <f t="shared" si="1"/>
        <v>1</v>
      </c>
      <c r="M107" s="25">
        <v>86</v>
      </c>
      <c r="N107" s="110">
        <v>2135521.0720451153</v>
      </c>
      <c r="P107" s="25">
        <v>86</v>
      </c>
      <c r="Q107" s="110">
        <v>1994637.8535707339</v>
      </c>
    </row>
    <row r="108" spans="11:17" x14ac:dyDescent="0.25">
      <c r="K108" s="229">
        <f t="shared" si="1"/>
        <v>1</v>
      </c>
      <c r="M108" s="25">
        <v>87</v>
      </c>
      <c r="N108" s="110">
        <v>2428699.3695217506</v>
      </c>
      <c r="P108" s="25">
        <v>87</v>
      </c>
      <c r="Q108" s="110">
        <v>1367488.7565551994</v>
      </c>
    </row>
    <row r="109" spans="11:17" x14ac:dyDescent="0.25">
      <c r="K109" s="229">
        <f t="shared" si="1"/>
        <v>1</v>
      </c>
      <c r="M109" s="25">
        <v>88</v>
      </c>
      <c r="N109" s="110">
        <v>2401618.589725065</v>
      </c>
      <c r="P109" s="25">
        <v>88</v>
      </c>
      <c r="Q109" s="110">
        <v>903922.68949780194</v>
      </c>
    </row>
    <row r="110" spans="11:17" x14ac:dyDescent="0.25">
      <c r="K110" s="229">
        <f t="shared" si="1"/>
        <v>1</v>
      </c>
      <c r="M110" s="25">
        <v>89</v>
      </c>
      <c r="N110" s="110">
        <v>2438168.3555267369</v>
      </c>
      <c r="P110" s="25">
        <v>89</v>
      </c>
      <c r="Q110" s="110">
        <v>1221953.1139218453</v>
      </c>
    </row>
    <row r="111" spans="11:17" x14ac:dyDescent="0.25">
      <c r="K111" s="229">
        <f t="shared" si="1"/>
        <v>1</v>
      </c>
      <c r="M111" s="25">
        <v>90</v>
      </c>
      <c r="N111" s="110">
        <v>2306331.7747477451</v>
      </c>
      <c r="P111" s="25">
        <v>90</v>
      </c>
      <c r="Q111" s="110">
        <v>943006.24776287703</v>
      </c>
    </row>
    <row r="112" spans="11:17" x14ac:dyDescent="0.25">
      <c r="K112" s="229">
        <f t="shared" si="1"/>
        <v>0</v>
      </c>
      <c r="M112" s="25">
        <v>91</v>
      </c>
      <c r="N112" s="110">
        <v>2225801.1200911533</v>
      </c>
      <c r="P112" s="25">
        <v>91</v>
      </c>
      <c r="Q112" s="110">
        <v>2451051.4902938823</v>
      </c>
    </row>
    <row r="113" spans="11:17" x14ac:dyDescent="0.25">
      <c r="K113" s="229">
        <f t="shared" si="1"/>
        <v>1</v>
      </c>
      <c r="M113" s="25">
        <v>92</v>
      </c>
      <c r="N113" s="110">
        <v>2062860.9363181735</v>
      </c>
      <c r="P113" s="25">
        <v>92</v>
      </c>
      <c r="Q113" s="110">
        <v>544256.09247957333</v>
      </c>
    </row>
    <row r="114" spans="11:17" x14ac:dyDescent="0.25">
      <c r="K114" s="229">
        <f t="shared" si="1"/>
        <v>1</v>
      </c>
      <c r="M114" s="25">
        <v>93</v>
      </c>
      <c r="N114" s="110">
        <v>2409665.7850919603</v>
      </c>
      <c r="P114" s="25">
        <v>93</v>
      </c>
      <c r="Q114" s="110">
        <v>2080292.8781790342</v>
      </c>
    </row>
    <row r="115" spans="11:17" x14ac:dyDescent="0.25">
      <c r="K115" s="229">
        <f t="shared" si="1"/>
        <v>1</v>
      </c>
      <c r="M115" s="25">
        <v>94</v>
      </c>
      <c r="N115" s="110">
        <v>2362778.2316902126</v>
      </c>
      <c r="P115" s="25">
        <v>94</v>
      </c>
      <c r="Q115" s="110">
        <v>1263930.7731319887</v>
      </c>
    </row>
    <row r="116" spans="11:17" x14ac:dyDescent="0.25">
      <c r="K116" s="229">
        <f t="shared" si="1"/>
        <v>1</v>
      </c>
      <c r="M116" s="25">
        <v>95</v>
      </c>
      <c r="N116" s="110">
        <v>2191916.6021262798</v>
      </c>
      <c r="P116" s="25">
        <v>95</v>
      </c>
      <c r="Q116" s="110">
        <v>1287193.4596381644</v>
      </c>
    </row>
    <row r="117" spans="11:17" x14ac:dyDescent="0.25">
      <c r="K117" s="229">
        <f t="shared" si="1"/>
        <v>1</v>
      </c>
      <c r="M117" s="25">
        <v>96</v>
      </c>
      <c r="N117" s="110">
        <v>2345948.4974824572</v>
      </c>
      <c r="P117" s="25">
        <v>96</v>
      </c>
      <c r="Q117" s="110">
        <v>957141.08245383378</v>
      </c>
    </row>
    <row r="118" spans="11:17" x14ac:dyDescent="0.25">
      <c r="K118" s="229">
        <f t="shared" si="1"/>
        <v>1</v>
      </c>
      <c r="M118" s="25">
        <v>97</v>
      </c>
      <c r="N118" s="110">
        <v>2411440.148257982</v>
      </c>
      <c r="P118" s="25">
        <v>97</v>
      </c>
      <c r="Q118" s="110">
        <v>999023.90874807455</v>
      </c>
    </row>
    <row r="119" spans="11:17" x14ac:dyDescent="0.25">
      <c r="K119" s="229">
        <f t="shared" si="1"/>
        <v>1</v>
      </c>
      <c r="M119" s="25">
        <v>98</v>
      </c>
      <c r="N119" s="110">
        <v>2113503.6153463717</v>
      </c>
      <c r="P119" s="25">
        <v>98</v>
      </c>
      <c r="Q119" s="110">
        <v>407809.71767922083</v>
      </c>
    </row>
    <row r="120" spans="11:17" x14ac:dyDescent="0.25">
      <c r="K120" s="229">
        <f t="shared" si="1"/>
        <v>1</v>
      </c>
      <c r="M120" s="25">
        <v>99</v>
      </c>
      <c r="N120" s="110">
        <v>2083010.7122865545</v>
      </c>
      <c r="P120" s="25">
        <v>99</v>
      </c>
      <c r="Q120" s="110">
        <v>1124411.7167388981</v>
      </c>
    </row>
    <row r="121" spans="11:17" x14ac:dyDescent="0.25">
      <c r="K121" s="229">
        <f t="shared" si="1"/>
        <v>1</v>
      </c>
      <c r="M121" s="25">
        <v>100</v>
      </c>
      <c r="N121" s="110">
        <v>2116069.1757123903</v>
      </c>
      <c r="P121" s="25">
        <v>100</v>
      </c>
      <c r="Q121" s="110">
        <v>1493192.7739737006</v>
      </c>
    </row>
    <row r="122" spans="11:17" x14ac:dyDescent="0.25">
      <c r="K122" s="229">
        <f t="shared" si="1"/>
        <v>0</v>
      </c>
      <c r="M122" s="25">
        <v>101</v>
      </c>
      <c r="N122" s="110">
        <v>2383100.9316242523</v>
      </c>
      <c r="P122" s="25">
        <v>101</v>
      </c>
      <c r="Q122" s="110">
        <v>5710466.3672135789</v>
      </c>
    </row>
    <row r="123" spans="11:17" x14ac:dyDescent="0.25">
      <c r="K123" s="229">
        <f t="shared" si="1"/>
        <v>1</v>
      </c>
      <c r="M123" s="25">
        <v>102</v>
      </c>
      <c r="N123" s="110">
        <v>2279014.0532667562</v>
      </c>
      <c r="P123" s="25">
        <v>102</v>
      </c>
      <c r="Q123" s="110">
        <v>1411125.6107234196</v>
      </c>
    </row>
    <row r="124" spans="11:17" x14ac:dyDescent="0.25">
      <c r="K124" s="229">
        <f t="shared" si="1"/>
        <v>0</v>
      </c>
      <c r="M124" s="25">
        <v>103</v>
      </c>
      <c r="N124" s="110">
        <v>2611519.5968740545</v>
      </c>
      <c r="P124" s="25">
        <v>103</v>
      </c>
      <c r="Q124" s="110">
        <v>2785798.7102267854</v>
      </c>
    </row>
    <row r="125" spans="11:17" x14ac:dyDescent="0.25">
      <c r="K125" s="229">
        <f t="shared" si="1"/>
        <v>1</v>
      </c>
      <c r="M125" s="25">
        <v>104</v>
      </c>
      <c r="N125" s="110">
        <v>2150048.0528536285</v>
      </c>
      <c r="P125" s="25">
        <v>104</v>
      </c>
      <c r="Q125" s="110">
        <v>1059616.8422369999</v>
      </c>
    </row>
    <row r="126" spans="11:17" x14ac:dyDescent="0.25">
      <c r="K126" s="229">
        <f t="shared" si="1"/>
        <v>1</v>
      </c>
      <c r="M126" s="25">
        <v>105</v>
      </c>
      <c r="N126" s="110">
        <v>2087287.7197252845</v>
      </c>
      <c r="P126" s="25">
        <v>105</v>
      </c>
      <c r="Q126" s="110">
        <v>831266.52477410587</v>
      </c>
    </row>
    <row r="127" spans="11:17" x14ac:dyDescent="0.25">
      <c r="K127" s="229">
        <f t="shared" si="1"/>
        <v>1</v>
      </c>
      <c r="M127" s="25">
        <v>106</v>
      </c>
      <c r="N127" s="110">
        <v>2317337.3343064659</v>
      </c>
      <c r="P127" s="25">
        <v>106</v>
      </c>
      <c r="Q127" s="110">
        <v>1058674.6947494582</v>
      </c>
    </row>
    <row r="128" spans="11:17" x14ac:dyDescent="0.25">
      <c r="K128" s="229">
        <f t="shared" si="1"/>
        <v>0</v>
      </c>
      <c r="M128" s="25">
        <v>107</v>
      </c>
      <c r="N128" s="110">
        <v>2020138.9629498124</v>
      </c>
      <c r="P128" s="25">
        <v>107</v>
      </c>
      <c r="Q128" s="110">
        <v>2584558.9104309725</v>
      </c>
    </row>
    <row r="129" spans="11:17" x14ac:dyDescent="0.25">
      <c r="K129" s="229">
        <f t="shared" si="1"/>
        <v>1</v>
      </c>
      <c r="M129" s="25">
        <v>108</v>
      </c>
      <c r="N129" s="110">
        <v>2151689.7060011467</v>
      </c>
      <c r="P129" s="25">
        <v>108</v>
      </c>
      <c r="Q129" s="110">
        <v>2060790.93757574</v>
      </c>
    </row>
    <row r="130" spans="11:17" x14ac:dyDescent="0.25">
      <c r="K130" s="229">
        <f t="shared" si="1"/>
        <v>1</v>
      </c>
      <c r="M130" s="25">
        <v>109</v>
      </c>
      <c r="N130" s="110">
        <v>2543045.4598285677</v>
      </c>
      <c r="P130" s="25">
        <v>109</v>
      </c>
      <c r="Q130" s="110">
        <v>1662881.53949807</v>
      </c>
    </row>
    <row r="131" spans="11:17" x14ac:dyDescent="0.25">
      <c r="K131" s="229">
        <f t="shared" si="1"/>
        <v>1</v>
      </c>
      <c r="M131" s="25">
        <v>110</v>
      </c>
      <c r="N131" s="110">
        <v>2097234.8138855463</v>
      </c>
      <c r="P131" s="25">
        <v>110</v>
      </c>
      <c r="Q131" s="110">
        <v>752491.75749322632</v>
      </c>
    </row>
    <row r="132" spans="11:17" x14ac:dyDescent="0.25">
      <c r="K132" s="229">
        <f t="shared" si="1"/>
        <v>1</v>
      </c>
      <c r="M132" s="25">
        <v>111</v>
      </c>
      <c r="N132" s="110">
        <v>2698584.6811223323</v>
      </c>
      <c r="P132" s="25">
        <v>111</v>
      </c>
      <c r="Q132" s="110">
        <v>1486772.1462665326</v>
      </c>
    </row>
    <row r="133" spans="11:17" x14ac:dyDescent="0.25">
      <c r="K133" s="229">
        <f t="shared" si="1"/>
        <v>1</v>
      </c>
      <c r="M133" s="25">
        <v>112</v>
      </c>
      <c r="N133" s="110">
        <v>2105415.6990120732</v>
      </c>
      <c r="P133" s="25">
        <v>112</v>
      </c>
      <c r="Q133" s="110">
        <v>1671727.435757441</v>
      </c>
    </row>
    <row r="134" spans="11:17" x14ac:dyDescent="0.25">
      <c r="K134" s="229">
        <f t="shared" si="1"/>
        <v>1</v>
      </c>
      <c r="M134" s="25">
        <v>113</v>
      </c>
      <c r="N134" s="110">
        <v>2225243.4504749328</v>
      </c>
      <c r="P134" s="25">
        <v>113</v>
      </c>
      <c r="Q134" s="110">
        <v>632666.47743371013</v>
      </c>
    </row>
    <row r="135" spans="11:17" x14ac:dyDescent="0.25">
      <c r="K135" s="229">
        <f t="shared" si="1"/>
        <v>1</v>
      </c>
      <c r="M135" s="25">
        <v>114</v>
      </c>
      <c r="N135" s="110">
        <v>2579874.4076123945</v>
      </c>
      <c r="P135" s="25">
        <v>114</v>
      </c>
      <c r="Q135" s="110">
        <v>2410540.5052345535</v>
      </c>
    </row>
    <row r="136" spans="11:17" x14ac:dyDescent="0.25">
      <c r="K136" s="229">
        <f t="shared" si="1"/>
        <v>1</v>
      </c>
      <c r="M136" s="25">
        <v>115</v>
      </c>
      <c r="N136" s="110">
        <v>2261840.4533725567</v>
      </c>
      <c r="P136" s="25">
        <v>115</v>
      </c>
      <c r="Q136" s="110">
        <v>1545636.0538638516</v>
      </c>
    </row>
    <row r="137" spans="11:17" x14ac:dyDescent="0.25">
      <c r="K137" s="229">
        <f t="shared" si="1"/>
        <v>1</v>
      </c>
      <c r="M137" s="25">
        <v>116</v>
      </c>
      <c r="N137" s="110">
        <v>2272732.3637674372</v>
      </c>
      <c r="P137" s="25">
        <v>116</v>
      </c>
      <c r="Q137" s="110">
        <v>1734652.8156978828</v>
      </c>
    </row>
    <row r="138" spans="11:17" x14ac:dyDescent="0.25">
      <c r="K138" s="229">
        <f t="shared" si="1"/>
        <v>1</v>
      </c>
      <c r="M138" s="25">
        <v>117</v>
      </c>
      <c r="N138" s="110">
        <v>2110822.5709580611</v>
      </c>
      <c r="P138" s="25">
        <v>117</v>
      </c>
      <c r="Q138" s="110">
        <v>1438641.0522539504</v>
      </c>
    </row>
    <row r="139" spans="11:17" x14ac:dyDescent="0.25">
      <c r="K139" s="229">
        <f t="shared" si="1"/>
        <v>1</v>
      </c>
      <c r="M139" s="25">
        <v>118</v>
      </c>
      <c r="N139" s="110">
        <v>2243201.750703508</v>
      </c>
      <c r="P139" s="25">
        <v>118</v>
      </c>
      <c r="Q139" s="110">
        <v>1436750.8587800083</v>
      </c>
    </row>
    <row r="140" spans="11:17" x14ac:dyDescent="0.25">
      <c r="K140" s="229">
        <f t="shared" si="1"/>
        <v>1</v>
      </c>
      <c r="M140" s="25">
        <v>119</v>
      </c>
      <c r="N140" s="110">
        <v>2502546.7508040369</v>
      </c>
      <c r="P140" s="25">
        <v>119</v>
      </c>
      <c r="Q140" s="110">
        <v>1010670.4045826447</v>
      </c>
    </row>
    <row r="141" spans="11:17" x14ac:dyDescent="0.25">
      <c r="K141" s="229">
        <f t="shared" si="1"/>
        <v>1</v>
      </c>
      <c r="M141" s="25">
        <v>120</v>
      </c>
      <c r="N141" s="110">
        <v>2367979.7803987148</v>
      </c>
      <c r="P141" s="25">
        <v>120</v>
      </c>
      <c r="Q141" s="110">
        <v>1144741.2939845764</v>
      </c>
    </row>
    <row r="142" spans="11:17" x14ac:dyDescent="0.25">
      <c r="K142" s="229">
        <f t="shared" si="1"/>
        <v>1</v>
      </c>
      <c r="M142" s="25">
        <v>121</v>
      </c>
      <c r="N142" s="110">
        <v>2490677.1739011598</v>
      </c>
      <c r="P142" s="25">
        <v>121</v>
      </c>
      <c r="Q142" s="110">
        <v>1233459.0830180091</v>
      </c>
    </row>
    <row r="143" spans="11:17" x14ac:dyDescent="0.25">
      <c r="K143" s="229">
        <f t="shared" si="1"/>
        <v>1</v>
      </c>
      <c r="M143" s="25">
        <v>122</v>
      </c>
      <c r="N143" s="110">
        <v>2399873.5560114738</v>
      </c>
      <c r="P143" s="25">
        <v>122</v>
      </c>
      <c r="Q143" s="110">
        <v>1375678.8347026026</v>
      </c>
    </row>
    <row r="144" spans="11:17" x14ac:dyDescent="0.25">
      <c r="K144" s="229">
        <f t="shared" si="1"/>
        <v>1</v>
      </c>
      <c r="M144" s="25">
        <v>123</v>
      </c>
      <c r="N144" s="110">
        <v>2121353.5423053796</v>
      </c>
      <c r="P144" s="25">
        <v>123</v>
      </c>
      <c r="Q144" s="110">
        <v>509475.38845611719</v>
      </c>
    </row>
    <row r="145" spans="11:17" x14ac:dyDescent="0.25">
      <c r="K145" s="229">
        <f t="shared" si="1"/>
        <v>1</v>
      </c>
      <c r="M145" s="25">
        <v>124</v>
      </c>
      <c r="N145" s="110">
        <v>2292863.0446347073</v>
      </c>
      <c r="P145" s="25">
        <v>124</v>
      </c>
      <c r="Q145" s="110">
        <v>1566621.460392769</v>
      </c>
    </row>
    <row r="146" spans="11:17" x14ac:dyDescent="0.25">
      <c r="K146" s="229">
        <f t="shared" si="1"/>
        <v>1</v>
      </c>
      <c r="M146" s="25">
        <v>125</v>
      </c>
      <c r="N146" s="110">
        <v>2323725.5566118322</v>
      </c>
      <c r="P146" s="25">
        <v>125</v>
      </c>
      <c r="Q146" s="110">
        <v>411305.07116859249</v>
      </c>
    </row>
    <row r="147" spans="11:17" x14ac:dyDescent="0.25">
      <c r="K147" s="229">
        <f t="shared" si="1"/>
        <v>1</v>
      </c>
      <c r="M147" s="25">
        <v>126</v>
      </c>
      <c r="N147" s="110">
        <v>2236070.2000867021</v>
      </c>
      <c r="P147" s="25">
        <v>126</v>
      </c>
      <c r="Q147" s="110">
        <v>1416130.2395696559</v>
      </c>
    </row>
    <row r="148" spans="11:17" x14ac:dyDescent="0.25">
      <c r="K148" s="229">
        <f t="shared" si="1"/>
        <v>1</v>
      </c>
      <c r="M148" s="25">
        <v>127</v>
      </c>
      <c r="N148" s="110">
        <v>2154492.6345450538</v>
      </c>
      <c r="P148" s="25">
        <v>127</v>
      </c>
      <c r="Q148" s="110">
        <v>1120458.5074936145</v>
      </c>
    </row>
    <row r="149" spans="11:17" x14ac:dyDescent="0.25">
      <c r="K149" s="229">
        <f t="shared" si="1"/>
        <v>1</v>
      </c>
      <c r="M149" s="25">
        <v>128</v>
      </c>
      <c r="N149" s="110">
        <v>2515867.5242393212</v>
      </c>
      <c r="P149" s="25">
        <v>128</v>
      </c>
      <c r="Q149" s="110">
        <v>480289.453428176</v>
      </c>
    </row>
    <row r="150" spans="11:17" x14ac:dyDescent="0.25">
      <c r="K150" s="229">
        <f t="shared" si="1"/>
        <v>0</v>
      </c>
      <c r="M150" s="25">
        <v>129</v>
      </c>
      <c r="N150" s="110">
        <v>2208306.1064064354</v>
      </c>
      <c r="P150" s="25">
        <v>129</v>
      </c>
      <c r="Q150" s="110">
        <v>2232303.6167357839</v>
      </c>
    </row>
    <row r="151" spans="11:17" x14ac:dyDescent="0.25">
      <c r="K151" s="229">
        <f t="shared" ref="K151:K214" si="2">IF(N151&gt;Q151,1,0)</f>
        <v>1</v>
      </c>
      <c r="M151" s="25">
        <v>130</v>
      </c>
      <c r="N151" s="110">
        <v>2051174.0291165318</v>
      </c>
      <c r="P151" s="25">
        <v>130</v>
      </c>
      <c r="Q151" s="110">
        <v>915339.31996952381</v>
      </c>
    </row>
    <row r="152" spans="11:17" x14ac:dyDescent="0.25">
      <c r="K152" s="229">
        <f t="shared" si="2"/>
        <v>1</v>
      </c>
      <c r="M152" s="25">
        <v>131</v>
      </c>
      <c r="N152" s="110">
        <v>2145992.9122600784</v>
      </c>
      <c r="P152" s="25">
        <v>131</v>
      </c>
      <c r="Q152" s="110">
        <v>2135830.4138538409</v>
      </c>
    </row>
    <row r="153" spans="11:17" x14ac:dyDescent="0.25">
      <c r="K153" s="229">
        <f t="shared" si="2"/>
        <v>1</v>
      </c>
      <c r="M153" s="25">
        <v>132</v>
      </c>
      <c r="N153" s="110">
        <v>2130937.7559209089</v>
      </c>
      <c r="P153" s="25">
        <v>132</v>
      </c>
      <c r="Q153" s="110">
        <v>903671.60204622953</v>
      </c>
    </row>
    <row r="154" spans="11:17" x14ac:dyDescent="0.25">
      <c r="K154" s="229">
        <f t="shared" si="2"/>
        <v>1</v>
      </c>
      <c r="M154" s="25">
        <v>133</v>
      </c>
      <c r="N154" s="110">
        <v>2621743.7162500503</v>
      </c>
      <c r="P154" s="25">
        <v>133</v>
      </c>
      <c r="Q154" s="110">
        <v>2074629.7807956073</v>
      </c>
    </row>
    <row r="155" spans="11:17" x14ac:dyDescent="0.25">
      <c r="K155" s="229">
        <f t="shared" si="2"/>
        <v>1</v>
      </c>
      <c r="M155" s="25">
        <v>134</v>
      </c>
      <c r="N155" s="110">
        <v>2458225.5395189915</v>
      </c>
      <c r="P155" s="25">
        <v>134</v>
      </c>
      <c r="Q155" s="110">
        <v>2224851.1013159025</v>
      </c>
    </row>
    <row r="156" spans="11:17" x14ac:dyDescent="0.25">
      <c r="K156" s="229">
        <f t="shared" si="2"/>
        <v>1</v>
      </c>
      <c r="M156" s="25">
        <v>135</v>
      </c>
      <c r="N156" s="110">
        <v>2260812.4461479844</v>
      </c>
      <c r="P156" s="25">
        <v>135</v>
      </c>
      <c r="Q156" s="110">
        <v>563312.1229738394</v>
      </c>
    </row>
    <row r="157" spans="11:17" x14ac:dyDescent="0.25">
      <c r="K157" s="229">
        <f t="shared" si="2"/>
        <v>1</v>
      </c>
      <c r="M157" s="25">
        <v>136</v>
      </c>
      <c r="N157" s="110">
        <v>2502838.3046621326</v>
      </c>
      <c r="P157" s="25">
        <v>136</v>
      </c>
      <c r="Q157" s="110">
        <v>1944456.221819422</v>
      </c>
    </row>
    <row r="158" spans="11:17" x14ac:dyDescent="0.25">
      <c r="K158" s="229">
        <f t="shared" si="2"/>
        <v>1</v>
      </c>
      <c r="M158" s="25">
        <v>137</v>
      </c>
      <c r="N158" s="110">
        <v>2212116.6962236511</v>
      </c>
      <c r="P158" s="25">
        <v>137</v>
      </c>
      <c r="Q158" s="110">
        <v>686852.92747160932</v>
      </c>
    </row>
    <row r="159" spans="11:17" x14ac:dyDescent="0.25">
      <c r="K159" s="229">
        <f t="shared" si="2"/>
        <v>1</v>
      </c>
      <c r="M159" s="25">
        <v>138</v>
      </c>
      <c r="N159" s="110">
        <v>2281518.702439283</v>
      </c>
      <c r="P159" s="25">
        <v>138</v>
      </c>
      <c r="Q159" s="110">
        <v>1247680.9633082971</v>
      </c>
    </row>
    <row r="160" spans="11:17" x14ac:dyDescent="0.25">
      <c r="K160" s="229">
        <f t="shared" si="2"/>
        <v>0</v>
      </c>
      <c r="M160" s="25">
        <v>139</v>
      </c>
      <c r="N160" s="110">
        <v>2258191.3371108482</v>
      </c>
      <c r="P160" s="25">
        <v>139</v>
      </c>
      <c r="Q160" s="110">
        <v>2376503.8330193176</v>
      </c>
    </row>
    <row r="161" spans="11:17" x14ac:dyDescent="0.25">
      <c r="K161" s="229">
        <f t="shared" si="2"/>
        <v>1</v>
      </c>
      <c r="M161" s="25">
        <v>140</v>
      </c>
      <c r="N161" s="110">
        <v>2209100.7750256439</v>
      </c>
      <c r="P161" s="25">
        <v>140</v>
      </c>
      <c r="Q161" s="110">
        <v>1436851.619548985</v>
      </c>
    </row>
    <row r="162" spans="11:17" x14ac:dyDescent="0.25">
      <c r="K162" s="229">
        <f t="shared" si="2"/>
        <v>1</v>
      </c>
      <c r="M162" s="25">
        <v>141</v>
      </c>
      <c r="N162" s="110">
        <v>2289936.9759773565</v>
      </c>
      <c r="P162" s="25">
        <v>141</v>
      </c>
      <c r="Q162" s="110">
        <v>2019432.4693316582</v>
      </c>
    </row>
    <row r="163" spans="11:17" x14ac:dyDescent="0.25">
      <c r="K163" s="229">
        <f t="shared" si="2"/>
        <v>1</v>
      </c>
      <c r="M163" s="25">
        <v>142</v>
      </c>
      <c r="N163" s="110">
        <v>2264750.2393771354</v>
      </c>
      <c r="P163" s="25">
        <v>142</v>
      </c>
      <c r="Q163" s="110">
        <v>901879.72393800446</v>
      </c>
    </row>
    <row r="164" spans="11:17" x14ac:dyDescent="0.25">
      <c r="K164" s="229">
        <f t="shared" si="2"/>
        <v>1</v>
      </c>
      <c r="M164" s="25">
        <v>143</v>
      </c>
      <c r="N164" s="110">
        <v>2244223.0203442518</v>
      </c>
      <c r="P164" s="25">
        <v>143</v>
      </c>
      <c r="Q164" s="110">
        <v>1141034.8037075298</v>
      </c>
    </row>
    <row r="165" spans="11:17" x14ac:dyDescent="0.25">
      <c r="K165" s="229">
        <f t="shared" si="2"/>
        <v>0</v>
      </c>
      <c r="M165" s="25">
        <v>144</v>
      </c>
      <c r="N165" s="110">
        <v>2522441.6256898879</v>
      </c>
      <c r="P165" s="25">
        <v>144</v>
      </c>
      <c r="Q165" s="110">
        <v>2692083.4076979975</v>
      </c>
    </row>
    <row r="166" spans="11:17" x14ac:dyDescent="0.25">
      <c r="K166" s="229">
        <f t="shared" si="2"/>
        <v>1</v>
      </c>
      <c r="M166" s="25">
        <v>145</v>
      </c>
      <c r="N166" s="110">
        <v>2401574.922958775</v>
      </c>
      <c r="P166" s="25">
        <v>145</v>
      </c>
      <c r="Q166" s="110">
        <v>1514891.3446440368</v>
      </c>
    </row>
    <row r="167" spans="11:17" x14ac:dyDescent="0.25">
      <c r="K167" s="229">
        <f t="shared" si="2"/>
        <v>1</v>
      </c>
      <c r="M167" s="25">
        <v>146</v>
      </c>
      <c r="N167" s="110">
        <v>2520101.6848033215</v>
      </c>
      <c r="P167" s="25">
        <v>146</v>
      </c>
      <c r="Q167" s="110">
        <v>975399.38485582371</v>
      </c>
    </row>
    <row r="168" spans="11:17" x14ac:dyDescent="0.25">
      <c r="K168" s="229">
        <f t="shared" si="2"/>
        <v>1</v>
      </c>
      <c r="M168" s="25">
        <v>147</v>
      </c>
      <c r="N168" s="110">
        <v>2145886.7363771591</v>
      </c>
      <c r="P168" s="25">
        <v>147</v>
      </c>
      <c r="Q168" s="110">
        <v>2040737.6248796103</v>
      </c>
    </row>
    <row r="169" spans="11:17" x14ac:dyDescent="0.25">
      <c r="K169" s="229">
        <f t="shared" si="2"/>
        <v>1</v>
      </c>
      <c r="M169" s="25">
        <v>148</v>
      </c>
      <c r="N169" s="110">
        <v>2271174.3450113069</v>
      </c>
      <c r="P169" s="25">
        <v>148</v>
      </c>
      <c r="Q169" s="110">
        <v>1214794.6912341961</v>
      </c>
    </row>
    <row r="170" spans="11:17" x14ac:dyDescent="0.25">
      <c r="K170" s="229">
        <f t="shared" si="2"/>
        <v>1</v>
      </c>
      <c r="M170" s="25">
        <v>149</v>
      </c>
      <c r="N170" s="110">
        <v>2293486.7979772752</v>
      </c>
      <c r="P170" s="25">
        <v>149</v>
      </c>
      <c r="Q170" s="110">
        <v>1915275.0028604472</v>
      </c>
    </row>
    <row r="171" spans="11:17" x14ac:dyDescent="0.25">
      <c r="K171" s="229">
        <f t="shared" si="2"/>
        <v>0</v>
      </c>
      <c r="M171" s="25">
        <v>150</v>
      </c>
      <c r="N171" s="110">
        <v>2167639.379932649</v>
      </c>
      <c r="P171" s="25">
        <v>150</v>
      </c>
      <c r="Q171" s="110">
        <v>3053709.9604061763</v>
      </c>
    </row>
    <row r="172" spans="11:17" x14ac:dyDescent="0.25">
      <c r="K172" s="229">
        <f t="shared" si="2"/>
        <v>1</v>
      </c>
      <c r="M172" s="25">
        <v>151</v>
      </c>
      <c r="N172" s="110">
        <v>2512909.1687333523</v>
      </c>
      <c r="P172" s="25">
        <v>151</v>
      </c>
      <c r="Q172" s="110">
        <v>851055.90316302073</v>
      </c>
    </row>
    <row r="173" spans="11:17" x14ac:dyDescent="0.25">
      <c r="K173" s="229">
        <f t="shared" si="2"/>
        <v>1</v>
      </c>
      <c r="M173" s="25">
        <v>152</v>
      </c>
      <c r="N173" s="110">
        <v>2201531.7524733478</v>
      </c>
      <c r="P173" s="25">
        <v>152</v>
      </c>
      <c r="Q173" s="110">
        <v>1032935.9676722287</v>
      </c>
    </row>
    <row r="174" spans="11:17" x14ac:dyDescent="0.25">
      <c r="K174" s="229">
        <f t="shared" si="2"/>
        <v>0</v>
      </c>
      <c r="M174" s="25">
        <v>153</v>
      </c>
      <c r="N174" s="110">
        <v>2224074.0163269844</v>
      </c>
      <c r="P174" s="25">
        <v>153</v>
      </c>
      <c r="Q174" s="110">
        <v>5518199.4913158258</v>
      </c>
    </row>
    <row r="175" spans="11:17" x14ac:dyDescent="0.25">
      <c r="K175" s="229">
        <f t="shared" si="2"/>
        <v>1</v>
      </c>
      <c r="M175" s="25">
        <v>154</v>
      </c>
      <c r="N175" s="110">
        <v>2246913.1947785304</v>
      </c>
      <c r="P175" s="25">
        <v>154</v>
      </c>
      <c r="Q175" s="110">
        <v>583038.130250699</v>
      </c>
    </row>
    <row r="176" spans="11:17" x14ac:dyDescent="0.25">
      <c r="K176" s="229">
        <f t="shared" si="2"/>
        <v>1</v>
      </c>
      <c r="M176" s="25">
        <v>155</v>
      </c>
      <c r="N176" s="110">
        <v>2370919.4429946314</v>
      </c>
      <c r="P176" s="25">
        <v>155</v>
      </c>
      <c r="Q176" s="110">
        <v>1441376.5105845933</v>
      </c>
    </row>
    <row r="177" spans="11:17" x14ac:dyDescent="0.25">
      <c r="K177" s="229">
        <f t="shared" si="2"/>
        <v>1</v>
      </c>
      <c r="M177" s="25">
        <v>156</v>
      </c>
      <c r="N177" s="110">
        <v>2243261.4410233162</v>
      </c>
      <c r="P177" s="25">
        <v>156</v>
      </c>
      <c r="Q177" s="110">
        <v>2133537.4125187327</v>
      </c>
    </row>
    <row r="178" spans="11:17" x14ac:dyDescent="0.25">
      <c r="K178" s="229">
        <f t="shared" si="2"/>
        <v>0</v>
      </c>
      <c r="M178" s="25">
        <v>157</v>
      </c>
      <c r="N178" s="110">
        <v>2065058.5053036883</v>
      </c>
      <c r="P178" s="25">
        <v>157</v>
      </c>
      <c r="Q178" s="110">
        <v>2549354.3474639188</v>
      </c>
    </row>
    <row r="179" spans="11:17" x14ac:dyDescent="0.25">
      <c r="K179" s="229">
        <f t="shared" si="2"/>
        <v>1</v>
      </c>
      <c r="M179" s="25">
        <v>158</v>
      </c>
      <c r="N179" s="110">
        <v>2232143.0871483786</v>
      </c>
      <c r="P179" s="25">
        <v>158</v>
      </c>
      <c r="Q179" s="110">
        <v>675516.80444065179</v>
      </c>
    </row>
    <row r="180" spans="11:17" x14ac:dyDescent="0.25">
      <c r="K180" s="229">
        <f t="shared" si="2"/>
        <v>1</v>
      </c>
      <c r="M180" s="25">
        <v>159</v>
      </c>
      <c r="N180" s="110">
        <v>2298134.5015087537</v>
      </c>
      <c r="P180" s="25">
        <v>159</v>
      </c>
      <c r="Q180" s="110">
        <v>874212.59634861443</v>
      </c>
    </row>
    <row r="181" spans="11:17" x14ac:dyDescent="0.25">
      <c r="K181" s="229">
        <f t="shared" si="2"/>
        <v>1</v>
      </c>
      <c r="M181" s="25">
        <v>160</v>
      </c>
      <c r="N181" s="110">
        <v>2269203.1140594524</v>
      </c>
      <c r="P181" s="25">
        <v>160</v>
      </c>
      <c r="Q181" s="110">
        <v>1438730.7390454691</v>
      </c>
    </row>
    <row r="182" spans="11:17" x14ac:dyDescent="0.25">
      <c r="K182" s="229">
        <f t="shared" si="2"/>
        <v>0</v>
      </c>
      <c r="M182" s="25">
        <v>161</v>
      </c>
      <c r="N182" s="110">
        <v>2562278.1030739355</v>
      </c>
      <c r="P182" s="25">
        <v>161</v>
      </c>
      <c r="Q182" s="110">
        <v>4450907.1599781578</v>
      </c>
    </row>
    <row r="183" spans="11:17" x14ac:dyDescent="0.25">
      <c r="K183" s="229">
        <f t="shared" si="2"/>
        <v>0</v>
      </c>
      <c r="M183" s="25">
        <v>162</v>
      </c>
      <c r="N183" s="110">
        <v>2490880.7591420435</v>
      </c>
      <c r="P183" s="25">
        <v>162</v>
      </c>
      <c r="Q183" s="110">
        <v>2711252.5099192797</v>
      </c>
    </row>
    <row r="184" spans="11:17" x14ac:dyDescent="0.25">
      <c r="K184" s="229">
        <f t="shared" si="2"/>
        <v>1</v>
      </c>
      <c r="M184" s="25">
        <v>163</v>
      </c>
      <c r="N184" s="110">
        <v>2442007.0120693049</v>
      </c>
      <c r="P184" s="25">
        <v>163</v>
      </c>
      <c r="Q184" s="110">
        <v>1165909.9980446026</v>
      </c>
    </row>
    <row r="185" spans="11:17" x14ac:dyDescent="0.25">
      <c r="K185" s="229">
        <f t="shared" si="2"/>
        <v>1</v>
      </c>
      <c r="M185" s="25">
        <v>164</v>
      </c>
      <c r="N185" s="110">
        <v>2268991.5428042132</v>
      </c>
      <c r="P185" s="25">
        <v>164</v>
      </c>
      <c r="Q185" s="110">
        <v>950308.36441179481</v>
      </c>
    </row>
    <row r="186" spans="11:17" x14ac:dyDescent="0.25">
      <c r="K186" s="229">
        <f t="shared" si="2"/>
        <v>0</v>
      </c>
      <c r="M186" s="25">
        <v>165</v>
      </c>
      <c r="N186" s="110">
        <v>2267391.6808961695</v>
      </c>
      <c r="P186" s="25">
        <v>165</v>
      </c>
      <c r="Q186" s="110">
        <v>3951944.5710958089</v>
      </c>
    </row>
    <row r="187" spans="11:17" x14ac:dyDescent="0.25">
      <c r="K187" s="229">
        <f t="shared" si="2"/>
        <v>1</v>
      </c>
      <c r="M187" s="25">
        <v>166</v>
      </c>
      <c r="N187" s="110">
        <v>2234666.4624474715</v>
      </c>
      <c r="P187" s="25">
        <v>166</v>
      </c>
      <c r="Q187" s="110">
        <v>1610858.6762540864</v>
      </c>
    </row>
    <row r="188" spans="11:17" x14ac:dyDescent="0.25">
      <c r="K188" s="229">
        <f t="shared" si="2"/>
        <v>1</v>
      </c>
      <c r="M188" s="25">
        <v>167</v>
      </c>
      <c r="N188" s="110">
        <v>2448465.4290674599</v>
      </c>
      <c r="P188" s="25">
        <v>167</v>
      </c>
      <c r="Q188" s="110">
        <v>2134907.5257027168</v>
      </c>
    </row>
    <row r="189" spans="11:17" x14ac:dyDescent="0.25">
      <c r="K189" s="229">
        <f t="shared" si="2"/>
        <v>1</v>
      </c>
      <c r="M189" s="25">
        <v>168</v>
      </c>
      <c r="N189" s="110">
        <v>2512311.0346121839</v>
      </c>
      <c r="P189" s="25">
        <v>168</v>
      </c>
      <c r="Q189" s="110">
        <v>1387650.0113827661</v>
      </c>
    </row>
    <row r="190" spans="11:17" x14ac:dyDescent="0.25">
      <c r="K190" s="229">
        <f t="shared" si="2"/>
        <v>1</v>
      </c>
      <c r="M190" s="25">
        <v>169</v>
      </c>
      <c r="N190" s="110">
        <v>2284725.9157482581</v>
      </c>
      <c r="P190" s="25">
        <v>169</v>
      </c>
      <c r="Q190" s="110">
        <v>215567.6030413757</v>
      </c>
    </row>
    <row r="191" spans="11:17" x14ac:dyDescent="0.25">
      <c r="K191" s="229">
        <f t="shared" si="2"/>
        <v>1</v>
      </c>
      <c r="M191" s="25">
        <v>170</v>
      </c>
      <c r="N191" s="110">
        <v>2264968.7072181599</v>
      </c>
      <c r="P191" s="25">
        <v>170</v>
      </c>
      <c r="Q191" s="110">
        <v>1151799.1211627417</v>
      </c>
    </row>
    <row r="192" spans="11:17" x14ac:dyDescent="0.25">
      <c r="K192" s="229">
        <f t="shared" si="2"/>
        <v>1</v>
      </c>
      <c r="M192" s="25">
        <v>171</v>
      </c>
      <c r="N192" s="110">
        <v>2164964.7847975278</v>
      </c>
      <c r="P192" s="25">
        <v>171</v>
      </c>
      <c r="Q192" s="110">
        <v>918776.74145129323</v>
      </c>
    </row>
    <row r="193" spans="11:17" x14ac:dyDescent="0.25">
      <c r="K193" s="229">
        <f t="shared" si="2"/>
        <v>0</v>
      </c>
      <c r="M193" s="25">
        <v>172</v>
      </c>
      <c r="N193" s="110">
        <v>2405012.0222696071</v>
      </c>
      <c r="P193" s="25">
        <v>172</v>
      </c>
      <c r="Q193" s="110">
        <v>3742666.9737881757</v>
      </c>
    </row>
    <row r="194" spans="11:17" x14ac:dyDescent="0.25">
      <c r="K194" s="229">
        <f t="shared" si="2"/>
        <v>1</v>
      </c>
      <c r="M194" s="25">
        <v>173</v>
      </c>
      <c r="N194" s="110">
        <v>2241774.7898448799</v>
      </c>
      <c r="P194" s="25">
        <v>173</v>
      </c>
      <c r="Q194" s="110">
        <v>334752.59035252267</v>
      </c>
    </row>
    <row r="195" spans="11:17" x14ac:dyDescent="0.25">
      <c r="K195" s="229">
        <f t="shared" si="2"/>
        <v>1</v>
      </c>
      <c r="M195" s="25">
        <v>174</v>
      </c>
      <c r="N195" s="110">
        <v>2044872.8070167685</v>
      </c>
      <c r="P195" s="25">
        <v>174</v>
      </c>
      <c r="Q195" s="110">
        <v>1587479.4602493029</v>
      </c>
    </row>
    <row r="196" spans="11:17" x14ac:dyDescent="0.25">
      <c r="K196" s="229">
        <f t="shared" si="2"/>
        <v>1</v>
      </c>
      <c r="M196" s="25">
        <v>175</v>
      </c>
      <c r="N196" s="110">
        <v>2392420.7636002451</v>
      </c>
      <c r="P196" s="25">
        <v>175</v>
      </c>
      <c r="Q196" s="110">
        <v>1021605.9160481698</v>
      </c>
    </row>
    <row r="197" spans="11:17" x14ac:dyDescent="0.25">
      <c r="K197" s="229">
        <f t="shared" si="2"/>
        <v>1</v>
      </c>
      <c r="M197" s="25">
        <v>176</v>
      </c>
      <c r="N197" s="110">
        <v>2216686.0239282576</v>
      </c>
      <c r="P197" s="25">
        <v>176</v>
      </c>
      <c r="Q197" s="110">
        <v>1368073.5503089677</v>
      </c>
    </row>
    <row r="198" spans="11:17" x14ac:dyDescent="0.25">
      <c r="K198" s="229">
        <f t="shared" si="2"/>
        <v>0</v>
      </c>
      <c r="M198" s="25">
        <v>177</v>
      </c>
      <c r="N198" s="110">
        <v>2332861.8182819216</v>
      </c>
      <c r="P198" s="25">
        <v>177</v>
      </c>
      <c r="Q198" s="110">
        <v>3736818.7299421839</v>
      </c>
    </row>
    <row r="199" spans="11:17" x14ac:dyDescent="0.25">
      <c r="K199" s="229">
        <f t="shared" si="2"/>
        <v>0</v>
      </c>
      <c r="M199" s="25">
        <v>178</v>
      </c>
      <c r="N199" s="110">
        <v>2407490.371147444</v>
      </c>
      <c r="P199" s="25">
        <v>178</v>
      </c>
      <c r="Q199" s="110">
        <v>5574996.928062072</v>
      </c>
    </row>
    <row r="200" spans="11:17" x14ac:dyDescent="0.25">
      <c r="K200" s="229">
        <f t="shared" si="2"/>
        <v>0</v>
      </c>
      <c r="M200" s="25">
        <v>179</v>
      </c>
      <c r="N200" s="110">
        <v>2395845.5607094076</v>
      </c>
      <c r="P200" s="25">
        <v>179</v>
      </c>
      <c r="Q200" s="110">
        <v>2723102.7205759655</v>
      </c>
    </row>
    <row r="201" spans="11:17" x14ac:dyDescent="0.25">
      <c r="K201" s="229">
        <f t="shared" si="2"/>
        <v>1</v>
      </c>
      <c r="M201" s="25">
        <v>180</v>
      </c>
      <c r="N201" s="110">
        <v>2291247.2794891596</v>
      </c>
      <c r="P201" s="25">
        <v>180</v>
      </c>
      <c r="Q201" s="110">
        <v>1559702.8943484533</v>
      </c>
    </row>
    <row r="202" spans="11:17" x14ac:dyDescent="0.25">
      <c r="K202" s="229">
        <f t="shared" si="2"/>
        <v>1</v>
      </c>
      <c r="M202" s="25">
        <v>181</v>
      </c>
      <c r="N202" s="110">
        <v>2138354.971723503</v>
      </c>
      <c r="P202" s="25">
        <v>181</v>
      </c>
      <c r="Q202" s="110">
        <v>1082228.9473350088</v>
      </c>
    </row>
    <row r="203" spans="11:17" x14ac:dyDescent="0.25">
      <c r="K203" s="229">
        <f t="shared" si="2"/>
        <v>1</v>
      </c>
      <c r="M203" s="25">
        <v>182</v>
      </c>
      <c r="N203" s="110">
        <v>2174100.9817925361</v>
      </c>
      <c r="P203" s="25">
        <v>182</v>
      </c>
      <c r="Q203" s="110">
        <v>449845.54029390326</v>
      </c>
    </row>
    <row r="204" spans="11:17" x14ac:dyDescent="0.25">
      <c r="K204" s="229">
        <f t="shared" si="2"/>
        <v>1</v>
      </c>
      <c r="M204" s="25">
        <v>183</v>
      </c>
      <c r="N204" s="110">
        <v>2267803.2846821118</v>
      </c>
      <c r="P204" s="25">
        <v>183</v>
      </c>
      <c r="Q204" s="110">
        <v>912365.44240290578</v>
      </c>
    </row>
    <row r="205" spans="11:17" x14ac:dyDescent="0.25">
      <c r="K205" s="229">
        <f t="shared" si="2"/>
        <v>1</v>
      </c>
      <c r="M205" s="25">
        <v>184</v>
      </c>
      <c r="N205" s="110">
        <v>2466060.9000871801</v>
      </c>
      <c r="P205" s="25">
        <v>184</v>
      </c>
      <c r="Q205" s="110">
        <v>1056977.1962695799</v>
      </c>
    </row>
    <row r="206" spans="11:17" x14ac:dyDescent="0.25">
      <c r="K206" s="229">
        <f t="shared" si="2"/>
        <v>0</v>
      </c>
      <c r="M206" s="25">
        <v>185</v>
      </c>
      <c r="N206" s="110">
        <v>2301129.7442591572</v>
      </c>
      <c r="P206" s="25">
        <v>185</v>
      </c>
      <c r="Q206" s="110">
        <v>3456962.3027446289</v>
      </c>
    </row>
    <row r="207" spans="11:17" x14ac:dyDescent="0.25">
      <c r="K207" s="229">
        <f t="shared" si="2"/>
        <v>1</v>
      </c>
      <c r="M207" s="25">
        <v>186</v>
      </c>
      <c r="N207" s="110">
        <v>2373377.1511580651</v>
      </c>
      <c r="P207" s="25">
        <v>186</v>
      </c>
      <c r="Q207" s="110">
        <v>911501.055594114</v>
      </c>
    </row>
    <row r="208" spans="11:17" x14ac:dyDescent="0.25">
      <c r="K208" s="229">
        <f t="shared" si="2"/>
        <v>1</v>
      </c>
      <c r="M208" s="25">
        <v>187</v>
      </c>
      <c r="N208" s="110">
        <v>2315179.9315901767</v>
      </c>
      <c r="P208" s="25">
        <v>187</v>
      </c>
      <c r="Q208" s="110">
        <v>664173.45806230162</v>
      </c>
    </row>
    <row r="209" spans="11:17" x14ac:dyDescent="0.25">
      <c r="K209" s="229">
        <f t="shared" si="2"/>
        <v>0</v>
      </c>
      <c r="M209" s="25">
        <v>188</v>
      </c>
      <c r="N209" s="110">
        <v>2215860.0419686027</v>
      </c>
      <c r="P209" s="25">
        <v>188</v>
      </c>
      <c r="Q209" s="110">
        <v>2831069.0904401662</v>
      </c>
    </row>
    <row r="210" spans="11:17" x14ac:dyDescent="0.25">
      <c r="K210" s="229">
        <f t="shared" si="2"/>
        <v>1</v>
      </c>
      <c r="M210" s="25">
        <v>189</v>
      </c>
      <c r="N210" s="110">
        <v>2252345.6667281846</v>
      </c>
      <c r="P210" s="25">
        <v>189</v>
      </c>
      <c r="Q210" s="110">
        <v>1613284.1542862745</v>
      </c>
    </row>
    <row r="211" spans="11:17" x14ac:dyDescent="0.25">
      <c r="K211" s="229">
        <f t="shared" si="2"/>
        <v>1</v>
      </c>
      <c r="M211" s="25">
        <v>190</v>
      </c>
      <c r="N211" s="110">
        <v>2224851.7229699451</v>
      </c>
      <c r="P211" s="25">
        <v>190</v>
      </c>
      <c r="Q211" s="110">
        <v>1820390.3601936526</v>
      </c>
    </row>
    <row r="212" spans="11:17" x14ac:dyDescent="0.25">
      <c r="K212" s="229">
        <f t="shared" si="2"/>
        <v>1</v>
      </c>
      <c r="M212" s="25">
        <v>191</v>
      </c>
      <c r="N212" s="110">
        <v>2223137.3497073622</v>
      </c>
      <c r="P212" s="25">
        <v>191</v>
      </c>
      <c r="Q212" s="110">
        <v>1887422.2422032068</v>
      </c>
    </row>
    <row r="213" spans="11:17" x14ac:dyDescent="0.25">
      <c r="K213" s="229">
        <f t="shared" si="2"/>
        <v>1</v>
      </c>
      <c r="M213" s="25">
        <v>192</v>
      </c>
      <c r="N213" s="110">
        <v>2116848.0158971264</v>
      </c>
      <c r="P213" s="25">
        <v>192</v>
      </c>
      <c r="Q213" s="110">
        <v>514637.50420271751</v>
      </c>
    </row>
    <row r="214" spans="11:17" x14ac:dyDescent="0.25">
      <c r="K214" s="229">
        <f t="shared" si="2"/>
        <v>1</v>
      </c>
      <c r="M214" s="25">
        <v>193</v>
      </c>
      <c r="N214" s="110">
        <v>2350926.7451205412</v>
      </c>
      <c r="P214" s="25">
        <v>193</v>
      </c>
      <c r="Q214" s="110">
        <v>1680357.3494824152</v>
      </c>
    </row>
    <row r="215" spans="11:17" x14ac:dyDescent="0.25">
      <c r="K215" s="229">
        <f t="shared" ref="K215:K271" si="3">IF(N215&gt;Q215,1,0)</f>
        <v>1</v>
      </c>
      <c r="M215" s="25">
        <v>194</v>
      </c>
      <c r="N215" s="110">
        <v>2251088.5373250516</v>
      </c>
      <c r="P215" s="25">
        <v>194</v>
      </c>
      <c r="Q215" s="110">
        <v>494940.9926634336</v>
      </c>
    </row>
    <row r="216" spans="11:17" x14ac:dyDescent="0.25">
      <c r="K216" s="229">
        <f t="shared" si="3"/>
        <v>0</v>
      </c>
      <c r="M216" s="25">
        <v>195</v>
      </c>
      <c r="N216" s="110">
        <v>2247158.4360393672</v>
      </c>
      <c r="P216" s="25">
        <v>195</v>
      </c>
      <c r="Q216" s="110">
        <v>4973309.6185008772</v>
      </c>
    </row>
    <row r="217" spans="11:17" x14ac:dyDescent="0.25">
      <c r="K217" s="229">
        <f t="shared" si="3"/>
        <v>1</v>
      </c>
      <c r="M217" s="25">
        <v>196</v>
      </c>
      <c r="N217" s="110">
        <v>2211415.3417143663</v>
      </c>
      <c r="P217" s="25">
        <v>196</v>
      </c>
      <c r="Q217" s="110">
        <v>1279287.045411227</v>
      </c>
    </row>
    <row r="218" spans="11:17" x14ac:dyDescent="0.25">
      <c r="K218" s="229">
        <f t="shared" si="3"/>
        <v>1</v>
      </c>
      <c r="M218" s="25">
        <v>197</v>
      </c>
      <c r="N218" s="110">
        <v>2388047.7323965668</v>
      </c>
      <c r="P218" s="25">
        <v>197</v>
      </c>
      <c r="Q218" s="110">
        <v>1226168.5640507513</v>
      </c>
    </row>
    <row r="219" spans="11:17" x14ac:dyDescent="0.25">
      <c r="K219" s="229">
        <f t="shared" si="3"/>
        <v>1</v>
      </c>
      <c r="M219" s="25">
        <v>198</v>
      </c>
      <c r="N219" s="110">
        <v>2440683.8950968701</v>
      </c>
      <c r="P219" s="25">
        <v>198</v>
      </c>
      <c r="Q219" s="110">
        <v>376526.78495585622</v>
      </c>
    </row>
    <row r="220" spans="11:17" x14ac:dyDescent="0.25">
      <c r="K220" s="229">
        <f t="shared" si="3"/>
        <v>1</v>
      </c>
      <c r="M220" s="25">
        <v>199</v>
      </c>
      <c r="N220" s="110">
        <v>2104991.7406477621</v>
      </c>
      <c r="P220" s="25">
        <v>199</v>
      </c>
      <c r="Q220" s="110">
        <v>859627.66073950042</v>
      </c>
    </row>
    <row r="221" spans="11:17" x14ac:dyDescent="0.25">
      <c r="K221" s="229">
        <f t="shared" si="3"/>
        <v>1</v>
      </c>
      <c r="M221" s="25">
        <v>200</v>
      </c>
      <c r="N221" s="110">
        <v>2175634.72861451</v>
      </c>
      <c r="P221" s="25">
        <v>200</v>
      </c>
      <c r="Q221" s="110">
        <v>829112.95560780063</v>
      </c>
    </row>
    <row r="222" spans="11:17" x14ac:dyDescent="0.25">
      <c r="K222" s="229">
        <f t="shared" si="3"/>
        <v>1</v>
      </c>
      <c r="M222" s="25">
        <v>201</v>
      </c>
      <c r="N222" s="110">
        <v>2045417.3069042806</v>
      </c>
      <c r="P222" s="25">
        <v>201</v>
      </c>
      <c r="Q222" s="110">
        <v>1381436.2462772075</v>
      </c>
    </row>
    <row r="223" spans="11:17" x14ac:dyDescent="0.25">
      <c r="K223" s="229">
        <f t="shared" si="3"/>
        <v>1</v>
      </c>
      <c r="M223" s="25">
        <v>202</v>
      </c>
      <c r="N223" s="110">
        <v>2177339.2548437645</v>
      </c>
      <c r="P223" s="25">
        <v>202</v>
      </c>
      <c r="Q223" s="110">
        <v>896473.59413449024</v>
      </c>
    </row>
    <row r="224" spans="11:17" x14ac:dyDescent="0.25">
      <c r="K224" s="229">
        <f t="shared" si="3"/>
        <v>1</v>
      </c>
      <c r="M224" s="25">
        <v>203</v>
      </c>
      <c r="N224" s="110">
        <v>2244400.1272334065</v>
      </c>
      <c r="P224" s="25">
        <v>203</v>
      </c>
      <c r="Q224" s="110">
        <v>1879952.9730550039</v>
      </c>
    </row>
    <row r="225" spans="11:17" x14ac:dyDescent="0.25">
      <c r="K225" s="229">
        <f t="shared" si="3"/>
        <v>0</v>
      </c>
      <c r="M225" s="25">
        <v>204</v>
      </c>
      <c r="N225" s="110">
        <v>2287494.0000624433</v>
      </c>
      <c r="P225" s="25">
        <v>204</v>
      </c>
      <c r="Q225" s="110">
        <v>2423798.3871696801</v>
      </c>
    </row>
    <row r="226" spans="11:17" x14ac:dyDescent="0.25">
      <c r="K226" s="229">
        <f t="shared" si="3"/>
        <v>1</v>
      </c>
      <c r="M226" s="25">
        <v>205</v>
      </c>
      <c r="N226" s="110">
        <v>2446436.8726994242</v>
      </c>
      <c r="P226" s="25">
        <v>205</v>
      </c>
      <c r="Q226" s="110">
        <v>2391155.3052111864</v>
      </c>
    </row>
    <row r="227" spans="11:17" x14ac:dyDescent="0.25">
      <c r="K227" s="229">
        <f t="shared" si="3"/>
        <v>1</v>
      </c>
      <c r="M227" s="25">
        <v>206</v>
      </c>
      <c r="N227" s="110">
        <v>2334142.6683211857</v>
      </c>
      <c r="P227" s="25">
        <v>206</v>
      </c>
      <c r="Q227" s="110">
        <v>1902284.4769702768</v>
      </c>
    </row>
    <row r="228" spans="11:17" x14ac:dyDescent="0.25">
      <c r="K228" s="229">
        <f t="shared" si="3"/>
        <v>1</v>
      </c>
      <c r="M228" s="25">
        <v>207</v>
      </c>
      <c r="N228" s="110">
        <v>2458848.959900178</v>
      </c>
      <c r="P228" s="25">
        <v>207</v>
      </c>
      <c r="Q228" s="110">
        <v>493425.2545539508</v>
      </c>
    </row>
    <row r="229" spans="11:17" x14ac:dyDescent="0.25">
      <c r="K229" s="229">
        <f t="shared" si="3"/>
        <v>1</v>
      </c>
      <c r="M229" s="25">
        <v>208</v>
      </c>
      <c r="N229" s="110">
        <v>2076723.4665251453</v>
      </c>
      <c r="P229" s="25">
        <v>208</v>
      </c>
      <c r="Q229" s="110">
        <v>1237096.4990027961</v>
      </c>
    </row>
    <row r="230" spans="11:17" x14ac:dyDescent="0.25">
      <c r="K230" s="229">
        <f t="shared" si="3"/>
        <v>0</v>
      </c>
      <c r="M230" s="25">
        <v>209</v>
      </c>
      <c r="N230" s="110">
        <v>2282068.8751403457</v>
      </c>
      <c r="P230" s="25">
        <v>209</v>
      </c>
      <c r="Q230" s="110">
        <v>2543365.8274901351</v>
      </c>
    </row>
    <row r="231" spans="11:17" x14ac:dyDescent="0.25">
      <c r="K231" s="229">
        <f t="shared" si="3"/>
        <v>0</v>
      </c>
      <c r="M231" s="25">
        <v>210</v>
      </c>
      <c r="N231" s="110">
        <v>2103954.5912988121</v>
      </c>
      <c r="P231" s="25">
        <v>210</v>
      </c>
      <c r="Q231" s="110">
        <v>2247212.7571491436</v>
      </c>
    </row>
    <row r="232" spans="11:17" x14ac:dyDescent="0.25">
      <c r="K232" s="229">
        <f t="shared" si="3"/>
        <v>1</v>
      </c>
      <c r="M232" s="25">
        <v>211</v>
      </c>
      <c r="N232" s="110">
        <v>2125785.494309538</v>
      </c>
      <c r="P232" s="25">
        <v>211</v>
      </c>
      <c r="Q232" s="110">
        <v>638636.48989633028</v>
      </c>
    </row>
    <row r="233" spans="11:17" x14ac:dyDescent="0.25">
      <c r="K233" s="229">
        <f t="shared" si="3"/>
        <v>1</v>
      </c>
      <c r="M233" s="25">
        <v>212</v>
      </c>
      <c r="N233" s="110">
        <v>2513247.9300547037</v>
      </c>
      <c r="P233" s="25">
        <v>212</v>
      </c>
      <c r="Q233" s="110">
        <v>1191741.7013087785</v>
      </c>
    </row>
    <row r="234" spans="11:17" x14ac:dyDescent="0.25">
      <c r="K234" s="229">
        <f t="shared" si="3"/>
        <v>1</v>
      </c>
      <c r="M234" s="25">
        <v>213</v>
      </c>
      <c r="N234" s="110">
        <v>2236731.8900127304</v>
      </c>
      <c r="P234" s="25">
        <v>213</v>
      </c>
      <c r="Q234" s="110">
        <v>719799.47145739419</v>
      </c>
    </row>
    <row r="235" spans="11:17" x14ac:dyDescent="0.25">
      <c r="K235" s="229">
        <f t="shared" si="3"/>
        <v>1</v>
      </c>
      <c r="M235" s="25">
        <v>214</v>
      </c>
      <c r="N235" s="110">
        <v>2232318.7007076149</v>
      </c>
      <c r="P235" s="25">
        <v>214</v>
      </c>
      <c r="Q235" s="110">
        <v>1761135.1794599269</v>
      </c>
    </row>
    <row r="236" spans="11:17" x14ac:dyDescent="0.25">
      <c r="K236" s="229">
        <f t="shared" si="3"/>
        <v>1</v>
      </c>
      <c r="M236" s="25">
        <v>215</v>
      </c>
      <c r="N236" s="110">
        <v>2059735.026491621</v>
      </c>
      <c r="P236" s="25">
        <v>215</v>
      </c>
      <c r="Q236" s="110">
        <v>575885.08973625663</v>
      </c>
    </row>
    <row r="237" spans="11:17" x14ac:dyDescent="0.25">
      <c r="K237" s="229">
        <f t="shared" si="3"/>
        <v>1</v>
      </c>
      <c r="M237" s="25">
        <v>216</v>
      </c>
      <c r="N237" s="110">
        <v>2225166.1795441047</v>
      </c>
      <c r="P237" s="25">
        <v>216</v>
      </c>
      <c r="Q237" s="110">
        <v>873516.84847473807</v>
      </c>
    </row>
    <row r="238" spans="11:17" x14ac:dyDescent="0.25">
      <c r="K238" s="229">
        <f t="shared" si="3"/>
        <v>1</v>
      </c>
      <c r="M238" s="25">
        <v>217</v>
      </c>
      <c r="N238" s="110">
        <v>2310919.4285069169</v>
      </c>
      <c r="P238" s="25">
        <v>217</v>
      </c>
      <c r="Q238" s="110">
        <v>1205855.2548894465</v>
      </c>
    </row>
    <row r="239" spans="11:17" x14ac:dyDescent="0.25">
      <c r="K239" s="229">
        <f t="shared" si="3"/>
        <v>1</v>
      </c>
      <c r="M239" s="25">
        <v>218</v>
      </c>
      <c r="N239" s="110">
        <v>2123636.7545306263</v>
      </c>
      <c r="P239" s="25">
        <v>218</v>
      </c>
      <c r="Q239" s="110">
        <v>1087800.1713186861</v>
      </c>
    </row>
    <row r="240" spans="11:17" x14ac:dyDescent="0.25">
      <c r="K240" s="229">
        <f t="shared" si="3"/>
        <v>1</v>
      </c>
      <c r="M240" s="25">
        <v>219</v>
      </c>
      <c r="N240" s="110">
        <v>2570343.1908424152</v>
      </c>
      <c r="P240" s="25">
        <v>219</v>
      </c>
      <c r="Q240" s="110">
        <v>725638.5370933119</v>
      </c>
    </row>
    <row r="241" spans="11:17" x14ac:dyDescent="0.25">
      <c r="K241" s="229">
        <f t="shared" si="3"/>
        <v>1</v>
      </c>
      <c r="M241" s="25">
        <v>220</v>
      </c>
      <c r="N241" s="110">
        <v>2323086.2031491115</v>
      </c>
      <c r="P241" s="25">
        <v>220</v>
      </c>
      <c r="Q241" s="110">
        <v>739840.56556505756</v>
      </c>
    </row>
    <row r="242" spans="11:17" x14ac:dyDescent="0.25">
      <c r="K242" s="229">
        <f t="shared" si="3"/>
        <v>1</v>
      </c>
      <c r="M242" s="25">
        <v>221</v>
      </c>
      <c r="N242" s="110">
        <v>2230747.4061877597</v>
      </c>
      <c r="P242" s="25">
        <v>221</v>
      </c>
      <c r="Q242" s="110">
        <v>2014411.7301753398</v>
      </c>
    </row>
    <row r="243" spans="11:17" x14ac:dyDescent="0.25">
      <c r="K243" s="229">
        <f t="shared" si="3"/>
        <v>0</v>
      </c>
      <c r="M243" s="25">
        <v>222</v>
      </c>
      <c r="N243" s="110">
        <v>2435822.9207187817</v>
      </c>
      <c r="P243" s="25">
        <v>222</v>
      </c>
      <c r="Q243" s="110">
        <v>2466894.4824376279</v>
      </c>
    </row>
    <row r="244" spans="11:17" x14ac:dyDescent="0.25">
      <c r="K244" s="229">
        <f t="shared" si="3"/>
        <v>1</v>
      </c>
      <c r="M244" s="25">
        <v>223</v>
      </c>
      <c r="N244" s="110">
        <v>2104729.7542695352</v>
      </c>
      <c r="P244" s="25">
        <v>223</v>
      </c>
      <c r="Q244" s="110">
        <v>1438501.6459241037</v>
      </c>
    </row>
    <row r="245" spans="11:17" x14ac:dyDescent="0.25">
      <c r="K245" s="229">
        <f t="shared" si="3"/>
        <v>0</v>
      </c>
      <c r="M245" s="25">
        <v>224</v>
      </c>
      <c r="N245" s="110">
        <v>2307385.6804942251</v>
      </c>
      <c r="P245" s="25">
        <v>224</v>
      </c>
      <c r="Q245" s="110">
        <v>2363632.5680953395</v>
      </c>
    </row>
    <row r="246" spans="11:17" x14ac:dyDescent="0.25">
      <c r="K246" s="229">
        <f t="shared" si="3"/>
        <v>1</v>
      </c>
      <c r="M246" s="25">
        <v>225</v>
      </c>
      <c r="N246" s="110">
        <v>2234460.5987981949</v>
      </c>
      <c r="P246" s="25">
        <v>225</v>
      </c>
      <c r="Q246" s="110">
        <v>827067.88170470449</v>
      </c>
    </row>
    <row r="247" spans="11:17" x14ac:dyDescent="0.25">
      <c r="K247" s="229">
        <f t="shared" si="3"/>
        <v>1</v>
      </c>
      <c r="M247" s="25">
        <v>226</v>
      </c>
      <c r="N247" s="110">
        <v>2483889.7766439626</v>
      </c>
      <c r="P247" s="25">
        <v>226</v>
      </c>
      <c r="Q247" s="110">
        <v>1225673.569216782</v>
      </c>
    </row>
    <row r="248" spans="11:17" x14ac:dyDescent="0.25">
      <c r="K248" s="229">
        <f t="shared" si="3"/>
        <v>1</v>
      </c>
      <c r="M248" s="25">
        <v>227</v>
      </c>
      <c r="N248" s="110">
        <v>2360324.5988081191</v>
      </c>
      <c r="P248" s="25">
        <v>227</v>
      </c>
      <c r="Q248" s="110">
        <v>905971.45093620534</v>
      </c>
    </row>
    <row r="249" spans="11:17" x14ac:dyDescent="0.25">
      <c r="K249" s="229">
        <f t="shared" si="3"/>
        <v>1</v>
      </c>
      <c r="M249" s="25">
        <v>228</v>
      </c>
      <c r="N249" s="110">
        <v>2266384.9176522186</v>
      </c>
      <c r="P249" s="25">
        <v>228</v>
      </c>
      <c r="Q249" s="110">
        <v>811781.54447738722</v>
      </c>
    </row>
    <row r="250" spans="11:17" x14ac:dyDescent="0.25">
      <c r="K250" s="229">
        <f t="shared" si="3"/>
        <v>0</v>
      </c>
      <c r="M250" s="25">
        <v>229</v>
      </c>
      <c r="N250" s="110">
        <v>2273916.3634465598</v>
      </c>
      <c r="P250" s="25">
        <v>229</v>
      </c>
      <c r="Q250" s="110">
        <v>2891967.4415939711</v>
      </c>
    </row>
    <row r="251" spans="11:17" x14ac:dyDescent="0.25">
      <c r="K251" s="229">
        <f t="shared" si="3"/>
        <v>1</v>
      </c>
      <c r="M251" s="25">
        <v>230</v>
      </c>
      <c r="N251" s="110">
        <v>2340271.3300052662</v>
      </c>
      <c r="P251" s="25">
        <v>230</v>
      </c>
      <c r="Q251" s="110">
        <v>609552.58574039105</v>
      </c>
    </row>
    <row r="252" spans="11:17" x14ac:dyDescent="0.25">
      <c r="K252" s="229">
        <f t="shared" si="3"/>
        <v>1</v>
      </c>
      <c r="M252" s="25">
        <v>231</v>
      </c>
      <c r="N252" s="110">
        <v>2261715.8956045476</v>
      </c>
      <c r="P252" s="25">
        <v>231</v>
      </c>
      <c r="Q252" s="110">
        <v>622098.50191029382</v>
      </c>
    </row>
    <row r="253" spans="11:17" x14ac:dyDescent="0.25">
      <c r="K253" s="229">
        <f t="shared" si="3"/>
        <v>0</v>
      </c>
      <c r="M253" s="25">
        <v>232</v>
      </c>
      <c r="N253" s="110">
        <v>2236700.2278050585</v>
      </c>
      <c r="P253" s="25">
        <v>232</v>
      </c>
      <c r="Q253" s="110">
        <v>5486393.9558088211</v>
      </c>
    </row>
    <row r="254" spans="11:17" x14ac:dyDescent="0.25">
      <c r="K254" s="229">
        <f t="shared" si="3"/>
        <v>1</v>
      </c>
      <c r="M254" s="25">
        <v>233</v>
      </c>
      <c r="N254" s="110">
        <v>2320792.6656906479</v>
      </c>
      <c r="P254" s="25">
        <v>233</v>
      </c>
      <c r="Q254" s="110">
        <v>1577390.1876531916</v>
      </c>
    </row>
    <row r="255" spans="11:17" x14ac:dyDescent="0.25">
      <c r="K255" s="229">
        <f t="shared" si="3"/>
        <v>0</v>
      </c>
      <c r="M255" s="25">
        <v>234</v>
      </c>
      <c r="N255" s="110">
        <v>2266284.6178652672</v>
      </c>
      <c r="P255" s="25">
        <v>234</v>
      </c>
      <c r="Q255" s="110">
        <v>2575638.3310300983</v>
      </c>
    </row>
    <row r="256" spans="11:17" x14ac:dyDescent="0.25">
      <c r="K256" s="229">
        <f t="shared" si="3"/>
        <v>1</v>
      </c>
      <c r="M256" s="25">
        <v>235</v>
      </c>
      <c r="N256" s="110">
        <v>2202935.724179415</v>
      </c>
      <c r="P256" s="25">
        <v>235</v>
      </c>
      <c r="Q256" s="110">
        <v>1953126.5865024987</v>
      </c>
    </row>
    <row r="257" spans="11:17" x14ac:dyDescent="0.25">
      <c r="K257" s="229">
        <f t="shared" si="3"/>
        <v>1</v>
      </c>
      <c r="M257" s="25">
        <v>236</v>
      </c>
      <c r="N257" s="110">
        <v>2227610.7111391248</v>
      </c>
      <c r="P257" s="25">
        <v>236</v>
      </c>
      <c r="Q257" s="110">
        <v>1677201.3152800805</v>
      </c>
    </row>
    <row r="258" spans="11:17" x14ac:dyDescent="0.25">
      <c r="K258" s="229">
        <f t="shared" si="3"/>
        <v>1</v>
      </c>
      <c r="M258" s="25">
        <v>237</v>
      </c>
      <c r="N258" s="110">
        <v>2340157.1014782866</v>
      </c>
      <c r="P258" s="25">
        <v>237</v>
      </c>
      <c r="Q258" s="110">
        <v>789727.09327508742</v>
      </c>
    </row>
    <row r="259" spans="11:17" x14ac:dyDescent="0.25">
      <c r="K259" s="229">
        <f t="shared" si="3"/>
        <v>1</v>
      </c>
      <c r="M259" s="25">
        <v>238</v>
      </c>
      <c r="N259" s="110">
        <v>2353200.7697778102</v>
      </c>
      <c r="P259" s="25">
        <v>238</v>
      </c>
      <c r="Q259" s="110">
        <v>1790030.997083988</v>
      </c>
    </row>
    <row r="260" spans="11:17" x14ac:dyDescent="0.25">
      <c r="K260" s="229">
        <f t="shared" si="3"/>
        <v>1</v>
      </c>
      <c r="M260" s="25">
        <v>239</v>
      </c>
      <c r="N260" s="110">
        <v>2312334.6893690205</v>
      </c>
      <c r="P260" s="25">
        <v>239</v>
      </c>
      <c r="Q260" s="110">
        <v>313511.4486661962</v>
      </c>
    </row>
    <row r="261" spans="11:17" x14ac:dyDescent="0.25">
      <c r="K261" s="229">
        <f t="shared" si="3"/>
        <v>1</v>
      </c>
      <c r="M261" s="25">
        <v>240</v>
      </c>
      <c r="N261" s="110">
        <v>2418276.0404054886</v>
      </c>
      <c r="P261" s="25">
        <v>240</v>
      </c>
      <c r="Q261" s="110">
        <v>1038673.9925224793</v>
      </c>
    </row>
    <row r="262" spans="11:17" x14ac:dyDescent="0.25">
      <c r="K262" s="229">
        <f t="shared" si="3"/>
        <v>1</v>
      </c>
      <c r="M262" s="25">
        <v>241</v>
      </c>
      <c r="N262" s="110">
        <v>2367683.7920512995</v>
      </c>
      <c r="P262" s="25">
        <v>241</v>
      </c>
      <c r="Q262" s="110">
        <v>328889.41735201079</v>
      </c>
    </row>
    <row r="263" spans="11:17" x14ac:dyDescent="0.25">
      <c r="K263" s="229">
        <f t="shared" si="3"/>
        <v>1</v>
      </c>
      <c r="M263" s="25">
        <v>242</v>
      </c>
      <c r="N263" s="110">
        <v>2257330.5211625155</v>
      </c>
      <c r="P263" s="25">
        <v>242</v>
      </c>
      <c r="Q263" s="110">
        <v>1086509.9013846635</v>
      </c>
    </row>
    <row r="264" spans="11:17" x14ac:dyDescent="0.25">
      <c r="K264" s="229">
        <f t="shared" si="3"/>
        <v>0</v>
      </c>
      <c r="M264" s="25">
        <v>243</v>
      </c>
      <c r="N264" s="110">
        <v>2290733.1529295812</v>
      </c>
      <c r="P264" s="25">
        <v>243</v>
      </c>
      <c r="Q264" s="110">
        <v>4763108.7237585504</v>
      </c>
    </row>
    <row r="265" spans="11:17" x14ac:dyDescent="0.25">
      <c r="K265" s="229">
        <f t="shared" si="3"/>
        <v>0</v>
      </c>
      <c r="M265" s="25">
        <v>244</v>
      </c>
      <c r="N265" s="110">
        <v>2044389.9739245512</v>
      </c>
      <c r="P265" s="25">
        <v>244</v>
      </c>
      <c r="Q265" s="110">
        <v>2202366.2967214645</v>
      </c>
    </row>
    <row r="266" spans="11:17" x14ac:dyDescent="0.25">
      <c r="K266" s="229">
        <f t="shared" si="3"/>
        <v>0</v>
      </c>
      <c r="M266" s="25">
        <v>245</v>
      </c>
      <c r="N266" s="110">
        <v>2356004.7758829775</v>
      </c>
      <c r="P266" s="25">
        <v>245</v>
      </c>
      <c r="Q266" s="110">
        <v>2676623.8972953111</v>
      </c>
    </row>
    <row r="267" spans="11:17" x14ac:dyDescent="0.25">
      <c r="K267" s="229">
        <f t="shared" si="3"/>
        <v>1</v>
      </c>
      <c r="M267" s="25">
        <v>246</v>
      </c>
      <c r="N267" s="110">
        <v>2218781.3132877233</v>
      </c>
      <c r="P267" s="25">
        <v>246</v>
      </c>
      <c r="Q267" s="110">
        <v>2199229.3939417498</v>
      </c>
    </row>
    <row r="268" spans="11:17" x14ac:dyDescent="0.25">
      <c r="K268" s="229">
        <f t="shared" si="3"/>
        <v>1</v>
      </c>
      <c r="M268" s="25">
        <v>247</v>
      </c>
      <c r="N268" s="110">
        <v>2477882.6545686875</v>
      </c>
      <c r="P268" s="25">
        <v>247</v>
      </c>
      <c r="Q268" s="110">
        <v>2015953.5005161895</v>
      </c>
    </row>
    <row r="269" spans="11:17" x14ac:dyDescent="0.25">
      <c r="K269" s="229">
        <f t="shared" si="3"/>
        <v>1</v>
      </c>
      <c r="M269" s="25">
        <v>248</v>
      </c>
      <c r="N269" s="110">
        <v>2369249.5378434528</v>
      </c>
      <c r="P269" s="25">
        <v>248</v>
      </c>
      <c r="Q269" s="110">
        <v>425808.77232782624</v>
      </c>
    </row>
    <row r="270" spans="11:17" x14ac:dyDescent="0.25">
      <c r="K270" s="229">
        <f t="shared" si="3"/>
        <v>1</v>
      </c>
      <c r="M270" s="25">
        <v>249</v>
      </c>
      <c r="N270" s="110">
        <v>2257673.4108961541</v>
      </c>
      <c r="P270" s="25">
        <v>249</v>
      </c>
      <c r="Q270" s="110">
        <v>1569166.0672068582</v>
      </c>
    </row>
    <row r="271" spans="11:17" x14ac:dyDescent="0.25">
      <c r="K271" s="229">
        <f t="shared" si="3"/>
        <v>1</v>
      </c>
      <c r="M271" s="25">
        <v>250</v>
      </c>
      <c r="N271" s="110">
        <v>2209597.1840501078</v>
      </c>
      <c r="P271" s="25">
        <v>250</v>
      </c>
      <c r="Q271" s="110">
        <v>1519747.4070569796</v>
      </c>
    </row>
  </sheetData>
  <sheetProtection algorithmName="SHA-512" hashValue="lmrH81Hwl5svUgYuvQfTVta9dc5vMWFH+TkwSA3MSZZz0tS3rqZuNQ5D1xVC7cn6yH4KRCowrnrx4xptciVNHA==" saltValue="UDfyd3uaw69qB3CjQvHFvA==" spinCount="100000" sheet="1" objects="1" scenarios="1" formatCells="0" formatColumns="0" formatRows="0"/>
  <mergeCells count="4">
    <mergeCell ref="M20:N20"/>
    <mergeCell ref="P20:Q20"/>
    <mergeCell ref="B10:C10"/>
    <mergeCell ref="E10:F10"/>
  </mergeCells>
  <phoneticPr fontId="15" type="noConversion"/>
  <conditionalFormatting sqref="K22:K271">
    <cfRule type="cellIs" dxfId="1" priority="1" operator="greaterThan">
      <formula>0</formula>
    </cfRule>
  </conditionalFormatting>
  <pageMargins left="0.25" right="0.25" top="0.75" bottom="0.75" header="0.3" footer="0.3"/>
  <pageSetup scale="64" fitToHeight="0"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8DAFE-482E-4E94-9BEC-CD7AF2798265}">
  <dimension ref="A1:H12"/>
  <sheetViews>
    <sheetView workbookViewId="0">
      <selection activeCell="E6" sqref="E6"/>
    </sheetView>
  </sheetViews>
  <sheetFormatPr defaultRowHeight="13.2" x14ac:dyDescent="0.25"/>
  <cols>
    <col min="1" max="1" width="22.6640625" bestFit="1" customWidth="1"/>
    <col min="2" max="4" width="11.44140625" bestFit="1" customWidth="1"/>
    <col min="5" max="5" width="47.21875" bestFit="1" customWidth="1"/>
    <col min="6" max="6" width="11.44140625" bestFit="1" customWidth="1"/>
  </cols>
  <sheetData>
    <row r="1" spans="1:8" x14ac:dyDescent="0.25">
      <c r="A1" s="5" t="s">
        <v>223</v>
      </c>
      <c r="B1" s="7">
        <v>23963.15</v>
      </c>
      <c r="C1" s="1">
        <v>15000</v>
      </c>
      <c r="D1" s="1">
        <f>B1-C1</f>
        <v>8963.1500000000015</v>
      </c>
      <c r="E1" s="5" t="s">
        <v>224</v>
      </c>
      <c r="F1" s="7">
        <v>15000</v>
      </c>
    </row>
    <row r="2" spans="1:8" x14ac:dyDescent="0.25">
      <c r="A2" s="5" t="s">
        <v>225</v>
      </c>
      <c r="B2" s="7">
        <v>9202.5400000000009</v>
      </c>
      <c r="D2" s="109">
        <f>B2-C2</f>
        <v>9202.5400000000009</v>
      </c>
      <c r="E2" s="5" t="s">
        <v>226</v>
      </c>
      <c r="F2" s="7">
        <v>8963.15</v>
      </c>
    </row>
    <row r="3" spans="1:8" x14ac:dyDescent="0.25">
      <c r="A3" s="5" t="s">
        <v>227</v>
      </c>
      <c r="B3" s="7">
        <v>42930</v>
      </c>
      <c r="C3" s="1">
        <v>30000</v>
      </c>
      <c r="D3" s="1">
        <f t="shared" ref="D3" si="0">B3-C3</f>
        <v>12930</v>
      </c>
      <c r="E3" s="5" t="s">
        <v>228</v>
      </c>
      <c r="F3" s="7">
        <v>9202.5400000000009</v>
      </c>
    </row>
    <row r="4" spans="1:8" x14ac:dyDescent="0.25">
      <c r="A4" s="5" t="s">
        <v>229</v>
      </c>
      <c r="B4" s="107"/>
      <c r="E4" s="5" t="s">
        <v>230</v>
      </c>
      <c r="F4" s="7">
        <v>11834.31</v>
      </c>
    </row>
    <row r="5" spans="1:8" x14ac:dyDescent="0.25">
      <c r="B5" s="8">
        <f>SUM(B1:B3)</f>
        <v>76095.69</v>
      </c>
      <c r="F5" s="106">
        <f>SUM(F1:F4)</f>
        <v>45000</v>
      </c>
      <c r="H5" t="s">
        <v>231</v>
      </c>
    </row>
    <row r="6" spans="1:8" x14ac:dyDescent="0.25">
      <c r="H6" t="s">
        <v>232</v>
      </c>
    </row>
    <row r="7" spans="1:8" x14ac:dyDescent="0.25">
      <c r="A7" s="5" t="s">
        <v>233</v>
      </c>
      <c r="B7" s="7">
        <v>15000</v>
      </c>
      <c r="H7" t="s">
        <v>234</v>
      </c>
    </row>
    <row r="8" spans="1:8" x14ac:dyDescent="0.25">
      <c r="A8" s="5" t="s">
        <v>235</v>
      </c>
      <c r="B8" s="16">
        <v>30000</v>
      </c>
      <c r="H8" t="s">
        <v>236</v>
      </c>
    </row>
    <row r="9" spans="1:8" x14ac:dyDescent="0.25">
      <c r="B9" s="8">
        <f>SUM(B7:B8)</f>
        <v>45000</v>
      </c>
      <c r="H9" t="s">
        <v>237</v>
      </c>
    </row>
    <row r="10" spans="1:8" x14ac:dyDescent="0.25">
      <c r="H10" t="s">
        <v>238</v>
      </c>
    </row>
    <row r="11" spans="1:8" x14ac:dyDescent="0.25">
      <c r="B11" s="93">
        <f>B5-B9</f>
        <v>31095.690000000002</v>
      </c>
      <c r="E11" s="1">
        <f>D1+D2</f>
        <v>18165.690000000002</v>
      </c>
      <c r="H11" t="s">
        <v>239</v>
      </c>
    </row>
    <row r="12" spans="1:8" x14ac:dyDescent="0.25">
      <c r="H12" t="s">
        <v>240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07799-3AFF-4C55-8BD7-26454A2BC005}">
  <dimension ref="B1:AT361"/>
  <sheetViews>
    <sheetView topLeftCell="O1" zoomScale="85" zoomScaleNormal="85" workbookViewId="0">
      <pane ySplit="2" topLeftCell="A3" activePane="bottomLeft" state="frozen"/>
      <selection pane="bottomLeft" activeCell="Z3" sqref="Z3"/>
    </sheetView>
  </sheetViews>
  <sheetFormatPr defaultRowHeight="13.2" x14ac:dyDescent="0.25"/>
  <cols>
    <col min="1" max="1" width="3.109375" customWidth="1"/>
    <col min="2" max="2" width="35.6640625" customWidth="1"/>
    <col min="3" max="3" width="34.21875" bestFit="1" customWidth="1"/>
    <col min="4" max="4" width="18.109375" bestFit="1" customWidth="1"/>
    <col min="5" max="5" width="36.6640625" bestFit="1" customWidth="1"/>
    <col min="6" max="6" width="18.6640625" bestFit="1" customWidth="1"/>
    <col min="7" max="7" width="24" bestFit="1" customWidth="1"/>
    <col min="8" max="8" width="24" customWidth="1"/>
    <col min="9" max="9" width="6.6640625" customWidth="1"/>
    <col min="10" max="10" width="4.44140625" bestFit="1" customWidth="1"/>
    <col min="11" max="11" width="5.109375" bestFit="1" customWidth="1"/>
    <col min="12" max="12" width="10.109375" bestFit="1" customWidth="1"/>
    <col min="13" max="13" width="12.5546875" bestFit="1" customWidth="1"/>
    <col min="14" max="14" width="19.44140625" bestFit="1" customWidth="1"/>
    <col min="15" max="15" width="19.77734375" bestFit="1" customWidth="1"/>
    <col min="16" max="16" width="19.77734375" customWidth="1"/>
    <col min="17" max="17" width="18.21875" bestFit="1" customWidth="1"/>
    <col min="18" max="18" width="10.5546875" bestFit="1" customWidth="1"/>
    <col min="19" max="19" width="22.21875" bestFit="1" customWidth="1"/>
    <col min="20" max="20" width="12.109375" bestFit="1" customWidth="1"/>
    <col min="21" max="21" width="11.6640625" bestFit="1" customWidth="1"/>
    <col min="22" max="22" width="19.21875" bestFit="1" customWidth="1"/>
    <col min="23" max="23" width="13.77734375" bestFit="1" customWidth="1"/>
    <col min="24" max="24" width="6.6640625" style="22" customWidth="1"/>
    <col min="25" max="25" width="38.109375" bestFit="1" customWidth="1"/>
    <col min="26" max="26" width="20.21875" bestFit="1" customWidth="1"/>
    <col min="27" max="27" width="20.21875" customWidth="1"/>
    <col min="28" max="28" width="26.77734375" bestFit="1" customWidth="1"/>
    <col min="29" max="29" width="18.44140625" bestFit="1" customWidth="1"/>
    <col min="30" max="30" width="21.6640625" bestFit="1" customWidth="1"/>
    <col min="31" max="31" width="15.6640625" bestFit="1" customWidth="1"/>
    <col min="32" max="32" width="13.5546875" bestFit="1" customWidth="1"/>
    <col min="33" max="33" width="7.6640625" style="22" customWidth="1"/>
    <col min="34" max="34" width="28.21875" bestFit="1" customWidth="1"/>
    <col min="35" max="35" width="31.6640625" bestFit="1" customWidth="1"/>
    <col min="36" max="36" width="14.6640625" bestFit="1" customWidth="1"/>
    <col min="37" max="37" width="38.77734375" bestFit="1" customWidth="1"/>
    <col min="38" max="38" width="31.6640625" bestFit="1" customWidth="1"/>
    <col min="39" max="39" width="11.44140625" bestFit="1" customWidth="1"/>
    <col min="40" max="40" width="19.5546875" bestFit="1" customWidth="1"/>
    <col min="41" max="41" width="14.77734375" bestFit="1" customWidth="1"/>
    <col min="42" max="42" width="20" bestFit="1" customWidth="1"/>
    <col min="43" max="43" width="15.21875" bestFit="1" customWidth="1"/>
    <col min="44" max="44" width="15.109375" bestFit="1" customWidth="1"/>
    <col min="45" max="45" width="11.6640625" bestFit="1" customWidth="1"/>
    <col min="46" max="46" width="9" bestFit="1" customWidth="1"/>
  </cols>
  <sheetData>
    <row r="1" spans="2:44" x14ac:dyDescent="0.25">
      <c r="J1" s="350" t="s">
        <v>241</v>
      </c>
      <c r="K1" s="350"/>
      <c r="L1" s="350"/>
      <c r="M1" s="350"/>
      <c r="N1" s="350"/>
      <c r="O1" s="350"/>
      <c r="P1" s="350"/>
      <c r="Q1" s="350"/>
      <c r="R1" s="350"/>
      <c r="S1" s="350"/>
      <c r="T1" s="350"/>
      <c r="U1" s="350"/>
      <c r="V1" s="350"/>
      <c r="W1" s="350"/>
      <c r="Y1" s="350" t="s">
        <v>242</v>
      </c>
      <c r="Z1" s="350"/>
      <c r="AA1" s="350"/>
      <c r="AB1" s="350"/>
      <c r="AC1" s="350"/>
      <c r="AD1" s="350"/>
      <c r="AE1" s="350"/>
      <c r="AF1" s="350"/>
      <c r="AH1" s="350" t="s">
        <v>243</v>
      </c>
      <c r="AI1" s="350"/>
      <c r="AJ1" s="350"/>
      <c r="AK1" s="350"/>
      <c r="AL1" s="350"/>
      <c r="AM1" s="350"/>
      <c r="AN1" s="350"/>
      <c r="AO1" s="350"/>
      <c r="AP1" s="350"/>
      <c r="AQ1" s="350"/>
    </row>
    <row r="2" spans="2:44" x14ac:dyDescent="0.25">
      <c r="B2" s="34" t="s">
        <v>244</v>
      </c>
      <c r="C2" s="94">
        <v>2027</v>
      </c>
      <c r="J2" s="38" t="s">
        <v>2</v>
      </c>
      <c r="K2" s="143" t="s">
        <v>3</v>
      </c>
      <c r="L2" s="143" t="s">
        <v>17</v>
      </c>
      <c r="M2" s="143" t="s">
        <v>245</v>
      </c>
      <c r="N2" s="143" t="s">
        <v>246</v>
      </c>
      <c r="O2" s="143" t="s">
        <v>247</v>
      </c>
      <c r="P2" s="143" t="s">
        <v>248</v>
      </c>
      <c r="Q2" s="38" t="s">
        <v>249</v>
      </c>
      <c r="R2" s="38" t="s">
        <v>250</v>
      </c>
      <c r="S2" s="38" t="s">
        <v>251</v>
      </c>
      <c r="T2" s="38" t="s">
        <v>252</v>
      </c>
      <c r="U2" s="38" t="s">
        <v>137</v>
      </c>
      <c r="V2" s="38" t="s">
        <v>24</v>
      </c>
      <c r="W2" s="38" t="s">
        <v>253</v>
      </c>
      <c r="X2" s="35"/>
      <c r="Y2" s="38" t="s">
        <v>254</v>
      </c>
      <c r="Z2" s="38" t="s">
        <v>255</v>
      </c>
      <c r="AA2" s="38" t="s">
        <v>256</v>
      </c>
      <c r="AB2" s="38" t="s">
        <v>257</v>
      </c>
      <c r="AC2" s="38" t="s">
        <v>258</v>
      </c>
      <c r="AD2" s="38" t="s">
        <v>259</v>
      </c>
      <c r="AE2" s="78" t="s">
        <v>260</v>
      </c>
      <c r="AF2" s="38" t="s">
        <v>261</v>
      </c>
      <c r="AH2" s="38" t="s">
        <v>262</v>
      </c>
      <c r="AI2" s="77" t="s">
        <v>263</v>
      </c>
      <c r="AJ2" s="77" t="s">
        <v>264</v>
      </c>
      <c r="AK2" s="38" t="s">
        <v>265</v>
      </c>
      <c r="AL2" s="38" t="s">
        <v>266</v>
      </c>
      <c r="AM2" s="38" t="s">
        <v>122</v>
      </c>
      <c r="AN2" s="38" t="s">
        <v>267</v>
      </c>
      <c r="AO2" s="38" t="s">
        <v>123</v>
      </c>
      <c r="AP2" s="38" t="s">
        <v>268</v>
      </c>
      <c r="AQ2" s="38" t="s">
        <v>124</v>
      </c>
      <c r="AR2" s="40"/>
    </row>
    <row r="3" spans="2:44" x14ac:dyDescent="0.25">
      <c r="B3" s="5" t="s">
        <v>269</v>
      </c>
      <c r="C3" s="5">
        <v>4</v>
      </c>
      <c r="J3" s="5">
        <f>K3-1998</f>
        <v>29</v>
      </c>
      <c r="K3" s="64">
        <f>$C$2</f>
        <v>2027</v>
      </c>
      <c r="L3" s="34" t="s">
        <v>31</v>
      </c>
      <c r="M3" s="70">
        <v>7500</v>
      </c>
      <c r="N3" s="70">
        <f t="shared" ref="N3:N34" si="0">M3*(1-S3)</f>
        <v>5625</v>
      </c>
      <c r="O3" s="71"/>
      <c r="P3" s="86"/>
      <c r="Q3" s="51">
        <v>0</v>
      </c>
      <c r="R3" s="5"/>
      <c r="S3" s="6">
        <v>0.25</v>
      </c>
      <c r="T3" s="8">
        <f>Q3*N3</f>
        <v>0</v>
      </c>
      <c r="U3" s="8" t="e">
        <f>#REF!</f>
        <v>#REF!</v>
      </c>
      <c r="V3" s="8"/>
      <c r="W3" s="8" t="e">
        <f>T3-U3</f>
        <v>#REF!</v>
      </c>
      <c r="X3" s="27"/>
      <c r="Y3" s="26" t="e">
        <f>INDEX(#REF!,MATCH('Wedding Business Cash Flow'!$C$2,#REF!,0),2)-CashToClose+T3-U3</f>
        <v>#REF!</v>
      </c>
      <c r="Z3" s="95" t="e">
        <f>#REF!*2</f>
        <v>#REF!</v>
      </c>
      <c r="AA3" s="95"/>
      <c r="AB3" s="8">
        <f>'Business_172 PH Rd Budget'!$C$25</f>
        <v>2155.2899999999995</v>
      </c>
      <c r="AC3" s="8" t="e">
        <f>Y3+Z3+AA3-AB3</f>
        <v>#REF!</v>
      </c>
      <c r="AD3" s="8" t="e">
        <f>AC3</f>
        <v>#REF!</v>
      </c>
      <c r="AE3" s="76" t="e">
        <f t="shared" ref="AE3:AE34" si="1">IF(AC3&lt;$C$8,0,AC3-AD3)</f>
        <v>#REF!</v>
      </c>
      <c r="AF3" s="8" t="e">
        <f t="shared" ref="AF3:AF34" si="2">AE3*(1+$C$7)-AE3</f>
        <v>#REF!</v>
      </c>
      <c r="AH3" s="7" t="e">
        <f>#REF!</f>
        <v>#REF!</v>
      </c>
      <c r="AI3" s="79" t="e">
        <f>AH4-AH3</f>
        <v>#REF!</v>
      </c>
      <c r="AJ3" s="79" t="e">
        <f>#REF!</f>
        <v>#REF!</v>
      </c>
      <c r="AK3" s="75" t="e">
        <f>PMT(#REF!,#REF!,-#REF!,0,0)</f>
        <v>#REF!</v>
      </c>
      <c r="AL3" s="75"/>
      <c r="AM3" s="7" t="e">
        <f>#REF!*(#REF!/12)</f>
        <v>#REF!</v>
      </c>
      <c r="AN3" s="7" t="e">
        <f>AM3</f>
        <v>#REF!</v>
      </c>
      <c r="AO3" s="75" t="e">
        <f>AK3-AM3</f>
        <v>#REF!</v>
      </c>
      <c r="AP3" s="75" t="e">
        <f>AO3</f>
        <v>#REF!</v>
      </c>
      <c r="AQ3" s="7" t="e">
        <f>AJ3-(AO3+AL3)</f>
        <v>#REF!</v>
      </c>
    </row>
    <row r="4" spans="2:44" x14ac:dyDescent="0.25">
      <c r="B4" s="34" t="s">
        <v>270</v>
      </c>
      <c r="C4" s="21">
        <f>3.5%</f>
        <v>3.5000000000000003E-2</v>
      </c>
      <c r="D4" s="82"/>
      <c r="E4" s="82"/>
      <c r="J4" s="5">
        <f t="shared" ref="J4:J67" si="3">K4-1998</f>
        <v>29</v>
      </c>
      <c r="K4" s="64">
        <f t="shared" ref="K4:K14" si="4">$C$2</f>
        <v>2027</v>
      </c>
      <c r="L4" s="34" t="s">
        <v>33</v>
      </c>
      <c r="M4" s="70">
        <f>M3*(1+O4)</f>
        <v>7500</v>
      </c>
      <c r="N4" s="70">
        <f t="shared" si="0"/>
        <v>5625</v>
      </c>
      <c r="O4" s="71"/>
      <c r="P4" s="86"/>
      <c r="Q4" s="51">
        <v>0</v>
      </c>
      <c r="R4" s="88" t="str">
        <f>IFERROR(Q4/P4,"")</f>
        <v/>
      </c>
      <c r="S4" s="6">
        <v>0.25</v>
      </c>
      <c r="T4" s="8">
        <f t="shared" ref="T4:T67" si="5">Q4*N4</f>
        <v>0</v>
      </c>
      <c r="U4" s="8" t="e">
        <f>#REF!</f>
        <v>#REF!</v>
      </c>
      <c r="V4" s="8"/>
      <c r="W4" s="8" t="e">
        <f t="shared" ref="W4:W67" si="6">T4-U4</f>
        <v>#REF!</v>
      </c>
      <c r="X4" s="27"/>
      <c r="Y4" s="26" t="e">
        <f>(AC3+T4)-U4</f>
        <v>#REF!</v>
      </c>
      <c r="Z4" s="95" t="e">
        <f>#REF!*2</f>
        <v>#REF!</v>
      </c>
      <c r="AA4" s="95"/>
      <c r="AB4" s="8">
        <f>'Business_172 PH Rd Budget'!$C$25</f>
        <v>2155.2899999999995</v>
      </c>
      <c r="AC4" s="8" t="e">
        <f>(Y4+Z4+AA4)-AB4</f>
        <v>#REF!</v>
      </c>
      <c r="AD4" s="8" t="e">
        <f t="shared" ref="AD4:AD44" si="7">AC4</f>
        <v>#REF!</v>
      </c>
      <c r="AE4" s="76" t="e">
        <f t="shared" si="1"/>
        <v>#REF!</v>
      </c>
      <c r="AF4" s="8" t="e">
        <f t="shared" si="2"/>
        <v>#REF!</v>
      </c>
      <c r="AH4" s="7" t="e">
        <f t="shared" ref="AH4:AH35" si="8">AH3*(1+$C$5)</f>
        <v>#REF!</v>
      </c>
      <c r="AI4" s="79" t="e">
        <f>AI3+AH5-AH4</f>
        <v>#REF!</v>
      </c>
      <c r="AJ4" s="79" t="e">
        <f>AQ3</f>
        <v>#REF!</v>
      </c>
      <c r="AK4" s="75" t="e">
        <f>PMT(#REF!,#REF!,-#REF!,0,0)</f>
        <v>#REF!</v>
      </c>
      <c r="AL4" s="75"/>
      <c r="AM4" s="7" t="e">
        <f>AJ4*(#REF!/12)</f>
        <v>#REF!</v>
      </c>
      <c r="AN4" s="7" t="e">
        <f>AN3+AM4</f>
        <v>#REF!</v>
      </c>
      <c r="AO4" s="75" t="e">
        <f t="shared" ref="AO4:AO34" si="9">AK4-AM4</f>
        <v>#REF!</v>
      </c>
      <c r="AP4" s="75" t="e">
        <f>AP3+AO4</f>
        <v>#REF!</v>
      </c>
      <c r="AQ4" s="7" t="e">
        <f t="shared" ref="AQ4:AQ67" si="10">AJ4-(AO4+AL4)</f>
        <v>#REF!</v>
      </c>
      <c r="AR4" s="41"/>
    </row>
    <row r="5" spans="2:44" x14ac:dyDescent="0.25">
      <c r="B5" s="34" t="s">
        <v>271</v>
      </c>
      <c r="C5" s="21">
        <f>C4/12</f>
        <v>2.9166666666666668E-3</v>
      </c>
      <c r="D5" s="82"/>
      <c r="E5" s="82"/>
      <c r="J5" s="5">
        <f t="shared" si="3"/>
        <v>29</v>
      </c>
      <c r="K5" s="64">
        <f t="shared" si="4"/>
        <v>2027</v>
      </c>
      <c r="L5" s="34" t="s">
        <v>36</v>
      </c>
      <c r="M5" s="70">
        <f t="shared" ref="M5:M68" si="11">M4*(1+O5)</f>
        <v>7500</v>
      </c>
      <c r="N5" s="70">
        <f t="shared" si="0"/>
        <v>6000</v>
      </c>
      <c r="O5" s="71"/>
      <c r="P5" s="86"/>
      <c r="Q5" s="51">
        <v>0</v>
      </c>
      <c r="R5" s="88" t="str">
        <f t="shared" ref="R5:R68" si="12">IFERROR(Q5/P5,"")</f>
        <v/>
      </c>
      <c r="S5" s="6">
        <v>0.2</v>
      </c>
      <c r="T5" s="8">
        <f t="shared" si="5"/>
        <v>0</v>
      </c>
      <c r="U5" s="8" t="e">
        <f>#REF!</f>
        <v>#REF!</v>
      </c>
      <c r="V5" s="8"/>
      <c r="W5" s="8" t="e">
        <f t="shared" si="6"/>
        <v>#REF!</v>
      </c>
      <c r="X5" s="27"/>
      <c r="Y5" s="26" t="e">
        <f t="shared" ref="Y5:Y68" si="13">(AC4+T5)-U5</f>
        <v>#REF!</v>
      </c>
      <c r="Z5" s="95" t="e">
        <f>#REF!*2</f>
        <v>#REF!</v>
      </c>
      <c r="AA5" s="95"/>
      <c r="AB5" s="8">
        <f>'Business_172 PH Rd Budget'!$C$25</f>
        <v>2155.2899999999995</v>
      </c>
      <c r="AC5" s="8" t="e">
        <f t="shared" ref="AC5:AC68" si="14">(Y5+Z5+AA5)-AB5</f>
        <v>#REF!</v>
      </c>
      <c r="AD5" s="8" t="e">
        <f t="shared" si="7"/>
        <v>#REF!</v>
      </c>
      <c r="AE5" s="76" t="e">
        <f t="shared" si="1"/>
        <v>#REF!</v>
      </c>
      <c r="AF5" s="8" t="e">
        <f t="shared" si="2"/>
        <v>#REF!</v>
      </c>
      <c r="AH5" s="7" t="e">
        <f t="shared" si="8"/>
        <v>#REF!</v>
      </c>
      <c r="AI5" s="79" t="e">
        <f t="shared" ref="AI5:AI68" si="15">AI4+AH6-AH5</f>
        <v>#REF!</v>
      </c>
      <c r="AJ5" s="79" t="e">
        <f>AQ4</f>
        <v>#REF!</v>
      </c>
      <c r="AK5" s="75" t="e">
        <f>PMT(#REF!,#REF!,-#REF!,0,0)</f>
        <v>#REF!</v>
      </c>
      <c r="AL5" s="75"/>
      <c r="AM5" s="7" t="e">
        <f>AJ5*(#REF!/12)</f>
        <v>#REF!</v>
      </c>
      <c r="AN5" s="7" t="e">
        <f t="shared" ref="AN5:AN68" si="16">AN4+AM5</f>
        <v>#REF!</v>
      </c>
      <c r="AO5" s="75" t="e">
        <f t="shared" si="9"/>
        <v>#REF!</v>
      </c>
      <c r="AP5" s="75" t="e">
        <f t="shared" ref="AP5:AP68" si="17">AP4+AO5</f>
        <v>#REF!</v>
      </c>
      <c r="AQ5" s="7" t="e">
        <f t="shared" si="10"/>
        <v>#REF!</v>
      </c>
      <c r="AR5" s="41"/>
    </row>
    <row r="6" spans="2:44" x14ac:dyDescent="0.25">
      <c r="B6" s="34" t="s">
        <v>272</v>
      </c>
      <c r="C6" s="21">
        <f>0.05</f>
        <v>0.05</v>
      </c>
      <c r="D6" s="82"/>
      <c r="E6" s="82"/>
      <c r="J6" s="5">
        <f t="shared" si="3"/>
        <v>29</v>
      </c>
      <c r="K6" s="64">
        <f t="shared" si="4"/>
        <v>2027</v>
      </c>
      <c r="L6" s="34" t="s">
        <v>38</v>
      </c>
      <c r="M6" s="70">
        <f t="shared" si="11"/>
        <v>7500</v>
      </c>
      <c r="N6" s="70">
        <f t="shared" si="0"/>
        <v>6750</v>
      </c>
      <c r="O6" s="71"/>
      <c r="P6" s="86"/>
      <c r="Q6" s="51">
        <v>0</v>
      </c>
      <c r="R6" s="88" t="str">
        <f t="shared" si="12"/>
        <v/>
      </c>
      <c r="S6" s="6">
        <v>0.1</v>
      </c>
      <c r="T6" s="8">
        <f t="shared" si="5"/>
        <v>0</v>
      </c>
      <c r="U6" s="8" t="e">
        <f>#REF!</f>
        <v>#REF!</v>
      </c>
      <c r="V6" s="8"/>
      <c r="W6" s="8" t="e">
        <f t="shared" si="6"/>
        <v>#REF!</v>
      </c>
      <c r="X6" s="27"/>
      <c r="Y6" s="26" t="e">
        <f t="shared" si="13"/>
        <v>#REF!</v>
      </c>
      <c r="Z6" s="95" t="e">
        <f>#REF!*2</f>
        <v>#REF!</v>
      </c>
      <c r="AA6" s="95"/>
      <c r="AB6" s="8">
        <f>'Business_172 PH Rd Budget'!$C$25</f>
        <v>2155.2899999999995</v>
      </c>
      <c r="AC6" s="8" t="e">
        <f t="shared" si="14"/>
        <v>#REF!</v>
      </c>
      <c r="AD6" s="8" t="e">
        <f t="shared" si="7"/>
        <v>#REF!</v>
      </c>
      <c r="AE6" s="76" t="e">
        <f t="shared" si="1"/>
        <v>#REF!</v>
      </c>
      <c r="AF6" s="8" t="e">
        <f t="shared" si="2"/>
        <v>#REF!</v>
      </c>
      <c r="AH6" s="7" t="e">
        <f t="shared" si="8"/>
        <v>#REF!</v>
      </c>
      <c r="AI6" s="79" t="e">
        <f t="shared" si="15"/>
        <v>#REF!</v>
      </c>
      <c r="AJ6" s="79" t="e">
        <f t="shared" ref="AJ6:AJ68" si="18">AQ5</f>
        <v>#REF!</v>
      </c>
      <c r="AK6" s="75" t="e">
        <f>PMT(#REF!,#REF!,-#REF!,0,0)</f>
        <v>#REF!</v>
      </c>
      <c r="AL6" s="75"/>
      <c r="AM6" s="7" t="e">
        <f>AJ6*(#REF!/12)</f>
        <v>#REF!</v>
      </c>
      <c r="AN6" s="7" t="e">
        <f t="shared" si="16"/>
        <v>#REF!</v>
      </c>
      <c r="AO6" s="75" t="e">
        <f t="shared" si="9"/>
        <v>#REF!</v>
      </c>
      <c r="AP6" s="75" t="e">
        <f t="shared" si="17"/>
        <v>#REF!</v>
      </c>
      <c r="AQ6" s="7" t="e">
        <f t="shared" si="10"/>
        <v>#REF!</v>
      </c>
      <c r="AR6" s="41"/>
    </row>
    <row r="7" spans="2:44" x14ac:dyDescent="0.25">
      <c r="B7" s="34" t="s">
        <v>273</v>
      </c>
      <c r="C7" s="21">
        <f>0.05/12</f>
        <v>4.1666666666666666E-3</v>
      </c>
      <c r="D7" s="82"/>
      <c r="E7" s="82"/>
      <c r="J7" s="5">
        <f t="shared" si="3"/>
        <v>29</v>
      </c>
      <c r="K7" s="64">
        <f t="shared" si="4"/>
        <v>2027</v>
      </c>
      <c r="L7" s="34" t="s">
        <v>40</v>
      </c>
      <c r="M7" s="70">
        <f t="shared" si="11"/>
        <v>7500</v>
      </c>
      <c r="N7" s="70">
        <f t="shared" si="0"/>
        <v>7500</v>
      </c>
      <c r="O7" s="71"/>
      <c r="P7" s="86">
        <v>5</v>
      </c>
      <c r="Q7" s="51">
        <v>0</v>
      </c>
      <c r="R7" s="88">
        <f t="shared" si="12"/>
        <v>0</v>
      </c>
      <c r="S7" s="6">
        <v>0</v>
      </c>
      <c r="T7" s="8">
        <f t="shared" si="5"/>
        <v>0</v>
      </c>
      <c r="U7" s="8" t="e">
        <f>#REF!</f>
        <v>#REF!</v>
      </c>
      <c r="V7" s="8"/>
      <c r="W7" s="8" t="e">
        <f t="shared" si="6"/>
        <v>#REF!</v>
      </c>
      <c r="X7" s="27"/>
      <c r="Y7" s="26" t="e">
        <f t="shared" si="13"/>
        <v>#REF!</v>
      </c>
      <c r="Z7" s="95" t="e">
        <f>#REF!*2</f>
        <v>#REF!</v>
      </c>
      <c r="AA7" s="95"/>
      <c r="AB7" s="8">
        <f>'Business_172 PH Rd Budget'!$C$25</f>
        <v>2155.2899999999995</v>
      </c>
      <c r="AC7" s="8" t="e">
        <f t="shared" si="14"/>
        <v>#REF!</v>
      </c>
      <c r="AD7" s="8" t="e">
        <f t="shared" si="7"/>
        <v>#REF!</v>
      </c>
      <c r="AE7" s="76" t="e">
        <f t="shared" si="1"/>
        <v>#REF!</v>
      </c>
      <c r="AF7" s="8" t="e">
        <f t="shared" si="2"/>
        <v>#REF!</v>
      </c>
      <c r="AH7" s="7" t="e">
        <f t="shared" si="8"/>
        <v>#REF!</v>
      </c>
      <c r="AI7" s="79" t="e">
        <f t="shared" si="15"/>
        <v>#REF!</v>
      </c>
      <c r="AJ7" s="79" t="e">
        <f t="shared" si="18"/>
        <v>#REF!</v>
      </c>
      <c r="AK7" s="75" t="e">
        <f>PMT(#REF!,#REF!,-#REF!,0,0)</f>
        <v>#REF!</v>
      </c>
      <c r="AL7" s="75"/>
      <c r="AM7" s="7" t="e">
        <f>AJ7*(#REF!/12)</f>
        <v>#REF!</v>
      </c>
      <c r="AN7" s="7" t="e">
        <f t="shared" si="16"/>
        <v>#REF!</v>
      </c>
      <c r="AO7" s="75" t="e">
        <f t="shared" si="9"/>
        <v>#REF!</v>
      </c>
      <c r="AP7" s="75" t="e">
        <f t="shared" si="17"/>
        <v>#REF!</v>
      </c>
      <c r="AQ7" s="7" t="e">
        <f t="shared" si="10"/>
        <v>#REF!</v>
      </c>
      <c r="AR7" s="41"/>
    </row>
    <row r="8" spans="2:44" x14ac:dyDescent="0.25">
      <c r="B8" s="34" t="s">
        <v>274</v>
      </c>
      <c r="C8" s="9">
        <v>350000</v>
      </c>
      <c r="D8" s="83"/>
      <c r="E8" s="83"/>
      <c r="J8" s="5">
        <f t="shared" si="3"/>
        <v>29</v>
      </c>
      <c r="K8" s="64">
        <f t="shared" si="4"/>
        <v>2027</v>
      </c>
      <c r="L8" s="34" t="s">
        <v>42</v>
      </c>
      <c r="M8" s="70">
        <f t="shared" si="11"/>
        <v>7500</v>
      </c>
      <c r="N8" s="70">
        <f t="shared" si="0"/>
        <v>7500</v>
      </c>
      <c r="O8" s="71"/>
      <c r="P8" s="86">
        <v>4</v>
      </c>
      <c r="Q8" s="51">
        <v>0</v>
      </c>
      <c r="R8" s="88">
        <f t="shared" si="12"/>
        <v>0</v>
      </c>
      <c r="S8" s="6">
        <v>0</v>
      </c>
      <c r="T8" s="8">
        <f t="shared" si="5"/>
        <v>0</v>
      </c>
      <c r="U8" s="8" t="e">
        <f>#REF!</f>
        <v>#REF!</v>
      </c>
      <c r="V8" s="8"/>
      <c r="W8" s="8" t="e">
        <f t="shared" si="6"/>
        <v>#REF!</v>
      </c>
      <c r="X8" s="27"/>
      <c r="Y8" s="26" t="e">
        <f t="shared" si="13"/>
        <v>#REF!</v>
      </c>
      <c r="Z8" s="95" t="e">
        <f>#REF!*2</f>
        <v>#REF!</v>
      </c>
      <c r="AA8" s="95"/>
      <c r="AB8" s="8">
        <f>'Business_172 PH Rd Budget'!$C$25</f>
        <v>2155.2899999999995</v>
      </c>
      <c r="AC8" s="8" t="e">
        <f t="shared" si="14"/>
        <v>#REF!</v>
      </c>
      <c r="AD8" s="8" t="e">
        <f t="shared" si="7"/>
        <v>#REF!</v>
      </c>
      <c r="AE8" s="76" t="e">
        <f t="shared" si="1"/>
        <v>#REF!</v>
      </c>
      <c r="AF8" s="8" t="e">
        <f t="shared" si="2"/>
        <v>#REF!</v>
      </c>
      <c r="AH8" s="7" t="e">
        <f t="shared" si="8"/>
        <v>#REF!</v>
      </c>
      <c r="AI8" s="79" t="e">
        <f t="shared" si="15"/>
        <v>#REF!</v>
      </c>
      <c r="AJ8" s="79" t="e">
        <f t="shared" si="18"/>
        <v>#REF!</v>
      </c>
      <c r="AK8" s="75" t="e">
        <f>PMT(#REF!,#REF!,-#REF!,0,0)</f>
        <v>#REF!</v>
      </c>
      <c r="AL8" s="75"/>
      <c r="AM8" s="7" t="e">
        <f>AJ8*(#REF!/12)</f>
        <v>#REF!</v>
      </c>
      <c r="AN8" s="7" t="e">
        <f t="shared" si="16"/>
        <v>#REF!</v>
      </c>
      <c r="AO8" s="75" t="e">
        <f t="shared" si="9"/>
        <v>#REF!</v>
      </c>
      <c r="AP8" s="75" t="e">
        <f t="shared" si="17"/>
        <v>#REF!</v>
      </c>
      <c r="AQ8" s="7" t="e">
        <f t="shared" si="10"/>
        <v>#REF!</v>
      </c>
      <c r="AR8" s="41"/>
    </row>
    <row r="9" spans="2:44" x14ac:dyDescent="0.25">
      <c r="J9" s="5">
        <f t="shared" si="3"/>
        <v>29</v>
      </c>
      <c r="K9" s="64">
        <f t="shared" si="4"/>
        <v>2027</v>
      </c>
      <c r="L9" s="34" t="s">
        <v>44</v>
      </c>
      <c r="M9" s="70">
        <f t="shared" si="11"/>
        <v>7500</v>
      </c>
      <c r="N9" s="70">
        <f t="shared" si="0"/>
        <v>7500</v>
      </c>
      <c r="O9" s="71"/>
      <c r="P9" s="86">
        <v>4</v>
      </c>
      <c r="Q9" s="51">
        <v>0</v>
      </c>
      <c r="R9" s="88">
        <f t="shared" si="12"/>
        <v>0</v>
      </c>
      <c r="S9" s="6">
        <v>0</v>
      </c>
      <c r="T9" s="8">
        <f t="shared" si="5"/>
        <v>0</v>
      </c>
      <c r="U9" s="8" t="e">
        <f>#REF!</f>
        <v>#REF!</v>
      </c>
      <c r="V9" s="8"/>
      <c r="W9" s="8" t="e">
        <f t="shared" si="6"/>
        <v>#REF!</v>
      </c>
      <c r="X9" s="27"/>
      <c r="Y9" s="26" t="e">
        <f t="shared" si="13"/>
        <v>#REF!</v>
      </c>
      <c r="Z9" s="95" t="e">
        <f>#REF!*2</f>
        <v>#REF!</v>
      </c>
      <c r="AA9" s="95"/>
      <c r="AB9" s="8">
        <f>'Business_172 PH Rd Budget'!$C$25</f>
        <v>2155.2899999999995</v>
      </c>
      <c r="AC9" s="8" t="e">
        <f t="shared" si="14"/>
        <v>#REF!</v>
      </c>
      <c r="AD9" s="8" t="e">
        <f t="shared" si="7"/>
        <v>#REF!</v>
      </c>
      <c r="AE9" s="76" t="e">
        <f t="shared" si="1"/>
        <v>#REF!</v>
      </c>
      <c r="AF9" s="8" t="e">
        <f t="shared" si="2"/>
        <v>#REF!</v>
      </c>
      <c r="AH9" s="7" t="e">
        <f t="shared" si="8"/>
        <v>#REF!</v>
      </c>
      <c r="AI9" s="79" t="e">
        <f t="shared" si="15"/>
        <v>#REF!</v>
      </c>
      <c r="AJ9" s="79" t="e">
        <f t="shared" si="18"/>
        <v>#REF!</v>
      </c>
      <c r="AK9" s="75" t="e">
        <f>PMT(#REF!,#REF!,-#REF!,0,0)</f>
        <v>#REF!</v>
      </c>
      <c r="AL9" s="75"/>
      <c r="AM9" s="7" t="e">
        <f>AJ9*(#REF!/12)</f>
        <v>#REF!</v>
      </c>
      <c r="AN9" s="7" t="e">
        <f t="shared" si="16"/>
        <v>#REF!</v>
      </c>
      <c r="AO9" s="75" t="e">
        <f t="shared" si="9"/>
        <v>#REF!</v>
      </c>
      <c r="AP9" s="75" t="e">
        <f t="shared" si="17"/>
        <v>#REF!</v>
      </c>
      <c r="AQ9" s="7" t="e">
        <f t="shared" si="10"/>
        <v>#REF!</v>
      </c>
      <c r="AR9" s="41"/>
    </row>
    <row r="10" spans="2:44" x14ac:dyDescent="0.25">
      <c r="C10" s="40" t="s">
        <v>275</v>
      </c>
      <c r="D10" s="40" t="s">
        <v>276</v>
      </c>
      <c r="E10" s="40" t="s">
        <v>277</v>
      </c>
      <c r="F10" s="40" t="s">
        <v>278</v>
      </c>
      <c r="G10" s="40" t="s">
        <v>279</v>
      </c>
      <c r="H10" s="40" t="s">
        <v>280</v>
      </c>
      <c r="J10" s="5">
        <f t="shared" si="3"/>
        <v>29</v>
      </c>
      <c r="K10" s="64">
        <f t="shared" si="4"/>
        <v>2027</v>
      </c>
      <c r="L10" s="34" t="s">
        <v>47</v>
      </c>
      <c r="M10" s="70">
        <f t="shared" si="11"/>
        <v>7500</v>
      </c>
      <c r="N10" s="70">
        <f t="shared" si="0"/>
        <v>7500</v>
      </c>
      <c r="O10" s="71"/>
      <c r="P10" s="86">
        <v>5</v>
      </c>
      <c r="Q10" s="44">
        <v>0</v>
      </c>
      <c r="R10" s="88">
        <f t="shared" si="12"/>
        <v>0</v>
      </c>
      <c r="S10" s="6">
        <v>0</v>
      </c>
      <c r="T10" s="8">
        <f t="shared" si="5"/>
        <v>0</v>
      </c>
      <c r="U10" s="8" t="e">
        <f>#REF!</f>
        <v>#REF!</v>
      </c>
      <c r="V10" s="8"/>
      <c r="W10" s="8" t="e">
        <f t="shared" si="6"/>
        <v>#REF!</v>
      </c>
      <c r="X10" s="27"/>
      <c r="Y10" s="26" t="e">
        <f t="shared" si="13"/>
        <v>#REF!</v>
      </c>
      <c r="Z10" s="95" t="e">
        <f>#REF!*2</f>
        <v>#REF!</v>
      </c>
      <c r="AA10" s="95"/>
      <c r="AB10" s="8">
        <f>'Business_172 PH Rd Budget'!$C$25</f>
        <v>2155.2899999999995</v>
      </c>
      <c r="AC10" s="8" t="e">
        <f t="shared" si="14"/>
        <v>#REF!</v>
      </c>
      <c r="AD10" s="8" t="e">
        <f t="shared" si="7"/>
        <v>#REF!</v>
      </c>
      <c r="AE10" s="76" t="e">
        <f t="shared" si="1"/>
        <v>#REF!</v>
      </c>
      <c r="AF10" s="8" t="e">
        <f t="shared" si="2"/>
        <v>#REF!</v>
      </c>
      <c r="AH10" s="7" t="e">
        <f t="shared" si="8"/>
        <v>#REF!</v>
      </c>
      <c r="AI10" s="79" t="e">
        <f t="shared" si="15"/>
        <v>#REF!</v>
      </c>
      <c r="AJ10" s="79" t="e">
        <f t="shared" si="18"/>
        <v>#REF!</v>
      </c>
      <c r="AK10" s="75" t="e">
        <f>PMT(#REF!,#REF!,-#REF!,0,0)</f>
        <v>#REF!</v>
      </c>
      <c r="AL10" s="75"/>
      <c r="AM10" s="7" t="e">
        <f>AJ10*(#REF!/12)</f>
        <v>#REF!</v>
      </c>
      <c r="AN10" s="7" t="e">
        <f t="shared" si="16"/>
        <v>#REF!</v>
      </c>
      <c r="AO10" s="75" t="e">
        <f t="shared" si="9"/>
        <v>#REF!</v>
      </c>
      <c r="AP10" s="75" t="e">
        <f t="shared" si="17"/>
        <v>#REF!</v>
      </c>
      <c r="AQ10" s="7" t="e">
        <f t="shared" si="10"/>
        <v>#REF!</v>
      </c>
      <c r="AR10" s="41"/>
    </row>
    <row r="11" spans="2:44" x14ac:dyDescent="0.25">
      <c r="B11" s="5">
        <f>C2</f>
        <v>2027</v>
      </c>
      <c r="C11" s="7">
        <f t="shared" ref="C11:C26" si="19">SUMIF($K$3:$K$194,$B11,$T$3:$T$194)</f>
        <v>0</v>
      </c>
      <c r="D11" s="7" t="e">
        <f>SUMIF($K$3:$K$194,$B11,$U$3:$U$194)</f>
        <v>#REF!</v>
      </c>
      <c r="E11" s="7" t="e">
        <f t="shared" ref="E11:E22" si="20">SUMIF($K$3:$K$194,B11,$AM$3:$AM$302)</f>
        <v>#REF!</v>
      </c>
      <c r="F11" s="7">
        <f>SUMIF($K$3:$K$194,$B11,$V$3:$V$194)</f>
        <v>0</v>
      </c>
      <c r="G11" s="7" t="e">
        <f>C11-(D11+F11)</f>
        <v>#REF!</v>
      </c>
      <c r="H11" s="7" t="e">
        <f>C11-(D11+F11)+($Z$3*12)</f>
        <v>#REF!</v>
      </c>
      <c r="J11" s="5">
        <f t="shared" si="3"/>
        <v>29</v>
      </c>
      <c r="K11" s="64">
        <f t="shared" si="4"/>
        <v>2027</v>
      </c>
      <c r="L11" s="34" t="s">
        <v>49</v>
      </c>
      <c r="M11" s="70">
        <f t="shared" si="11"/>
        <v>7500</v>
      </c>
      <c r="N11" s="70">
        <f t="shared" si="0"/>
        <v>7500</v>
      </c>
      <c r="O11" s="71"/>
      <c r="P11" s="86">
        <v>4</v>
      </c>
      <c r="Q11" s="44">
        <v>0</v>
      </c>
      <c r="R11" s="88">
        <f t="shared" si="12"/>
        <v>0</v>
      </c>
      <c r="S11" s="6">
        <v>0</v>
      </c>
      <c r="T11" s="8">
        <f t="shared" si="5"/>
        <v>0</v>
      </c>
      <c r="U11" s="8" t="e">
        <f>#REF!</f>
        <v>#REF!</v>
      </c>
      <c r="V11" s="8"/>
      <c r="W11" s="8" t="e">
        <f t="shared" si="6"/>
        <v>#REF!</v>
      </c>
      <c r="X11" s="27"/>
      <c r="Y11" s="26" t="e">
        <f t="shared" si="13"/>
        <v>#REF!</v>
      </c>
      <c r="Z11" s="95" t="e">
        <f>#REF!*2</f>
        <v>#REF!</v>
      </c>
      <c r="AA11" s="95"/>
      <c r="AB11" s="8">
        <f>'Business_172 PH Rd Budget'!$C$25</f>
        <v>2155.2899999999995</v>
      </c>
      <c r="AC11" s="8" t="e">
        <f t="shared" si="14"/>
        <v>#REF!</v>
      </c>
      <c r="AD11" s="8" t="e">
        <f t="shared" si="7"/>
        <v>#REF!</v>
      </c>
      <c r="AE11" s="76" t="e">
        <f t="shared" si="1"/>
        <v>#REF!</v>
      </c>
      <c r="AF11" s="8" t="e">
        <f t="shared" si="2"/>
        <v>#REF!</v>
      </c>
      <c r="AH11" s="7" t="e">
        <f t="shared" si="8"/>
        <v>#REF!</v>
      </c>
      <c r="AI11" s="79" t="e">
        <f t="shared" si="15"/>
        <v>#REF!</v>
      </c>
      <c r="AJ11" s="79" t="e">
        <f t="shared" si="18"/>
        <v>#REF!</v>
      </c>
      <c r="AK11" s="75" t="e">
        <f>PMT(#REF!,#REF!,-#REF!,0,0)</f>
        <v>#REF!</v>
      </c>
      <c r="AL11" s="75"/>
      <c r="AM11" s="7" t="e">
        <f>AJ11*(#REF!/12)</f>
        <v>#REF!</v>
      </c>
      <c r="AN11" s="7" t="e">
        <f t="shared" si="16"/>
        <v>#REF!</v>
      </c>
      <c r="AO11" s="75" t="e">
        <f t="shared" si="9"/>
        <v>#REF!</v>
      </c>
      <c r="AP11" s="75" t="e">
        <f t="shared" si="17"/>
        <v>#REF!</v>
      </c>
      <c r="AQ11" s="7" t="e">
        <f t="shared" si="10"/>
        <v>#REF!</v>
      </c>
      <c r="AR11" s="41"/>
    </row>
    <row r="12" spans="2:44" x14ac:dyDescent="0.25">
      <c r="B12" s="5">
        <f>B11+1</f>
        <v>2028</v>
      </c>
      <c r="C12" s="7">
        <f t="shared" si="19"/>
        <v>86625</v>
      </c>
      <c r="D12" s="7" t="e">
        <f t="shared" ref="D12:D26" si="21">SUMIF($K$3:$K$194,$B12,$U$3:$U$194)</f>
        <v>#REF!</v>
      </c>
      <c r="E12" s="7" t="e">
        <f t="shared" si="20"/>
        <v>#REF!</v>
      </c>
      <c r="F12" s="7">
        <f t="shared" ref="F12:F26" si="22">SUMIF($K$3:$K$194,$B12,$V$3:$V$194)</f>
        <v>0</v>
      </c>
      <c r="G12" s="7" t="e">
        <f t="shared" ref="G12:G26" si="23">C12-(D12+F12)</f>
        <v>#REF!</v>
      </c>
      <c r="H12" s="7" t="e">
        <f t="shared" ref="H12:H26" si="24">C12-(D12+F12)+($Z$3*12)</f>
        <v>#REF!</v>
      </c>
      <c r="J12" s="5">
        <f t="shared" si="3"/>
        <v>29</v>
      </c>
      <c r="K12" s="64">
        <f t="shared" si="4"/>
        <v>2027</v>
      </c>
      <c r="L12" s="34" t="s">
        <v>51</v>
      </c>
      <c r="M12" s="70">
        <f t="shared" si="11"/>
        <v>7500</v>
      </c>
      <c r="N12" s="70">
        <f t="shared" si="0"/>
        <v>7500</v>
      </c>
      <c r="O12" s="71"/>
      <c r="P12" s="86">
        <v>5</v>
      </c>
      <c r="Q12" s="44">
        <v>0</v>
      </c>
      <c r="R12" s="88">
        <f t="shared" si="12"/>
        <v>0</v>
      </c>
      <c r="S12" s="6">
        <v>0</v>
      </c>
      <c r="T12" s="8">
        <f t="shared" si="5"/>
        <v>0</v>
      </c>
      <c r="U12" s="8" t="e">
        <f>#REF!</f>
        <v>#REF!</v>
      </c>
      <c r="V12" s="8"/>
      <c r="W12" s="8" t="e">
        <f t="shared" si="6"/>
        <v>#REF!</v>
      </c>
      <c r="X12" s="27"/>
      <c r="Y12" s="26" t="e">
        <f t="shared" si="13"/>
        <v>#REF!</v>
      </c>
      <c r="Z12" s="95" t="e">
        <f>#REF!*2</f>
        <v>#REF!</v>
      </c>
      <c r="AA12" s="95"/>
      <c r="AB12" s="8">
        <f>'Business_172 PH Rd Budget'!$C$25</f>
        <v>2155.2899999999995</v>
      </c>
      <c r="AC12" s="8" t="e">
        <f t="shared" si="14"/>
        <v>#REF!</v>
      </c>
      <c r="AD12" s="8" t="e">
        <f t="shared" si="7"/>
        <v>#REF!</v>
      </c>
      <c r="AE12" s="76" t="e">
        <f t="shared" si="1"/>
        <v>#REF!</v>
      </c>
      <c r="AF12" s="8" t="e">
        <f t="shared" si="2"/>
        <v>#REF!</v>
      </c>
      <c r="AH12" s="7" t="e">
        <f t="shared" si="8"/>
        <v>#REF!</v>
      </c>
      <c r="AI12" s="79" t="e">
        <f t="shared" si="15"/>
        <v>#REF!</v>
      </c>
      <c r="AJ12" s="79" t="e">
        <f t="shared" si="18"/>
        <v>#REF!</v>
      </c>
      <c r="AK12" s="75" t="e">
        <f>PMT(#REF!,#REF!,-#REF!,0,0)</f>
        <v>#REF!</v>
      </c>
      <c r="AL12" s="75"/>
      <c r="AM12" s="7" t="e">
        <f>AJ12*(#REF!/12)</f>
        <v>#REF!</v>
      </c>
      <c r="AN12" s="7" t="e">
        <f t="shared" si="16"/>
        <v>#REF!</v>
      </c>
      <c r="AO12" s="75" t="e">
        <f t="shared" si="9"/>
        <v>#REF!</v>
      </c>
      <c r="AP12" s="75" t="e">
        <f t="shared" si="17"/>
        <v>#REF!</v>
      </c>
      <c r="AQ12" s="7" t="e">
        <f t="shared" si="10"/>
        <v>#REF!</v>
      </c>
      <c r="AR12" s="41"/>
    </row>
    <row r="13" spans="2:44" x14ac:dyDescent="0.25">
      <c r="B13" s="5">
        <f t="shared" ref="B13:B26" si="25">B12+1</f>
        <v>2029</v>
      </c>
      <c r="C13" s="7">
        <f t="shared" si="19"/>
        <v>148837.5</v>
      </c>
      <c r="D13" s="7" t="e">
        <f t="shared" si="21"/>
        <v>#REF!</v>
      </c>
      <c r="E13" s="7" t="e">
        <f t="shared" si="20"/>
        <v>#REF!</v>
      </c>
      <c r="F13" s="7">
        <f t="shared" si="22"/>
        <v>0</v>
      </c>
      <c r="G13" s="7" t="e">
        <f t="shared" si="23"/>
        <v>#REF!</v>
      </c>
      <c r="H13" s="7" t="e">
        <f t="shared" si="24"/>
        <v>#REF!</v>
      </c>
      <c r="J13" s="5">
        <f t="shared" si="3"/>
        <v>29</v>
      </c>
      <c r="K13" s="64">
        <f t="shared" si="4"/>
        <v>2027</v>
      </c>
      <c r="L13" s="34" t="s">
        <v>53</v>
      </c>
      <c r="M13" s="70">
        <f t="shared" si="11"/>
        <v>7500</v>
      </c>
      <c r="N13" s="70">
        <f t="shared" si="0"/>
        <v>6750</v>
      </c>
      <c r="O13" s="71"/>
      <c r="P13" s="86"/>
      <c r="Q13" s="51">
        <v>0</v>
      </c>
      <c r="R13" s="88" t="str">
        <f t="shared" si="12"/>
        <v/>
      </c>
      <c r="S13" s="6">
        <v>0.1</v>
      </c>
      <c r="T13" s="8">
        <f t="shared" si="5"/>
        <v>0</v>
      </c>
      <c r="U13" s="8" t="e">
        <f>#REF!</f>
        <v>#REF!</v>
      </c>
      <c r="V13" s="8"/>
      <c r="W13" s="8" t="e">
        <f t="shared" si="6"/>
        <v>#REF!</v>
      </c>
      <c r="X13" s="27"/>
      <c r="Y13" s="26" t="e">
        <f t="shared" si="13"/>
        <v>#REF!</v>
      </c>
      <c r="Z13" s="95" t="e">
        <f>#REF!*2</f>
        <v>#REF!</v>
      </c>
      <c r="AA13" s="95"/>
      <c r="AB13" s="8">
        <f>'Business_172 PH Rd Budget'!$C$25</f>
        <v>2155.2899999999995</v>
      </c>
      <c r="AC13" s="8" t="e">
        <f t="shared" si="14"/>
        <v>#REF!</v>
      </c>
      <c r="AD13" s="8" t="e">
        <f t="shared" si="7"/>
        <v>#REF!</v>
      </c>
      <c r="AE13" s="76" t="e">
        <f t="shared" si="1"/>
        <v>#REF!</v>
      </c>
      <c r="AF13" s="8" t="e">
        <f t="shared" si="2"/>
        <v>#REF!</v>
      </c>
      <c r="AH13" s="7" t="e">
        <f t="shared" si="8"/>
        <v>#REF!</v>
      </c>
      <c r="AI13" s="79" t="e">
        <f t="shared" si="15"/>
        <v>#REF!</v>
      </c>
      <c r="AJ13" s="79" t="e">
        <f t="shared" si="18"/>
        <v>#REF!</v>
      </c>
      <c r="AK13" s="75" t="e">
        <f>PMT(#REF!,#REF!,-#REF!,0,0)</f>
        <v>#REF!</v>
      </c>
      <c r="AL13" s="75"/>
      <c r="AM13" s="7" t="e">
        <f>AJ13*(#REF!/12)</f>
        <v>#REF!</v>
      </c>
      <c r="AN13" s="7" t="e">
        <f t="shared" si="16"/>
        <v>#REF!</v>
      </c>
      <c r="AO13" s="75" t="e">
        <f t="shared" si="9"/>
        <v>#REF!</v>
      </c>
      <c r="AP13" s="75" t="e">
        <f t="shared" si="17"/>
        <v>#REF!</v>
      </c>
      <c r="AQ13" s="7" t="e">
        <f t="shared" si="10"/>
        <v>#REF!</v>
      </c>
      <c r="AR13" s="41"/>
    </row>
    <row r="14" spans="2:44" x14ac:dyDescent="0.25">
      <c r="B14" s="5">
        <f t="shared" si="25"/>
        <v>2030</v>
      </c>
      <c r="C14" s="7">
        <f t="shared" si="19"/>
        <v>191008.125</v>
      </c>
      <c r="D14" s="7" t="e">
        <f t="shared" si="21"/>
        <v>#REF!</v>
      </c>
      <c r="E14" s="7" t="e">
        <f t="shared" si="20"/>
        <v>#REF!</v>
      </c>
      <c r="F14" s="7">
        <f t="shared" si="22"/>
        <v>0</v>
      </c>
      <c r="G14" s="7" t="e">
        <f t="shared" si="23"/>
        <v>#REF!</v>
      </c>
      <c r="H14" s="7" t="e">
        <f t="shared" si="24"/>
        <v>#REF!</v>
      </c>
      <c r="J14" s="5">
        <f t="shared" si="3"/>
        <v>29</v>
      </c>
      <c r="K14" s="64">
        <f t="shared" si="4"/>
        <v>2027</v>
      </c>
      <c r="L14" s="34" t="s">
        <v>55</v>
      </c>
      <c r="M14" s="70">
        <f t="shared" si="11"/>
        <v>7500</v>
      </c>
      <c r="N14" s="70">
        <f t="shared" si="0"/>
        <v>6000</v>
      </c>
      <c r="O14" s="71"/>
      <c r="P14" s="86"/>
      <c r="Q14" s="51">
        <v>0</v>
      </c>
      <c r="R14" s="88" t="str">
        <f t="shared" si="12"/>
        <v/>
      </c>
      <c r="S14" s="6">
        <v>0.2</v>
      </c>
      <c r="T14" s="8">
        <f t="shared" si="5"/>
        <v>0</v>
      </c>
      <c r="U14" s="8" t="e">
        <f>#REF!</f>
        <v>#REF!</v>
      </c>
      <c r="V14" s="8"/>
      <c r="W14" s="8" t="e">
        <f t="shared" si="6"/>
        <v>#REF!</v>
      </c>
      <c r="X14" s="27"/>
      <c r="Y14" s="26" t="e">
        <f t="shared" si="13"/>
        <v>#REF!</v>
      </c>
      <c r="Z14" s="95" t="e">
        <f>#REF!*2</f>
        <v>#REF!</v>
      </c>
      <c r="AA14" s="95"/>
      <c r="AB14" s="8">
        <f>'Business_172 PH Rd Budget'!$C$25</f>
        <v>2155.2899999999995</v>
      </c>
      <c r="AC14" s="8" t="e">
        <f t="shared" si="14"/>
        <v>#REF!</v>
      </c>
      <c r="AD14" s="8" t="e">
        <f t="shared" si="7"/>
        <v>#REF!</v>
      </c>
      <c r="AE14" s="76" t="e">
        <f t="shared" si="1"/>
        <v>#REF!</v>
      </c>
      <c r="AF14" s="8" t="e">
        <f t="shared" si="2"/>
        <v>#REF!</v>
      </c>
      <c r="AH14" s="7" t="e">
        <f t="shared" si="8"/>
        <v>#REF!</v>
      </c>
      <c r="AI14" s="79" t="e">
        <f t="shared" si="15"/>
        <v>#REF!</v>
      </c>
      <c r="AJ14" s="79" t="e">
        <f t="shared" si="18"/>
        <v>#REF!</v>
      </c>
      <c r="AK14" s="75" t="e">
        <f>PMT(#REF!,#REF!,-#REF!,0,0)</f>
        <v>#REF!</v>
      </c>
      <c r="AL14" s="75"/>
      <c r="AM14" s="7" t="e">
        <f>AJ14*(#REF!/12)</f>
        <v>#REF!</v>
      </c>
      <c r="AN14" s="7" t="e">
        <f t="shared" si="16"/>
        <v>#REF!</v>
      </c>
      <c r="AO14" s="75" t="e">
        <f t="shared" si="9"/>
        <v>#REF!</v>
      </c>
      <c r="AP14" s="75" t="e">
        <f t="shared" si="17"/>
        <v>#REF!</v>
      </c>
      <c r="AQ14" s="7" t="e">
        <f t="shared" si="10"/>
        <v>#REF!</v>
      </c>
      <c r="AR14" s="41"/>
    </row>
    <row r="15" spans="2:44" x14ac:dyDescent="0.25">
      <c r="B15" s="5">
        <f t="shared" si="25"/>
        <v>2031</v>
      </c>
      <c r="C15" s="7">
        <f t="shared" si="19"/>
        <v>200558.53125</v>
      </c>
      <c r="D15" s="7" t="e">
        <f t="shared" si="21"/>
        <v>#REF!</v>
      </c>
      <c r="E15" s="7" t="e">
        <f t="shared" si="20"/>
        <v>#REF!</v>
      </c>
      <c r="F15" s="7">
        <f t="shared" si="22"/>
        <v>0</v>
      </c>
      <c r="G15" s="7" t="e">
        <f t="shared" si="23"/>
        <v>#REF!</v>
      </c>
      <c r="H15" s="7" t="e">
        <f t="shared" si="24"/>
        <v>#REF!</v>
      </c>
      <c r="J15" s="5">
        <f t="shared" si="3"/>
        <v>30</v>
      </c>
      <c r="K15" s="5">
        <f>K3+1</f>
        <v>2028</v>
      </c>
      <c r="L15" s="34" t="s">
        <v>31</v>
      </c>
      <c r="M15" s="70">
        <f>M14*(1+O15)</f>
        <v>7875</v>
      </c>
      <c r="N15" s="70">
        <f t="shared" si="0"/>
        <v>5906.25</v>
      </c>
      <c r="O15" s="71">
        <v>0.05</v>
      </c>
      <c r="P15" s="86"/>
      <c r="Q15" s="51">
        <v>0</v>
      </c>
      <c r="R15" s="88" t="str">
        <f t="shared" si="12"/>
        <v/>
      </c>
      <c r="S15" s="6">
        <v>0.25</v>
      </c>
      <c r="T15" s="8">
        <f t="shared" si="5"/>
        <v>0</v>
      </c>
      <c r="U15" s="8" t="e">
        <f>#REF!</f>
        <v>#REF!</v>
      </c>
      <c r="V15" s="8"/>
      <c r="W15" s="8" t="e">
        <f t="shared" si="6"/>
        <v>#REF!</v>
      </c>
      <c r="X15" s="27"/>
      <c r="Y15" s="26" t="e">
        <f t="shared" si="13"/>
        <v>#REF!</v>
      </c>
      <c r="Z15" s="95" t="e">
        <f>#REF!*2</f>
        <v>#REF!</v>
      </c>
      <c r="AA15" s="95"/>
      <c r="AB15" s="8">
        <f>'Business_172 PH Rd Budget'!$C$25</f>
        <v>2155.2899999999995</v>
      </c>
      <c r="AC15" s="8" t="e">
        <f t="shared" si="14"/>
        <v>#REF!</v>
      </c>
      <c r="AD15" s="8" t="e">
        <f t="shared" si="7"/>
        <v>#REF!</v>
      </c>
      <c r="AE15" s="76" t="e">
        <f t="shared" si="1"/>
        <v>#REF!</v>
      </c>
      <c r="AF15" s="8" t="e">
        <f t="shared" si="2"/>
        <v>#REF!</v>
      </c>
      <c r="AH15" s="7" t="e">
        <f t="shared" si="8"/>
        <v>#REF!</v>
      </c>
      <c r="AI15" s="79" t="e">
        <f t="shared" si="15"/>
        <v>#REF!</v>
      </c>
      <c r="AJ15" s="79" t="e">
        <f t="shared" si="18"/>
        <v>#REF!</v>
      </c>
      <c r="AK15" s="75" t="e">
        <f>PMT(#REF!,#REF!,-#REF!,0,0)</f>
        <v>#REF!</v>
      </c>
      <c r="AL15" s="75"/>
      <c r="AM15" s="7" t="e">
        <f>AJ15*(#REF!/12)</f>
        <v>#REF!</v>
      </c>
      <c r="AN15" s="7" t="e">
        <f t="shared" si="16"/>
        <v>#REF!</v>
      </c>
      <c r="AO15" s="75" t="e">
        <f t="shared" si="9"/>
        <v>#REF!</v>
      </c>
      <c r="AP15" s="75" t="e">
        <f t="shared" si="17"/>
        <v>#REF!</v>
      </c>
      <c r="AQ15" s="7" t="e">
        <f t="shared" si="10"/>
        <v>#REF!</v>
      </c>
      <c r="AR15" s="41"/>
    </row>
    <row r="16" spans="2:44" x14ac:dyDescent="0.25">
      <c r="B16" s="5">
        <f t="shared" si="25"/>
        <v>2032</v>
      </c>
      <c r="C16" s="7">
        <f t="shared" si="19"/>
        <v>210586.45781249998</v>
      </c>
      <c r="D16" s="7" t="e">
        <f t="shared" si="21"/>
        <v>#REF!</v>
      </c>
      <c r="E16" s="7" t="e">
        <f t="shared" si="20"/>
        <v>#REF!</v>
      </c>
      <c r="F16" s="7">
        <f t="shared" si="22"/>
        <v>0</v>
      </c>
      <c r="G16" s="7" t="e">
        <f t="shared" si="23"/>
        <v>#REF!</v>
      </c>
      <c r="H16" s="7" t="e">
        <f t="shared" si="24"/>
        <v>#REF!</v>
      </c>
      <c r="J16" s="5">
        <f t="shared" si="3"/>
        <v>30</v>
      </c>
      <c r="K16" s="5">
        <f t="shared" ref="K16:K79" si="26">K4+1</f>
        <v>2028</v>
      </c>
      <c r="L16" s="34" t="s">
        <v>33</v>
      </c>
      <c r="M16" s="70">
        <f t="shared" si="11"/>
        <v>7875</v>
      </c>
      <c r="N16" s="70">
        <f t="shared" si="0"/>
        <v>5906.25</v>
      </c>
      <c r="O16" s="71"/>
      <c r="P16" s="86"/>
      <c r="Q16" s="51">
        <v>0</v>
      </c>
      <c r="R16" s="88" t="str">
        <f t="shared" si="12"/>
        <v/>
      </c>
      <c r="S16" s="6">
        <v>0.25</v>
      </c>
      <c r="T16" s="8">
        <f t="shared" si="5"/>
        <v>0</v>
      </c>
      <c r="U16" s="8" t="e">
        <f>#REF!</f>
        <v>#REF!</v>
      </c>
      <c r="V16" s="8"/>
      <c r="W16" s="8" t="e">
        <f t="shared" si="6"/>
        <v>#REF!</v>
      </c>
      <c r="X16" s="27"/>
      <c r="Y16" s="26" t="e">
        <f t="shared" si="13"/>
        <v>#REF!</v>
      </c>
      <c r="Z16" s="95" t="e">
        <f>#REF!*2</f>
        <v>#REF!</v>
      </c>
      <c r="AA16" s="95"/>
      <c r="AB16" s="8">
        <f>'Business_172 PH Rd Budget'!$C$25</f>
        <v>2155.2899999999995</v>
      </c>
      <c r="AC16" s="8" t="e">
        <f t="shared" si="14"/>
        <v>#REF!</v>
      </c>
      <c r="AD16" s="8" t="e">
        <f t="shared" si="7"/>
        <v>#REF!</v>
      </c>
      <c r="AE16" s="76" t="e">
        <f t="shared" si="1"/>
        <v>#REF!</v>
      </c>
      <c r="AF16" s="8" t="e">
        <f t="shared" si="2"/>
        <v>#REF!</v>
      </c>
      <c r="AH16" s="7" t="e">
        <f t="shared" si="8"/>
        <v>#REF!</v>
      </c>
      <c r="AI16" s="79" t="e">
        <f t="shared" si="15"/>
        <v>#REF!</v>
      </c>
      <c r="AJ16" s="79" t="e">
        <f t="shared" si="18"/>
        <v>#REF!</v>
      </c>
      <c r="AK16" s="75" t="e">
        <f>PMT(#REF!,#REF!,-#REF!,0,0)</f>
        <v>#REF!</v>
      </c>
      <c r="AL16" s="75"/>
      <c r="AM16" s="7" t="e">
        <f>AJ16*(#REF!/12)</f>
        <v>#REF!</v>
      </c>
      <c r="AN16" s="7" t="e">
        <f t="shared" si="16"/>
        <v>#REF!</v>
      </c>
      <c r="AO16" s="75" t="e">
        <f t="shared" si="9"/>
        <v>#REF!</v>
      </c>
      <c r="AP16" s="75" t="e">
        <f t="shared" si="17"/>
        <v>#REF!</v>
      </c>
      <c r="AQ16" s="7" t="e">
        <f t="shared" si="10"/>
        <v>#REF!</v>
      </c>
      <c r="AR16" s="41"/>
    </row>
    <row r="17" spans="2:46" x14ac:dyDescent="0.25">
      <c r="B17" s="5">
        <f t="shared" si="25"/>
        <v>2033</v>
      </c>
      <c r="C17" s="7">
        <f t="shared" si="19"/>
        <v>221115.78070312506</v>
      </c>
      <c r="D17" s="7" t="e">
        <f t="shared" si="21"/>
        <v>#REF!</v>
      </c>
      <c r="E17" s="7" t="e">
        <f t="shared" si="20"/>
        <v>#REF!</v>
      </c>
      <c r="F17" s="7">
        <f t="shared" si="22"/>
        <v>0</v>
      </c>
      <c r="G17" s="7" t="e">
        <f t="shared" si="23"/>
        <v>#REF!</v>
      </c>
      <c r="H17" s="7" t="e">
        <f t="shared" si="24"/>
        <v>#REF!</v>
      </c>
      <c r="J17" s="5">
        <f t="shared" si="3"/>
        <v>30</v>
      </c>
      <c r="K17" s="5">
        <f t="shared" si="26"/>
        <v>2028</v>
      </c>
      <c r="L17" s="34" t="s">
        <v>36</v>
      </c>
      <c r="M17" s="70">
        <f t="shared" si="11"/>
        <v>7875</v>
      </c>
      <c r="N17" s="70">
        <f t="shared" si="0"/>
        <v>6300</v>
      </c>
      <c r="O17" s="71"/>
      <c r="P17" s="86"/>
      <c r="Q17" s="51">
        <v>0</v>
      </c>
      <c r="R17" s="88" t="str">
        <f t="shared" si="12"/>
        <v/>
      </c>
      <c r="S17" s="6">
        <v>0.2</v>
      </c>
      <c r="T17" s="8">
        <f t="shared" si="5"/>
        <v>0</v>
      </c>
      <c r="U17" s="8" t="e">
        <f>#REF!</f>
        <v>#REF!</v>
      </c>
      <c r="V17" s="8"/>
      <c r="W17" s="8" t="e">
        <f t="shared" si="6"/>
        <v>#REF!</v>
      </c>
      <c r="X17" s="27"/>
      <c r="Y17" s="26" t="e">
        <f t="shared" si="13"/>
        <v>#REF!</v>
      </c>
      <c r="Z17" s="95" t="e">
        <f>#REF!*2</f>
        <v>#REF!</v>
      </c>
      <c r="AA17" s="95"/>
      <c r="AB17" s="8">
        <f>'Business_172 PH Rd Budget'!$C$25</f>
        <v>2155.2899999999995</v>
      </c>
      <c r="AC17" s="8" t="e">
        <f t="shared" si="14"/>
        <v>#REF!</v>
      </c>
      <c r="AD17" s="8" t="e">
        <f t="shared" si="7"/>
        <v>#REF!</v>
      </c>
      <c r="AE17" s="76" t="e">
        <f t="shared" si="1"/>
        <v>#REF!</v>
      </c>
      <c r="AF17" s="8" t="e">
        <f t="shared" si="2"/>
        <v>#REF!</v>
      </c>
      <c r="AH17" s="7" t="e">
        <f t="shared" si="8"/>
        <v>#REF!</v>
      </c>
      <c r="AI17" s="79" t="e">
        <f t="shared" si="15"/>
        <v>#REF!</v>
      </c>
      <c r="AJ17" s="79" t="e">
        <f t="shared" si="18"/>
        <v>#REF!</v>
      </c>
      <c r="AK17" s="75" t="e">
        <f>PMT(#REF!,#REF!,-#REF!,0,0)</f>
        <v>#REF!</v>
      </c>
      <c r="AL17" s="75"/>
      <c r="AM17" s="7" t="e">
        <f>AJ17*(#REF!/12)</f>
        <v>#REF!</v>
      </c>
      <c r="AN17" s="7" t="e">
        <f t="shared" si="16"/>
        <v>#REF!</v>
      </c>
      <c r="AO17" s="75" t="e">
        <f t="shared" si="9"/>
        <v>#REF!</v>
      </c>
      <c r="AP17" s="75" t="e">
        <f t="shared" si="17"/>
        <v>#REF!</v>
      </c>
      <c r="AQ17" s="7" t="e">
        <f t="shared" si="10"/>
        <v>#REF!</v>
      </c>
      <c r="AR17" s="41"/>
      <c r="AT17" s="72"/>
    </row>
    <row r="18" spans="2:46" x14ac:dyDescent="0.25">
      <c r="B18" s="5">
        <f t="shared" si="25"/>
        <v>2034</v>
      </c>
      <c r="C18" s="7">
        <f t="shared" si="19"/>
        <v>232171.56973828125</v>
      </c>
      <c r="D18" s="7" t="e">
        <f t="shared" si="21"/>
        <v>#REF!</v>
      </c>
      <c r="E18" s="7" t="e">
        <f t="shared" si="20"/>
        <v>#REF!</v>
      </c>
      <c r="F18" s="7">
        <f t="shared" si="22"/>
        <v>0</v>
      </c>
      <c r="G18" s="7" t="e">
        <f t="shared" si="23"/>
        <v>#REF!</v>
      </c>
      <c r="H18" s="7" t="e">
        <f t="shared" si="24"/>
        <v>#REF!</v>
      </c>
      <c r="J18" s="5">
        <f t="shared" si="3"/>
        <v>30</v>
      </c>
      <c r="K18" s="5">
        <f t="shared" si="26"/>
        <v>2028</v>
      </c>
      <c r="L18" s="34" t="s">
        <v>38</v>
      </c>
      <c r="M18" s="70">
        <f>M17*(1+O18)</f>
        <v>7875</v>
      </c>
      <c r="N18" s="70">
        <f t="shared" si="0"/>
        <v>7087.5</v>
      </c>
      <c r="O18" s="71"/>
      <c r="P18" s="86"/>
      <c r="Q18" s="51">
        <v>0</v>
      </c>
      <c r="R18" s="88" t="str">
        <f t="shared" si="12"/>
        <v/>
      </c>
      <c r="S18" s="6">
        <v>0.1</v>
      </c>
      <c r="T18" s="8">
        <f t="shared" si="5"/>
        <v>0</v>
      </c>
      <c r="U18" s="8" t="e">
        <f>#REF!</f>
        <v>#REF!</v>
      </c>
      <c r="V18" s="8"/>
      <c r="W18" s="8" t="e">
        <f t="shared" si="6"/>
        <v>#REF!</v>
      </c>
      <c r="X18" s="27"/>
      <c r="Y18" s="26" t="e">
        <f t="shared" si="13"/>
        <v>#REF!</v>
      </c>
      <c r="Z18" s="95" t="e">
        <f>#REF!*2</f>
        <v>#REF!</v>
      </c>
      <c r="AA18" s="95"/>
      <c r="AB18" s="8">
        <f>'Business_172 PH Rd Budget'!$C$25</f>
        <v>2155.2899999999995</v>
      </c>
      <c r="AC18" s="8" t="e">
        <f t="shared" si="14"/>
        <v>#REF!</v>
      </c>
      <c r="AD18" s="8" t="e">
        <f t="shared" si="7"/>
        <v>#REF!</v>
      </c>
      <c r="AE18" s="76" t="e">
        <f t="shared" si="1"/>
        <v>#REF!</v>
      </c>
      <c r="AF18" s="8" t="e">
        <f t="shared" si="2"/>
        <v>#REF!</v>
      </c>
      <c r="AH18" s="7" t="e">
        <f t="shared" si="8"/>
        <v>#REF!</v>
      </c>
      <c r="AI18" s="79" t="e">
        <f t="shared" si="15"/>
        <v>#REF!</v>
      </c>
      <c r="AJ18" s="79" t="e">
        <f t="shared" si="18"/>
        <v>#REF!</v>
      </c>
      <c r="AK18" s="75" t="e">
        <f>PMT(#REF!,#REF!,-#REF!,0,0)</f>
        <v>#REF!</v>
      </c>
      <c r="AL18" s="75"/>
      <c r="AM18" s="7" t="e">
        <f>AJ18*(#REF!/12)</f>
        <v>#REF!</v>
      </c>
      <c r="AN18" s="7" t="e">
        <f t="shared" si="16"/>
        <v>#REF!</v>
      </c>
      <c r="AO18" s="75" t="e">
        <f t="shared" si="9"/>
        <v>#REF!</v>
      </c>
      <c r="AP18" s="75" t="e">
        <f t="shared" si="17"/>
        <v>#REF!</v>
      </c>
      <c r="AQ18" s="7" t="e">
        <f t="shared" si="10"/>
        <v>#REF!</v>
      </c>
      <c r="AR18" s="41"/>
    </row>
    <row r="19" spans="2:46" x14ac:dyDescent="0.25">
      <c r="B19" s="5">
        <f t="shared" si="25"/>
        <v>2035</v>
      </c>
      <c r="C19" s="7">
        <f t="shared" si="19"/>
        <v>243780.14822519536</v>
      </c>
      <c r="D19" s="7" t="e">
        <f t="shared" si="21"/>
        <v>#REF!</v>
      </c>
      <c r="E19" s="7" t="e">
        <f t="shared" si="20"/>
        <v>#REF!</v>
      </c>
      <c r="F19" s="7">
        <f t="shared" si="22"/>
        <v>0</v>
      </c>
      <c r="G19" s="7" t="e">
        <f t="shared" si="23"/>
        <v>#REF!</v>
      </c>
      <c r="H19" s="7" t="e">
        <f t="shared" si="24"/>
        <v>#REF!</v>
      </c>
      <c r="J19" s="5">
        <f t="shared" si="3"/>
        <v>30</v>
      </c>
      <c r="K19" s="5">
        <f t="shared" si="26"/>
        <v>2028</v>
      </c>
      <c r="L19" s="34" t="s">
        <v>40</v>
      </c>
      <c r="M19" s="70">
        <f>M18*(1+O19)</f>
        <v>7875</v>
      </c>
      <c r="N19" s="70">
        <f t="shared" si="0"/>
        <v>7875</v>
      </c>
      <c r="O19" s="71"/>
      <c r="P19" s="86">
        <v>5</v>
      </c>
      <c r="Q19" s="51">
        <v>0</v>
      </c>
      <c r="R19" s="88">
        <f t="shared" si="12"/>
        <v>0</v>
      </c>
      <c r="S19" s="6">
        <v>0</v>
      </c>
      <c r="T19" s="8">
        <f t="shared" si="5"/>
        <v>0</v>
      </c>
      <c r="U19" s="8" t="e">
        <f>#REF!</f>
        <v>#REF!</v>
      </c>
      <c r="V19" s="8"/>
      <c r="W19" s="8" t="e">
        <f t="shared" si="6"/>
        <v>#REF!</v>
      </c>
      <c r="X19" s="27"/>
      <c r="Y19" s="26" t="e">
        <f t="shared" si="13"/>
        <v>#REF!</v>
      </c>
      <c r="Z19" s="95"/>
      <c r="AA19" s="95"/>
      <c r="AB19" s="8">
        <f>'Business_172 PH Rd Budget'!$C$25</f>
        <v>2155.2899999999995</v>
      </c>
      <c r="AC19" s="8" t="e">
        <f t="shared" si="14"/>
        <v>#REF!</v>
      </c>
      <c r="AD19" s="8" t="e">
        <f t="shared" si="7"/>
        <v>#REF!</v>
      </c>
      <c r="AE19" s="76" t="e">
        <f t="shared" si="1"/>
        <v>#REF!</v>
      </c>
      <c r="AF19" s="8" t="e">
        <f t="shared" si="2"/>
        <v>#REF!</v>
      </c>
      <c r="AH19" s="7" t="e">
        <f t="shared" si="8"/>
        <v>#REF!</v>
      </c>
      <c r="AI19" s="79" t="e">
        <f t="shared" si="15"/>
        <v>#REF!</v>
      </c>
      <c r="AJ19" s="79" t="e">
        <f t="shared" si="18"/>
        <v>#REF!</v>
      </c>
      <c r="AK19" s="75" t="e">
        <f>PMT(#REF!,#REF!,-#REF!,0,0)</f>
        <v>#REF!</v>
      </c>
      <c r="AL19" s="75"/>
      <c r="AM19" s="7" t="e">
        <f>AJ19*(#REF!/12)</f>
        <v>#REF!</v>
      </c>
      <c r="AN19" s="7" t="e">
        <f t="shared" si="16"/>
        <v>#REF!</v>
      </c>
      <c r="AO19" s="75" t="e">
        <f t="shared" si="9"/>
        <v>#REF!</v>
      </c>
      <c r="AP19" s="75" t="e">
        <f t="shared" si="17"/>
        <v>#REF!</v>
      </c>
      <c r="AQ19" s="7" t="e">
        <f t="shared" si="10"/>
        <v>#REF!</v>
      </c>
      <c r="AR19" s="41"/>
    </row>
    <row r="20" spans="2:46" x14ac:dyDescent="0.25">
      <c r="B20" s="5">
        <f t="shared" si="25"/>
        <v>2036</v>
      </c>
      <c r="C20" s="7">
        <f t="shared" si="19"/>
        <v>251315.17098851956</v>
      </c>
      <c r="D20" s="7" t="e">
        <f t="shared" si="21"/>
        <v>#REF!</v>
      </c>
      <c r="E20" s="7" t="e">
        <f t="shared" si="20"/>
        <v>#REF!</v>
      </c>
      <c r="F20" s="7">
        <f t="shared" si="22"/>
        <v>0</v>
      </c>
      <c r="G20" s="7" t="e">
        <f t="shared" si="23"/>
        <v>#REF!</v>
      </c>
      <c r="H20" s="7" t="e">
        <f t="shared" si="24"/>
        <v>#REF!</v>
      </c>
      <c r="J20" s="5">
        <f t="shared" si="3"/>
        <v>30</v>
      </c>
      <c r="K20" s="5">
        <f t="shared" si="26"/>
        <v>2028</v>
      </c>
      <c r="L20" s="34" t="s">
        <v>42</v>
      </c>
      <c r="M20" s="70">
        <f t="shared" si="11"/>
        <v>7875</v>
      </c>
      <c r="N20" s="70">
        <f t="shared" si="0"/>
        <v>7875</v>
      </c>
      <c r="O20" s="71"/>
      <c r="P20" s="86">
        <v>4</v>
      </c>
      <c r="Q20" s="51">
        <v>2</v>
      </c>
      <c r="R20" s="88">
        <f t="shared" si="12"/>
        <v>0.5</v>
      </c>
      <c r="S20" s="6">
        <v>0</v>
      </c>
      <c r="T20" s="8">
        <f t="shared" si="5"/>
        <v>15750</v>
      </c>
      <c r="U20" s="8" t="e">
        <f>#REF!</f>
        <v>#REF!</v>
      </c>
      <c r="V20" s="8"/>
      <c r="W20" s="8" t="e">
        <f t="shared" si="6"/>
        <v>#REF!</v>
      </c>
      <c r="X20" s="27"/>
      <c r="Y20" s="26" t="e">
        <f t="shared" si="13"/>
        <v>#REF!</v>
      </c>
      <c r="Z20" s="95"/>
      <c r="AA20" s="95"/>
      <c r="AB20" s="8">
        <f>'Business_172 PH Rd Budget'!$C$25</f>
        <v>2155.2899999999995</v>
      </c>
      <c r="AC20" s="8" t="e">
        <f t="shared" si="14"/>
        <v>#REF!</v>
      </c>
      <c r="AD20" s="8" t="e">
        <f t="shared" si="7"/>
        <v>#REF!</v>
      </c>
      <c r="AE20" s="76" t="e">
        <f t="shared" si="1"/>
        <v>#REF!</v>
      </c>
      <c r="AF20" s="8" t="e">
        <f t="shared" si="2"/>
        <v>#REF!</v>
      </c>
      <c r="AH20" s="7" t="e">
        <f t="shared" si="8"/>
        <v>#REF!</v>
      </c>
      <c r="AI20" s="79" t="e">
        <f t="shared" si="15"/>
        <v>#REF!</v>
      </c>
      <c r="AJ20" s="79" t="e">
        <f t="shared" si="18"/>
        <v>#REF!</v>
      </c>
      <c r="AK20" s="75" t="e">
        <f>PMT(#REF!,#REF!,-#REF!,0,0)</f>
        <v>#REF!</v>
      </c>
      <c r="AL20" s="75"/>
      <c r="AM20" s="7" t="e">
        <f>AJ20*(#REF!/12)</f>
        <v>#REF!</v>
      </c>
      <c r="AN20" s="7" t="e">
        <f t="shared" si="16"/>
        <v>#REF!</v>
      </c>
      <c r="AO20" s="75" t="e">
        <f t="shared" si="9"/>
        <v>#REF!</v>
      </c>
      <c r="AP20" s="75" t="e">
        <f t="shared" si="17"/>
        <v>#REF!</v>
      </c>
      <c r="AQ20" s="7" t="e">
        <f t="shared" si="10"/>
        <v>#REF!</v>
      </c>
      <c r="AR20" s="41"/>
    </row>
    <row r="21" spans="2:46" x14ac:dyDescent="0.25">
      <c r="B21" s="5">
        <f t="shared" si="25"/>
        <v>2037</v>
      </c>
      <c r="C21" s="7">
        <f t="shared" si="19"/>
        <v>268767.61341827788</v>
      </c>
      <c r="D21" s="7" t="e">
        <f t="shared" si="21"/>
        <v>#REF!</v>
      </c>
      <c r="E21" s="7" t="e">
        <f t="shared" si="20"/>
        <v>#REF!</v>
      </c>
      <c r="F21" s="7">
        <f t="shared" si="22"/>
        <v>0</v>
      </c>
      <c r="G21" s="7" t="e">
        <f t="shared" si="23"/>
        <v>#REF!</v>
      </c>
      <c r="H21" s="7" t="e">
        <f t="shared" si="24"/>
        <v>#REF!</v>
      </c>
      <c r="J21" s="5">
        <f t="shared" si="3"/>
        <v>30</v>
      </c>
      <c r="K21" s="5">
        <f t="shared" si="26"/>
        <v>2028</v>
      </c>
      <c r="L21" s="34" t="s">
        <v>44</v>
      </c>
      <c r="M21" s="70">
        <f t="shared" si="11"/>
        <v>7875</v>
      </c>
      <c r="N21" s="70">
        <f t="shared" si="0"/>
        <v>7875</v>
      </c>
      <c r="O21" s="71"/>
      <c r="P21" s="86">
        <v>5</v>
      </c>
      <c r="Q21" s="51">
        <v>2</v>
      </c>
      <c r="R21" s="88">
        <f t="shared" si="12"/>
        <v>0.4</v>
      </c>
      <c r="S21" s="6">
        <v>0</v>
      </c>
      <c r="T21" s="8">
        <f t="shared" si="5"/>
        <v>15750</v>
      </c>
      <c r="U21" s="8" t="e">
        <f>#REF!</f>
        <v>#REF!</v>
      </c>
      <c r="V21" s="8"/>
      <c r="W21" s="8" t="e">
        <f t="shared" si="6"/>
        <v>#REF!</v>
      </c>
      <c r="X21" s="27"/>
      <c r="Y21" s="26" t="e">
        <f t="shared" si="13"/>
        <v>#REF!</v>
      </c>
      <c r="Z21" s="95"/>
      <c r="AA21" s="95"/>
      <c r="AB21" s="8">
        <f>'Business_172 PH Rd Budget'!$C$25</f>
        <v>2155.2899999999995</v>
      </c>
      <c r="AC21" s="8" t="e">
        <f t="shared" si="14"/>
        <v>#REF!</v>
      </c>
      <c r="AD21" s="8" t="e">
        <f t="shared" si="7"/>
        <v>#REF!</v>
      </c>
      <c r="AE21" s="76" t="e">
        <f t="shared" si="1"/>
        <v>#REF!</v>
      </c>
      <c r="AF21" s="8" t="e">
        <f t="shared" si="2"/>
        <v>#REF!</v>
      </c>
      <c r="AH21" s="7" t="e">
        <f t="shared" si="8"/>
        <v>#REF!</v>
      </c>
      <c r="AI21" s="79" t="e">
        <f t="shared" si="15"/>
        <v>#REF!</v>
      </c>
      <c r="AJ21" s="79" t="e">
        <f t="shared" si="18"/>
        <v>#REF!</v>
      </c>
      <c r="AK21" s="75" t="e">
        <f>PMT(#REF!,#REF!,-#REF!,0,0)</f>
        <v>#REF!</v>
      </c>
      <c r="AL21" s="75"/>
      <c r="AM21" s="7" t="e">
        <f>AJ21*(#REF!/12)</f>
        <v>#REF!</v>
      </c>
      <c r="AN21" s="7" t="e">
        <f t="shared" si="16"/>
        <v>#REF!</v>
      </c>
      <c r="AO21" s="75" t="e">
        <f t="shared" si="9"/>
        <v>#REF!</v>
      </c>
      <c r="AP21" s="75" t="e">
        <f t="shared" si="17"/>
        <v>#REF!</v>
      </c>
      <c r="AQ21" s="7" t="e">
        <f t="shared" si="10"/>
        <v>#REF!</v>
      </c>
      <c r="AR21" s="41"/>
    </row>
    <row r="22" spans="2:46" x14ac:dyDescent="0.25">
      <c r="B22" s="5">
        <f t="shared" si="25"/>
        <v>2038</v>
      </c>
      <c r="C22" s="7">
        <f t="shared" si="19"/>
        <v>282205.99408919178</v>
      </c>
      <c r="D22" s="7" t="e">
        <f t="shared" si="21"/>
        <v>#REF!</v>
      </c>
      <c r="E22" s="7" t="e">
        <f t="shared" si="20"/>
        <v>#REF!</v>
      </c>
      <c r="F22" s="7">
        <f t="shared" si="22"/>
        <v>0</v>
      </c>
      <c r="G22" s="7" t="e">
        <f t="shared" si="23"/>
        <v>#REF!</v>
      </c>
      <c r="H22" s="7" t="e">
        <f t="shared" si="24"/>
        <v>#REF!</v>
      </c>
      <c r="J22" s="5">
        <f t="shared" si="3"/>
        <v>30</v>
      </c>
      <c r="K22" s="5">
        <f t="shared" si="26"/>
        <v>2028</v>
      </c>
      <c r="L22" s="34" t="s">
        <v>47</v>
      </c>
      <c r="M22" s="70">
        <f t="shared" si="11"/>
        <v>7875</v>
      </c>
      <c r="N22" s="70">
        <f t="shared" si="0"/>
        <v>7875</v>
      </c>
      <c r="O22" s="71"/>
      <c r="P22" s="86">
        <v>4</v>
      </c>
      <c r="Q22" s="44">
        <v>2</v>
      </c>
      <c r="R22" s="88">
        <f t="shared" si="12"/>
        <v>0.5</v>
      </c>
      <c r="S22" s="6">
        <v>0</v>
      </c>
      <c r="T22" s="8">
        <f t="shared" si="5"/>
        <v>15750</v>
      </c>
      <c r="U22" s="8" t="e">
        <f>#REF!</f>
        <v>#REF!</v>
      </c>
      <c r="V22" s="8"/>
      <c r="W22" s="8" t="e">
        <f t="shared" si="6"/>
        <v>#REF!</v>
      </c>
      <c r="X22" s="27"/>
      <c r="Y22" s="26" t="e">
        <f t="shared" si="13"/>
        <v>#REF!</v>
      </c>
      <c r="Z22" s="95"/>
      <c r="AA22" s="95"/>
      <c r="AB22" s="8">
        <f>'Business_172 PH Rd Budget'!$C$25</f>
        <v>2155.2899999999995</v>
      </c>
      <c r="AC22" s="8" t="e">
        <f t="shared" si="14"/>
        <v>#REF!</v>
      </c>
      <c r="AD22" s="8" t="e">
        <f t="shared" si="7"/>
        <v>#REF!</v>
      </c>
      <c r="AE22" s="76" t="e">
        <f t="shared" si="1"/>
        <v>#REF!</v>
      </c>
      <c r="AF22" s="8" t="e">
        <f t="shared" si="2"/>
        <v>#REF!</v>
      </c>
      <c r="AH22" s="7" t="e">
        <f t="shared" si="8"/>
        <v>#REF!</v>
      </c>
      <c r="AI22" s="79" t="e">
        <f t="shared" si="15"/>
        <v>#REF!</v>
      </c>
      <c r="AJ22" s="79" t="e">
        <f t="shared" si="18"/>
        <v>#REF!</v>
      </c>
      <c r="AK22" s="75" t="e">
        <f>PMT(#REF!,#REF!,-#REF!,0,0)</f>
        <v>#REF!</v>
      </c>
      <c r="AL22" s="75"/>
      <c r="AM22" s="7" t="e">
        <f>AJ22*(#REF!/12)</f>
        <v>#REF!</v>
      </c>
      <c r="AN22" s="7" t="e">
        <f t="shared" si="16"/>
        <v>#REF!</v>
      </c>
      <c r="AO22" s="75" t="e">
        <f t="shared" si="9"/>
        <v>#REF!</v>
      </c>
      <c r="AP22" s="75" t="e">
        <f t="shared" si="17"/>
        <v>#REF!</v>
      </c>
      <c r="AQ22" s="7" t="e">
        <f t="shared" si="10"/>
        <v>#REF!</v>
      </c>
      <c r="AR22" s="41"/>
    </row>
    <row r="23" spans="2:46" x14ac:dyDescent="0.25">
      <c r="B23" s="5">
        <f t="shared" si="25"/>
        <v>2039</v>
      </c>
      <c r="C23" s="7">
        <f t="shared" si="19"/>
        <v>296316.29379365133</v>
      </c>
      <c r="D23" s="7" t="e">
        <f t="shared" si="21"/>
        <v>#REF!</v>
      </c>
      <c r="E23" s="7"/>
      <c r="F23" s="7">
        <f t="shared" si="22"/>
        <v>0</v>
      </c>
      <c r="G23" s="7" t="e">
        <f t="shared" si="23"/>
        <v>#REF!</v>
      </c>
      <c r="H23" s="7" t="e">
        <f t="shared" si="24"/>
        <v>#REF!</v>
      </c>
      <c r="J23" s="5">
        <f t="shared" si="3"/>
        <v>30</v>
      </c>
      <c r="K23" s="5">
        <f t="shared" si="26"/>
        <v>2028</v>
      </c>
      <c r="L23" s="34" t="s">
        <v>49</v>
      </c>
      <c r="M23" s="70">
        <f t="shared" si="11"/>
        <v>7875</v>
      </c>
      <c r="N23" s="70">
        <f t="shared" si="0"/>
        <v>7875</v>
      </c>
      <c r="O23" s="71"/>
      <c r="P23" s="86">
        <v>4</v>
      </c>
      <c r="Q23" s="44">
        <v>2</v>
      </c>
      <c r="R23" s="88">
        <f t="shared" si="12"/>
        <v>0.5</v>
      </c>
      <c r="S23" s="6">
        <v>0</v>
      </c>
      <c r="T23" s="8">
        <f t="shared" si="5"/>
        <v>15750</v>
      </c>
      <c r="U23" s="8" t="e">
        <f>#REF!</f>
        <v>#REF!</v>
      </c>
      <c r="V23" s="8"/>
      <c r="W23" s="8" t="e">
        <f t="shared" si="6"/>
        <v>#REF!</v>
      </c>
      <c r="X23" s="27"/>
      <c r="Y23" s="26" t="e">
        <f t="shared" si="13"/>
        <v>#REF!</v>
      </c>
      <c r="Z23" s="95"/>
      <c r="AA23" s="95"/>
      <c r="AB23" s="8">
        <f>'Business_172 PH Rd Budget'!$C$25</f>
        <v>2155.2899999999995</v>
      </c>
      <c r="AC23" s="8" t="e">
        <f t="shared" si="14"/>
        <v>#REF!</v>
      </c>
      <c r="AD23" s="8" t="e">
        <f t="shared" si="7"/>
        <v>#REF!</v>
      </c>
      <c r="AE23" s="76" t="e">
        <f t="shared" si="1"/>
        <v>#REF!</v>
      </c>
      <c r="AF23" s="8" t="e">
        <f t="shared" si="2"/>
        <v>#REF!</v>
      </c>
      <c r="AH23" s="7" t="e">
        <f t="shared" si="8"/>
        <v>#REF!</v>
      </c>
      <c r="AI23" s="79" t="e">
        <f t="shared" si="15"/>
        <v>#REF!</v>
      </c>
      <c r="AJ23" s="79" t="e">
        <f t="shared" si="18"/>
        <v>#REF!</v>
      </c>
      <c r="AK23" s="75" t="e">
        <f>PMT(#REF!,#REF!,-#REF!,0,0)</f>
        <v>#REF!</v>
      </c>
      <c r="AL23" s="75"/>
      <c r="AM23" s="7" t="e">
        <f>AJ23*(#REF!/12)</f>
        <v>#REF!</v>
      </c>
      <c r="AN23" s="7" t="e">
        <f t="shared" si="16"/>
        <v>#REF!</v>
      </c>
      <c r="AO23" s="75" t="e">
        <f t="shared" si="9"/>
        <v>#REF!</v>
      </c>
      <c r="AP23" s="75" t="e">
        <f t="shared" si="17"/>
        <v>#REF!</v>
      </c>
      <c r="AQ23" s="7" t="e">
        <f t="shared" si="10"/>
        <v>#REF!</v>
      </c>
      <c r="AR23" s="41"/>
    </row>
    <row r="24" spans="2:46" x14ac:dyDescent="0.25">
      <c r="B24" s="5">
        <f t="shared" si="25"/>
        <v>2040</v>
      </c>
      <c r="C24" s="7">
        <f t="shared" si="19"/>
        <v>311132.10848333396</v>
      </c>
      <c r="D24" s="7" t="e">
        <f t="shared" si="21"/>
        <v>#REF!</v>
      </c>
      <c r="E24" s="7"/>
      <c r="F24" s="7">
        <f t="shared" si="22"/>
        <v>0</v>
      </c>
      <c r="G24" s="7" t="e">
        <f t="shared" si="23"/>
        <v>#REF!</v>
      </c>
      <c r="H24" s="7" t="e">
        <f t="shared" si="24"/>
        <v>#REF!</v>
      </c>
      <c r="J24" s="5">
        <f t="shared" si="3"/>
        <v>30</v>
      </c>
      <c r="K24" s="5">
        <f t="shared" si="26"/>
        <v>2028</v>
      </c>
      <c r="L24" s="34" t="s">
        <v>51</v>
      </c>
      <c r="M24" s="70">
        <f t="shared" si="11"/>
        <v>7875</v>
      </c>
      <c r="N24" s="70">
        <f t="shared" si="0"/>
        <v>7875</v>
      </c>
      <c r="O24" s="71"/>
      <c r="P24" s="86">
        <v>5</v>
      </c>
      <c r="Q24" s="44">
        <v>3</v>
      </c>
      <c r="R24" s="88">
        <f t="shared" si="12"/>
        <v>0.6</v>
      </c>
      <c r="S24" s="6">
        <v>0</v>
      </c>
      <c r="T24" s="8">
        <f t="shared" si="5"/>
        <v>23625</v>
      </c>
      <c r="U24" s="8" t="e">
        <f>#REF!</f>
        <v>#REF!</v>
      </c>
      <c r="V24" s="8"/>
      <c r="W24" s="8" t="e">
        <f t="shared" si="6"/>
        <v>#REF!</v>
      </c>
      <c r="X24" s="27"/>
      <c r="Y24" s="26" t="e">
        <f t="shared" si="13"/>
        <v>#REF!</v>
      </c>
      <c r="Z24" s="95"/>
      <c r="AA24" s="95"/>
      <c r="AB24" s="8">
        <f>'Business_172 PH Rd Budget'!$C$25</f>
        <v>2155.2899999999995</v>
      </c>
      <c r="AC24" s="8" t="e">
        <f t="shared" si="14"/>
        <v>#REF!</v>
      </c>
      <c r="AD24" s="8" t="e">
        <f t="shared" si="7"/>
        <v>#REF!</v>
      </c>
      <c r="AE24" s="76" t="e">
        <f t="shared" si="1"/>
        <v>#REF!</v>
      </c>
      <c r="AF24" s="8" t="e">
        <f t="shared" si="2"/>
        <v>#REF!</v>
      </c>
      <c r="AH24" s="7" t="e">
        <f t="shared" si="8"/>
        <v>#REF!</v>
      </c>
      <c r="AI24" s="79" t="e">
        <f t="shared" si="15"/>
        <v>#REF!</v>
      </c>
      <c r="AJ24" s="79" t="e">
        <f t="shared" si="18"/>
        <v>#REF!</v>
      </c>
      <c r="AK24" s="75" t="e">
        <f>PMT(#REF!,#REF!,-#REF!,0,0)</f>
        <v>#REF!</v>
      </c>
      <c r="AL24" s="75"/>
      <c r="AM24" s="7" t="e">
        <f>AJ24*(#REF!/12)</f>
        <v>#REF!</v>
      </c>
      <c r="AN24" s="7" t="e">
        <f t="shared" si="16"/>
        <v>#REF!</v>
      </c>
      <c r="AO24" s="75" t="e">
        <f t="shared" si="9"/>
        <v>#REF!</v>
      </c>
      <c r="AP24" s="75" t="e">
        <f t="shared" si="17"/>
        <v>#REF!</v>
      </c>
      <c r="AQ24" s="7" t="e">
        <f t="shared" si="10"/>
        <v>#REF!</v>
      </c>
      <c r="AR24" s="41"/>
    </row>
    <row r="25" spans="2:46" x14ac:dyDescent="0.25">
      <c r="B25" s="5">
        <f t="shared" si="25"/>
        <v>2041</v>
      </c>
      <c r="C25" s="7">
        <f t="shared" si="19"/>
        <v>326688.71390750067</v>
      </c>
      <c r="D25" s="7" t="e">
        <f t="shared" si="21"/>
        <v>#REF!</v>
      </c>
      <c r="E25" s="7"/>
      <c r="F25" s="7">
        <f t="shared" si="22"/>
        <v>0</v>
      </c>
      <c r="G25" s="7" t="e">
        <f t="shared" si="23"/>
        <v>#REF!</v>
      </c>
      <c r="H25" s="7" t="e">
        <f t="shared" si="24"/>
        <v>#REF!</v>
      </c>
      <c r="J25" s="5">
        <f t="shared" si="3"/>
        <v>30</v>
      </c>
      <c r="K25" s="5">
        <f t="shared" si="26"/>
        <v>2028</v>
      </c>
      <c r="L25" s="34" t="s">
        <v>53</v>
      </c>
      <c r="M25" s="70">
        <f t="shared" si="11"/>
        <v>7875</v>
      </c>
      <c r="N25" s="70">
        <f t="shared" si="0"/>
        <v>7087.5</v>
      </c>
      <c r="O25" s="71"/>
      <c r="P25" s="86"/>
      <c r="Q25" s="51">
        <v>0</v>
      </c>
      <c r="R25" s="88" t="str">
        <f t="shared" si="12"/>
        <v/>
      </c>
      <c r="S25" s="6">
        <v>0.1</v>
      </c>
      <c r="T25" s="8">
        <f t="shared" si="5"/>
        <v>0</v>
      </c>
      <c r="U25" s="8" t="e">
        <f>#REF!</f>
        <v>#REF!</v>
      </c>
      <c r="V25" s="8"/>
      <c r="W25" s="8" t="e">
        <f t="shared" si="6"/>
        <v>#REF!</v>
      </c>
      <c r="X25" s="27"/>
      <c r="Y25" s="26" t="e">
        <f t="shared" si="13"/>
        <v>#REF!</v>
      </c>
      <c r="Z25" s="95"/>
      <c r="AA25" s="95"/>
      <c r="AB25" s="8">
        <f>'Business_172 PH Rd Budget'!$C$25</f>
        <v>2155.2899999999995</v>
      </c>
      <c r="AC25" s="8" t="e">
        <f t="shared" si="14"/>
        <v>#REF!</v>
      </c>
      <c r="AD25" s="8" t="e">
        <f t="shared" si="7"/>
        <v>#REF!</v>
      </c>
      <c r="AE25" s="76" t="e">
        <f t="shared" si="1"/>
        <v>#REF!</v>
      </c>
      <c r="AF25" s="8" t="e">
        <f t="shared" si="2"/>
        <v>#REF!</v>
      </c>
      <c r="AH25" s="7" t="e">
        <f t="shared" si="8"/>
        <v>#REF!</v>
      </c>
      <c r="AI25" s="79" t="e">
        <f t="shared" si="15"/>
        <v>#REF!</v>
      </c>
      <c r="AJ25" s="79" t="e">
        <f t="shared" si="18"/>
        <v>#REF!</v>
      </c>
      <c r="AK25" s="75" t="e">
        <f>PMT(#REF!,#REF!,-#REF!,0,0)</f>
        <v>#REF!</v>
      </c>
      <c r="AL25" s="75"/>
      <c r="AM25" s="7" t="e">
        <f>AJ25*(#REF!/12)</f>
        <v>#REF!</v>
      </c>
      <c r="AN25" s="7" t="e">
        <f t="shared" si="16"/>
        <v>#REF!</v>
      </c>
      <c r="AO25" s="75" t="e">
        <f t="shared" si="9"/>
        <v>#REF!</v>
      </c>
      <c r="AP25" s="75" t="e">
        <f t="shared" si="17"/>
        <v>#REF!</v>
      </c>
      <c r="AQ25" s="7" t="e">
        <f t="shared" si="10"/>
        <v>#REF!</v>
      </c>
      <c r="AR25" s="41"/>
    </row>
    <row r="26" spans="2:46" x14ac:dyDescent="0.25">
      <c r="B26" s="5">
        <f t="shared" si="25"/>
        <v>2042</v>
      </c>
      <c r="C26" s="7">
        <f t="shared" si="19"/>
        <v>343023.1496028757</v>
      </c>
      <c r="D26" s="7" t="e">
        <f t="shared" si="21"/>
        <v>#REF!</v>
      </c>
      <c r="E26" s="7"/>
      <c r="F26" s="7">
        <f t="shared" si="22"/>
        <v>0</v>
      </c>
      <c r="G26" s="7" t="e">
        <f t="shared" si="23"/>
        <v>#REF!</v>
      </c>
      <c r="H26" s="7" t="e">
        <f t="shared" si="24"/>
        <v>#REF!</v>
      </c>
      <c r="J26" s="5">
        <f t="shared" si="3"/>
        <v>30</v>
      </c>
      <c r="K26" s="5">
        <f t="shared" si="26"/>
        <v>2028</v>
      </c>
      <c r="L26" s="34" t="s">
        <v>55</v>
      </c>
      <c r="M26" s="70">
        <f t="shared" si="11"/>
        <v>7875</v>
      </c>
      <c r="N26" s="70">
        <f t="shared" si="0"/>
        <v>6300</v>
      </c>
      <c r="O26" s="71"/>
      <c r="P26" s="86"/>
      <c r="Q26" s="51">
        <v>0</v>
      </c>
      <c r="R26" s="88" t="str">
        <f t="shared" si="12"/>
        <v/>
      </c>
      <c r="S26" s="6">
        <v>0.2</v>
      </c>
      <c r="T26" s="8">
        <f t="shared" si="5"/>
        <v>0</v>
      </c>
      <c r="U26" s="8" t="e">
        <f>#REF!</f>
        <v>#REF!</v>
      </c>
      <c r="V26" s="8"/>
      <c r="W26" s="8" t="e">
        <f t="shared" si="6"/>
        <v>#REF!</v>
      </c>
      <c r="X26" s="27"/>
      <c r="Y26" s="26" t="e">
        <f t="shared" si="13"/>
        <v>#REF!</v>
      </c>
      <c r="Z26" s="95"/>
      <c r="AA26" s="95"/>
      <c r="AB26" s="8">
        <f>'Business_172 PH Rd Budget'!$C$25</f>
        <v>2155.2899999999995</v>
      </c>
      <c r="AC26" s="8" t="e">
        <f t="shared" si="14"/>
        <v>#REF!</v>
      </c>
      <c r="AD26" s="8" t="e">
        <f t="shared" si="7"/>
        <v>#REF!</v>
      </c>
      <c r="AE26" s="76" t="e">
        <f t="shared" si="1"/>
        <v>#REF!</v>
      </c>
      <c r="AF26" s="8" t="e">
        <f t="shared" si="2"/>
        <v>#REF!</v>
      </c>
      <c r="AH26" s="7" t="e">
        <f t="shared" si="8"/>
        <v>#REF!</v>
      </c>
      <c r="AI26" s="79" t="e">
        <f t="shared" si="15"/>
        <v>#REF!</v>
      </c>
      <c r="AJ26" s="79" t="e">
        <f t="shared" si="18"/>
        <v>#REF!</v>
      </c>
      <c r="AK26" s="75" t="e">
        <f>PMT(#REF!,#REF!,-#REF!,0,0)</f>
        <v>#REF!</v>
      </c>
      <c r="AL26" s="75"/>
      <c r="AM26" s="7" t="e">
        <f>AJ26*(#REF!/12)</f>
        <v>#REF!</v>
      </c>
      <c r="AN26" s="7" t="e">
        <f t="shared" si="16"/>
        <v>#REF!</v>
      </c>
      <c r="AO26" s="75" t="e">
        <f t="shared" si="9"/>
        <v>#REF!</v>
      </c>
      <c r="AP26" s="75" t="e">
        <f t="shared" si="17"/>
        <v>#REF!</v>
      </c>
      <c r="AQ26" s="7" t="e">
        <f t="shared" si="10"/>
        <v>#REF!</v>
      </c>
      <c r="AR26" s="41"/>
    </row>
    <row r="27" spans="2:46" x14ac:dyDescent="0.25">
      <c r="E27" s="1" t="e">
        <f>SUM(E11:E26)</f>
        <v>#REF!</v>
      </c>
      <c r="J27" s="5">
        <f t="shared" si="3"/>
        <v>31</v>
      </c>
      <c r="K27" s="5">
        <f t="shared" si="26"/>
        <v>2029</v>
      </c>
      <c r="L27" s="34" t="s">
        <v>31</v>
      </c>
      <c r="M27" s="70">
        <f t="shared" si="11"/>
        <v>8268.75</v>
      </c>
      <c r="N27" s="70">
        <f t="shared" si="0"/>
        <v>6201.5625</v>
      </c>
      <c r="O27" s="71">
        <v>0.05</v>
      </c>
      <c r="P27" s="86"/>
      <c r="Q27" s="51">
        <v>0</v>
      </c>
      <c r="R27" s="88" t="str">
        <f t="shared" si="12"/>
        <v/>
      </c>
      <c r="S27" s="6">
        <v>0.25</v>
      </c>
      <c r="T27" s="8">
        <f t="shared" si="5"/>
        <v>0</v>
      </c>
      <c r="U27" s="8" t="e">
        <f>#REF!</f>
        <v>#REF!</v>
      </c>
      <c r="V27" s="8"/>
      <c r="W27" s="8" t="e">
        <f t="shared" si="6"/>
        <v>#REF!</v>
      </c>
      <c r="X27" s="27"/>
      <c r="Y27" s="26" t="e">
        <f t="shared" si="13"/>
        <v>#REF!</v>
      </c>
      <c r="Z27" s="95"/>
      <c r="AA27" s="95"/>
      <c r="AB27" s="8">
        <f>'Business_172 PH Rd Budget'!$C$25</f>
        <v>2155.2899999999995</v>
      </c>
      <c r="AC27" s="8" t="e">
        <f t="shared" si="14"/>
        <v>#REF!</v>
      </c>
      <c r="AD27" s="8" t="e">
        <f t="shared" si="7"/>
        <v>#REF!</v>
      </c>
      <c r="AE27" s="76" t="e">
        <f t="shared" si="1"/>
        <v>#REF!</v>
      </c>
      <c r="AF27" s="8" t="e">
        <f t="shared" si="2"/>
        <v>#REF!</v>
      </c>
      <c r="AH27" s="7" t="e">
        <f t="shared" si="8"/>
        <v>#REF!</v>
      </c>
      <c r="AI27" s="79" t="e">
        <f t="shared" si="15"/>
        <v>#REF!</v>
      </c>
      <c r="AJ27" s="79" t="e">
        <f t="shared" si="18"/>
        <v>#REF!</v>
      </c>
      <c r="AK27" s="75" t="e">
        <f>PMT(#REF!,#REF!,-#REF!,0,0)</f>
        <v>#REF!</v>
      </c>
      <c r="AL27" s="75"/>
      <c r="AM27" s="7" t="e">
        <f>AJ27*(#REF!/12)</f>
        <v>#REF!</v>
      </c>
      <c r="AN27" s="7" t="e">
        <f t="shared" si="16"/>
        <v>#REF!</v>
      </c>
      <c r="AO27" s="75" t="e">
        <f t="shared" si="9"/>
        <v>#REF!</v>
      </c>
      <c r="AP27" s="75" t="e">
        <f t="shared" si="17"/>
        <v>#REF!</v>
      </c>
      <c r="AQ27" s="7" t="e">
        <f t="shared" si="10"/>
        <v>#REF!</v>
      </c>
      <c r="AR27" s="41"/>
    </row>
    <row r="28" spans="2:46" x14ac:dyDescent="0.25">
      <c r="J28" s="5">
        <f t="shared" si="3"/>
        <v>31</v>
      </c>
      <c r="K28" s="5">
        <f t="shared" si="26"/>
        <v>2029</v>
      </c>
      <c r="L28" s="34" t="s">
        <v>33</v>
      </c>
      <c r="M28" s="70">
        <f t="shared" si="11"/>
        <v>8268.75</v>
      </c>
      <c r="N28" s="70">
        <f t="shared" si="0"/>
        <v>6201.5625</v>
      </c>
      <c r="O28" s="71"/>
      <c r="P28" s="86"/>
      <c r="Q28" s="51">
        <v>0</v>
      </c>
      <c r="R28" s="88" t="str">
        <f t="shared" si="12"/>
        <v/>
      </c>
      <c r="S28" s="6">
        <v>0.25</v>
      </c>
      <c r="T28" s="8">
        <f t="shared" si="5"/>
        <v>0</v>
      </c>
      <c r="U28" s="8" t="e">
        <f>#REF!</f>
        <v>#REF!</v>
      </c>
      <c r="V28" s="8"/>
      <c r="W28" s="8" t="e">
        <f t="shared" si="6"/>
        <v>#REF!</v>
      </c>
      <c r="X28" s="27"/>
      <c r="Y28" s="26" t="e">
        <f t="shared" si="13"/>
        <v>#REF!</v>
      </c>
      <c r="Z28" s="95"/>
      <c r="AA28" s="95"/>
      <c r="AB28" s="8">
        <f>'Business_172 PH Rd Budget'!$C$25</f>
        <v>2155.2899999999995</v>
      </c>
      <c r="AC28" s="8" t="e">
        <f t="shared" si="14"/>
        <v>#REF!</v>
      </c>
      <c r="AD28" s="8" t="e">
        <f t="shared" si="7"/>
        <v>#REF!</v>
      </c>
      <c r="AE28" s="76" t="e">
        <f t="shared" si="1"/>
        <v>#REF!</v>
      </c>
      <c r="AF28" s="8" t="e">
        <f t="shared" si="2"/>
        <v>#REF!</v>
      </c>
      <c r="AH28" s="7" t="e">
        <f t="shared" si="8"/>
        <v>#REF!</v>
      </c>
      <c r="AI28" s="79" t="e">
        <f t="shared" si="15"/>
        <v>#REF!</v>
      </c>
      <c r="AJ28" s="79" t="e">
        <f t="shared" si="18"/>
        <v>#REF!</v>
      </c>
      <c r="AK28" s="75" t="e">
        <f>PMT(#REF!,#REF!,-#REF!,0,0)</f>
        <v>#REF!</v>
      </c>
      <c r="AL28" s="75"/>
      <c r="AM28" s="7" t="e">
        <f>AJ28*(#REF!/12)</f>
        <v>#REF!</v>
      </c>
      <c r="AN28" s="7" t="e">
        <f t="shared" si="16"/>
        <v>#REF!</v>
      </c>
      <c r="AO28" s="75" t="e">
        <f t="shared" si="9"/>
        <v>#REF!</v>
      </c>
      <c r="AP28" s="75" t="e">
        <f t="shared" si="17"/>
        <v>#REF!</v>
      </c>
      <c r="AQ28" s="7" t="e">
        <f t="shared" si="10"/>
        <v>#REF!</v>
      </c>
      <c r="AR28" s="41"/>
    </row>
    <row r="29" spans="2:46" x14ac:dyDescent="0.25">
      <c r="B29" t="s">
        <v>281</v>
      </c>
      <c r="J29" s="5">
        <f t="shared" si="3"/>
        <v>31</v>
      </c>
      <c r="K29" s="5">
        <f t="shared" si="26"/>
        <v>2029</v>
      </c>
      <c r="L29" s="34" t="s">
        <v>36</v>
      </c>
      <c r="M29" s="70">
        <f t="shared" si="11"/>
        <v>8268.75</v>
      </c>
      <c r="N29" s="70">
        <f t="shared" si="0"/>
        <v>6615</v>
      </c>
      <c r="O29" s="71"/>
      <c r="P29" s="86"/>
      <c r="Q29" s="51">
        <v>0</v>
      </c>
      <c r="R29" s="88" t="str">
        <f t="shared" si="12"/>
        <v/>
      </c>
      <c r="S29" s="6">
        <v>0.2</v>
      </c>
      <c r="T29" s="8">
        <f t="shared" si="5"/>
        <v>0</v>
      </c>
      <c r="U29" s="8" t="e">
        <f>#REF!</f>
        <v>#REF!</v>
      </c>
      <c r="V29" s="8"/>
      <c r="W29" s="8" t="e">
        <f t="shared" si="6"/>
        <v>#REF!</v>
      </c>
      <c r="X29" s="27"/>
      <c r="Y29" s="26" t="e">
        <f t="shared" si="13"/>
        <v>#REF!</v>
      </c>
      <c r="Z29" s="95"/>
      <c r="AA29" s="95"/>
      <c r="AB29" s="8">
        <f>'Business_172 PH Rd Budget'!$C$25</f>
        <v>2155.2899999999995</v>
      </c>
      <c r="AC29" s="8" t="e">
        <f t="shared" si="14"/>
        <v>#REF!</v>
      </c>
      <c r="AD29" s="8" t="e">
        <f t="shared" si="7"/>
        <v>#REF!</v>
      </c>
      <c r="AE29" s="76" t="e">
        <f t="shared" si="1"/>
        <v>#REF!</v>
      </c>
      <c r="AF29" s="8" t="e">
        <f t="shared" si="2"/>
        <v>#REF!</v>
      </c>
      <c r="AH29" s="7" t="e">
        <f t="shared" si="8"/>
        <v>#REF!</v>
      </c>
      <c r="AI29" s="79" t="e">
        <f t="shared" si="15"/>
        <v>#REF!</v>
      </c>
      <c r="AJ29" s="79" t="e">
        <f t="shared" si="18"/>
        <v>#REF!</v>
      </c>
      <c r="AK29" s="75" t="e">
        <f>PMT(#REF!,#REF!,-#REF!,0,0)</f>
        <v>#REF!</v>
      </c>
      <c r="AL29" s="75"/>
      <c r="AM29" s="7" t="e">
        <f>AJ29*(#REF!/12)</f>
        <v>#REF!</v>
      </c>
      <c r="AN29" s="7" t="e">
        <f t="shared" si="16"/>
        <v>#REF!</v>
      </c>
      <c r="AO29" s="75" t="e">
        <f t="shared" si="9"/>
        <v>#REF!</v>
      </c>
      <c r="AP29" s="75" t="e">
        <f t="shared" si="17"/>
        <v>#REF!</v>
      </c>
      <c r="AQ29" s="7" t="e">
        <f t="shared" si="10"/>
        <v>#REF!</v>
      </c>
      <c r="AR29" s="41"/>
    </row>
    <row r="30" spans="2:46" x14ac:dyDescent="0.25">
      <c r="B30" t="s">
        <v>282</v>
      </c>
      <c r="J30" s="5">
        <f t="shared" si="3"/>
        <v>31</v>
      </c>
      <c r="K30" s="5">
        <f t="shared" si="26"/>
        <v>2029</v>
      </c>
      <c r="L30" s="34" t="s">
        <v>38</v>
      </c>
      <c r="M30" s="70">
        <f t="shared" si="11"/>
        <v>8268.75</v>
      </c>
      <c r="N30" s="70">
        <f t="shared" si="0"/>
        <v>7441.875</v>
      </c>
      <c r="O30" s="71"/>
      <c r="P30" s="86"/>
      <c r="Q30" s="51">
        <v>0</v>
      </c>
      <c r="R30" s="88" t="str">
        <f t="shared" si="12"/>
        <v/>
      </c>
      <c r="S30" s="6">
        <v>0.1</v>
      </c>
      <c r="T30" s="8">
        <f t="shared" si="5"/>
        <v>0</v>
      </c>
      <c r="U30" s="8" t="e">
        <f>#REF!</f>
        <v>#REF!</v>
      </c>
      <c r="V30" s="8"/>
      <c r="W30" s="8" t="e">
        <f t="shared" si="6"/>
        <v>#REF!</v>
      </c>
      <c r="X30" s="27"/>
      <c r="Y30" s="26" t="e">
        <f t="shared" si="13"/>
        <v>#REF!</v>
      </c>
      <c r="Z30" s="95"/>
      <c r="AA30" s="95"/>
      <c r="AB30" s="8">
        <f>'Business_172 PH Rd Budget'!$C$25</f>
        <v>2155.2899999999995</v>
      </c>
      <c r="AC30" s="8" t="e">
        <f t="shared" si="14"/>
        <v>#REF!</v>
      </c>
      <c r="AD30" s="8" t="e">
        <f t="shared" si="7"/>
        <v>#REF!</v>
      </c>
      <c r="AE30" s="76" t="e">
        <f t="shared" si="1"/>
        <v>#REF!</v>
      </c>
      <c r="AF30" s="8" t="e">
        <f t="shared" si="2"/>
        <v>#REF!</v>
      </c>
      <c r="AH30" s="7" t="e">
        <f t="shared" si="8"/>
        <v>#REF!</v>
      </c>
      <c r="AI30" s="79" t="e">
        <f t="shared" si="15"/>
        <v>#REF!</v>
      </c>
      <c r="AJ30" s="79" t="e">
        <f t="shared" si="18"/>
        <v>#REF!</v>
      </c>
      <c r="AK30" s="75" t="e">
        <f>PMT(#REF!,#REF!,-#REF!,0,0)</f>
        <v>#REF!</v>
      </c>
      <c r="AL30" s="75"/>
      <c r="AM30" s="7" t="e">
        <f>AJ30*(#REF!/12)</f>
        <v>#REF!</v>
      </c>
      <c r="AN30" s="7" t="e">
        <f t="shared" si="16"/>
        <v>#REF!</v>
      </c>
      <c r="AO30" s="75" t="e">
        <f t="shared" si="9"/>
        <v>#REF!</v>
      </c>
      <c r="AP30" s="75" t="e">
        <f t="shared" si="17"/>
        <v>#REF!</v>
      </c>
      <c r="AQ30" s="7" t="e">
        <f t="shared" si="10"/>
        <v>#REF!</v>
      </c>
      <c r="AR30" s="41"/>
    </row>
    <row r="31" spans="2:46" x14ac:dyDescent="0.25">
      <c r="J31" s="5">
        <f t="shared" si="3"/>
        <v>31</v>
      </c>
      <c r="K31" s="5">
        <f t="shared" si="26"/>
        <v>2029</v>
      </c>
      <c r="L31" s="34" t="s">
        <v>40</v>
      </c>
      <c r="M31" s="70">
        <f t="shared" si="11"/>
        <v>8268.75</v>
      </c>
      <c r="N31" s="70">
        <f t="shared" si="0"/>
        <v>8268.75</v>
      </c>
      <c r="O31" s="71"/>
      <c r="P31">
        <v>4</v>
      </c>
      <c r="Q31" s="51">
        <v>1</v>
      </c>
      <c r="R31" s="88">
        <f t="shared" si="12"/>
        <v>0.25</v>
      </c>
      <c r="S31" s="6">
        <v>0</v>
      </c>
      <c r="T31" s="8">
        <f t="shared" si="5"/>
        <v>8268.75</v>
      </c>
      <c r="U31" s="8" t="e">
        <f>#REF!</f>
        <v>#REF!</v>
      </c>
      <c r="V31" s="8"/>
      <c r="W31" s="8" t="e">
        <f t="shared" si="6"/>
        <v>#REF!</v>
      </c>
      <c r="X31" s="27"/>
      <c r="Y31" s="26" t="e">
        <f t="shared" si="13"/>
        <v>#REF!</v>
      </c>
      <c r="Z31" s="95"/>
      <c r="AA31" s="95"/>
      <c r="AB31" s="8">
        <f>'Business_172 PH Rd Budget'!$C$25</f>
        <v>2155.2899999999995</v>
      </c>
      <c r="AC31" s="8" t="e">
        <f t="shared" si="14"/>
        <v>#REF!</v>
      </c>
      <c r="AD31" s="8" t="e">
        <f t="shared" si="7"/>
        <v>#REF!</v>
      </c>
      <c r="AE31" s="76" t="e">
        <f t="shared" si="1"/>
        <v>#REF!</v>
      </c>
      <c r="AF31" s="8" t="e">
        <f t="shared" si="2"/>
        <v>#REF!</v>
      </c>
      <c r="AH31" s="7" t="e">
        <f t="shared" si="8"/>
        <v>#REF!</v>
      </c>
      <c r="AI31" s="79" t="e">
        <f t="shared" si="15"/>
        <v>#REF!</v>
      </c>
      <c r="AJ31" s="79" t="e">
        <f t="shared" si="18"/>
        <v>#REF!</v>
      </c>
      <c r="AK31" s="75" t="e">
        <f>PMT(#REF!,#REF!,-#REF!,0,0)</f>
        <v>#REF!</v>
      </c>
      <c r="AL31" s="75"/>
      <c r="AM31" s="7" t="e">
        <f>AJ31*(#REF!/12)</f>
        <v>#REF!</v>
      </c>
      <c r="AN31" s="7" t="e">
        <f t="shared" si="16"/>
        <v>#REF!</v>
      </c>
      <c r="AO31" s="75" t="e">
        <f t="shared" si="9"/>
        <v>#REF!</v>
      </c>
      <c r="AP31" s="75" t="e">
        <f t="shared" si="17"/>
        <v>#REF!</v>
      </c>
      <c r="AQ31" s="7" t="e">
        <f t="shared" si="10"/>
        <v>#REF!</v>
      </c>
      <c r="AR31" s="41"/>
    </row>
    <row r="32" spans="2:46" x14ac:dyDescent="0.25">
      <c r="J32" s="5">
        <f t="shared" si="3"/>
        <v>31</v>
      </c>
      <c r="K32" s="5">
        <f t="shared" si="26"/>
        <v>2029</v>
      </c>
      <c r="L32" s="34" t="s">
        <v>42</v>
      </c>
      <c r="M32" s="70">
        <f t="shared" si="11"/>
        <v>8268.75</v>
      </c>
      <c r="N32" s="70">
        <f t="shared" si="0"/>
        <v>8268.75</v>
      </c>
      <c r="O32" s="71"/>
      <c r="P32" s="86">
        <v>4</v>
      </c>
      <c r="Q32" s="51">
        <v>3</v>
      </c>
      <c r="R32" s="88">
        <f t="shared" si="12"/>
        <v>0.75</v>
      </c>
      <c r="S32" s="6">
        <v>0</v>
      </c>
      <c r="T32" s="8">
        <f t="shared" si="5"/>
        <v>24806.25</v>
      </c>
      <c r="U32" s="8" t="e">
        <f>#REF!</f>
        <v>#REF!</v>
      </c>
      <c r="V32" s="8"/>
      <c r="W32" s="8" t="e">
        <f t="shared" si="6"/>
        <v>#REF!</v>
      </c>
      <c r="X32" s="27"/>
      <c r="Y32" s="26" t="e">
        <f t="shared" si="13"/>
        <v>#REF!</v>
      </c>
      <c r="Z32" s="95"/>
      <c r="AA32" s="95"/>
      <c r="AB32" s="8">
        <f>'Business_172 PH Rd Budget'!$C$25</f>
        <v>2155.2899999999995</v>
      </c>
      <c r="AC32" s="8" t="e">
        <f t="shared" si="14"/>
        <v>#REF!</v>
      </c>
      <c r="AD32" s="8" t="e">
        <f t="shared" si="7"/>
        <v>#REF!</v>
      </c>
      <c r="AE32" s="76" t="e">
        <f t="shared" si="1"/>
        <v>#REF!</v>
      </c>
      <c r="AF32" s="8" t="e">
        <f t="shared" si="2"/>
        <v>#REF!</v>
      </c>
      <c r="AH32" s="7" t="e">
        <f t="shared" si="8"/>
        <v>#REF!</v>
      </c>
      <c r="AI32" s="79" t="e">
        <f t="shared" si="15"/>
        <v>#REF!</v>
      </c>
      <c r="AJ32" s="79" t="e">
        <f t="shared" si="18"/>
        <v>#REF!</v>
      </c>
      <c r="AK32" s="75" t="e">
        <f>PMT(#REF!,#REF!,-#REF!,0,0)</f>
        <v>#REF!</v>
      </c>
      <c r="AL32" s="75"/>
      <c r="AM32" s="7" t="e">
        <f>AJ32*(#REF!/12)</f>
        <v>#REF!</v>
      </c>
      <c r="AN32" s="7" t="e">
        <f t="shared" si="16"/>
        <v>#REF!</v>
      </c>
      <c r="AO32" s="75" t="e">
        <f t="shared" si="9"/>
        <v>#REF!</v>
      </c>
      <c r="AP32" s="75" t="e">
        <f t="shared" si="17"/>
        <v>#REF!</v>
      </c>
      <c r="AQ32" s="7" t="e">
        <f t="shared" si="10"/>
        <v>#REF!</v>
      </c>
      <c r="AR32" s="41"/>
    </row>
    <row r="33" spans="10:44" x14ac:dyDescent="0.25">
      <c r="J33" s="5">
        <f t="shared" si="3"/>
        <v>31</v>
      </c>
      <c r="K33" s="5">
        <f t="shared" si="26"/>
        <v>2029</v>
      </c>
      <c r="L33" s="34" t="s">
        <v>44</v>
      </c>
      <c r="M33" s="70">
        <f t="shared" si="11"/>
        <v>8268.75</v>
      </c>
      <c r="N33" s="70">
        <f t="shared" si="0"/>
        <v>8268.75</v>
      </c>
      <c r="O33" s="71"/>
      <c r="P33" s="86">
        <v>5</v>
      </c>
      <c r="Q33" s="51">
        <v>4</v>
      </c>
      <c r="R33" s="88">
        <f t="shared" si="12"/>
        <v>0.8</v>
      </c>
      <c r="S33" s="6">
        <v>0</v>
      </c>
      <c r="T33" s="8">
        <f t="shared" si="5"/>
        <v>33075</v>
      </c>
      <c r="U33" s="8" t="e">
        <f>#REF!</f>
        <v>#REF!</v>
      </c>
      <c r="V33" s="8"/>
      <c r="W33" s="8" t="e">
        <f t="shared" si="6"/>
        <v>#REF!</v>
      </c>
      <c r="X33" s="27"/>
      <c r="Y33" s="26" t="e">
        <f t="shared" si="13"/>
        <v>#REF!</v>
      </c>
      <c r="Z33" s="95"/>
      <c r="AA33" s="95"/>
      <c r="AB33" s="8">
        <f>'Business_172 PH Rd Budget'!$C$25</f>
        <v>2155.2899999999995</v>
      </c>
      <c r="AC33" s="8" t="e">
        <f t="shared" si="14"/>
        <v>#REF!</v>
      </c>
      <c r="AD33" s="8" t="e">
        <f t="shared" si="7"/>
        <v>#REF!</v>
      </c>
      <c r="AE33" s="76" t="e">
        <f t="shared" si="1"/>
        <v>#REF!</v>
      </c>
      <c r="AF33" s="8" t="e">
        <f t="shared" si="2"/>
        <v>#REF!</v>
      </c>
      <c r="AH33" s="7" t="e">
        <f t="shared" si="8"/>
        <v>#REF!</v>
      </c>
      <c r="AI33" s="79" t="e">
        <f t="shared" si="15"/>
        <v>#REF!</v>
      </c>
      <c r="AJ33" s="79" t="e">
        <f t="shared" si="18"/>
        <v>#REF!</v>
      </c>
      <c r="AK33" s="75" t="e">
        <f>PMT(#REF!,#REF!,-#REF!,0,0)</f>
        <v>#REF!</v>
      </c>
      <c r="AL33" s="75"/>
      <c r="AM33" s="7" t="e">
        <f>AJ33*(#REF!/12)</f>
        <v>#REF!</v>
      </c>
      <c r="AN33" s="7" t="e">
        <f t="shared" si="16"/>
        <v>#REF!</v>
      </c>
      <c r="AO33" s="75" t="e">
        <f t="shared" si="9"/>
        <v>#REF!</v>
      </c>
      <c r="AP33" s="75" t="e">
        <f t="shared" si="17"/>
        <v>#REF!</v>
      </c>
      <c r="AQ33" s="7" t="e">
        <f t="shared" si="10"/>
        <v>#REF!</v>
      </c>
      <c r="AR33" s="41"/>
    </row>
    <row r="34" spans="10:44" x14ac:dyDescent="0.25">
      <c r="J34" s="5">
        <f t="shared" si="3"/>
        <v>31</v>
      </c>
      <c r="K34" s="5">
        <f t="shared" si="26"/>
        <v>2029</v>
      </c>
      <c r="L34" s="34" t="s">
        <v>47</v>
      </c>
      <c r="M34" s="70">
        <f t="shared" si="11"/>
        <v>8268.75</v>
      </c>
      <c r="N34" s="70">
        <f t="shared" si="0"/>
        <v>8268.75</v>
      </c>
      <c r="O34" s="71"/>
      <c r="P34" s="86">
        <v>4</v>
      </c>
      <c r="Q34" s="44">
        <v>3</v>
      </c>
      <c r="R34" s="88">
        <f t="shared" si="12"/>
        <v>0.75</v>
      </c>
      <c r="S34" s="6">
        <v>0</v>
      </c>
      <c r="T34" s="8">
        <f t="shared" si="5"/>
        <v>24806.25</v>
      </c>
      <c r="U34" s="8" t="e">
        <f>#REF!</f>
        <v>#REF!</v>
      </c>
      <c r="V34" s="8"/>
      <c r="W34" s="8" t="e">
        <f t="shared" si="6"/>
        <v>#REF!</v>
      </c>
      <c r="X34" s="27"/>
      <c r="Y34" s="26" t="e">
        <f t="shared" si="13"/>
        <v>#REF!</v>
      </c>
      <c r="Z34" s="95"/>
      <c r="AA34" s="95"/>
      <c r="AB34" s="8">
        <f>'Business_172 PH Rd Budget'!$C$25</f>
        <v>2155.2899999999995</v>
      </c>
      <c r="AC34" s="8" t="e">
        <f t="shared" si="14"/>
        <v>#REF!</v>
      </c>
      <c r="AD34" s="8" t="e">
        <f t="shared" si="7"/>
        <v>#REF!</v>
      </c>
      <c r="AE34" s="76" t="e">
        <f t="shared" si="1"/>
        <v>#REF!</v>
      </c>
      <c r="AF34" s="8" t="e">
        <f t="shared" si="2"/>
        <v>#REF!</v>
      </c>
      <c r="AH34" s="7" t="e">
        <f t="shared" si="8"/>
        <v>#REF!</v>
      </c>
      <c r="AI34" s="79" t="e">
        <f t="shared" si="15"/>
        <v>#REF!</v>
      </c>
      <c r="AJ34" s="79" t="e">
        <f t="shared" si="18"/>
        <v>#REF!</v>
      </c>
      <c r="AK34" s="75" t="e">
        <f>PMT(#REF!,#REF!,-#REF!,0,0)</f>
        <v>#REF!</v>
      </c>
      <c r="AL34" s="75"/>
      <c r="AM34" s="7" t="e">
        <f>AJ34*(#REF!/12)</f>
        <v>#REF!</v>
      </c>
      <c r="AN34" s="7" t="e">
        <f t="shared" si="16"/>
        <v>#REF!</v>
      </c>
      <c r="AO34" s="75" t="e">
        <f t="shared" si="9"/>
        <v>#REF!</v>
      </c>
      <c r="AP34" s="75" t="e">
        <f t="shared" si="17"/>
        <v>#REF!</v>
      </c>
      <c r="AQ34" s="7" t="e">
        <f t="shared" si="10"/>
        <v>#REF!</v>
      </c>
      <c r="AR34" s="41"/>
    </row>
    <row r="35" spans="10:44" x14ac:dyDescent="0.25">
      <c r="J35" s="5">
        <f t="shared" si="3"/>
        <v>31</v>
      </c>
      <c r="K35" s="5">
        <f t="shared" si="26"/>
        <v>2029</v>
      </c>
      <c r="L35" s="34" t="s">
        <v>49</v>
      </c>
      <c r="M35" s="70">
        <f t="shared" si="11"/>
        <v>8268.75</v>
      </c>
      <c r="N35" s="70">
        <f t="shared" ref="N35:N66" si="27">M35*(1-S35)</f>
        <v>8268.75</v>
      </c>
      <c r="O35" s="71"/>
      <c r="P35" s="86">
        <v>5</v>
      </c>
      <c r="Q35" s="44">
        <v>4</v>
      </c>
      <c r="R35" s="88">
        <f t="shared" si="12"/>
        <v>0.8</v>
      </c>
      <c r="S35" s="6">
        <v>0</v>
      </c>
      <c r="T35" s="8">
        <f t="shared" si="5"/>
        <v>33075</v>
      </c>
      <c r="U35" s="8" t="e">
        <f>#REF!</f>
        <v>#REF!</v>
      </c>
      <c r="V35" s="8"/>
      <c r="W35" s="8" t="e">
        <f t="shared" si="6"/>
        <v>#REF!</v>
      </c>
      <c r="X35" s="27"/>
      <c r="Y35" s="26" t="e">
        <f t="shared" si="13"/>
        <v>#REF!</v>
      </c>
      <c r="Z35" s="95"/>
      <c r="AA35" s="95"/>
      <c r="AB35" s="8">
        <f>'Business_172 PH Rd Budget'!$C$25</f>
        <v>2155.2899999999995</v>
      </c>
      <c r="AC35" s="8" t="e">
        <f t="shared" si="14"/>
        <v>#REF!</v>
      </c>
      <c r="AD35" s="8" t="e">
        <f t="shared" si="7"/>
        <v>#REF!</v>
      </c>
      <c r="AE35" s="76" t="e">
        <f t="shared" ref="AE35:AE66" si="28">IF(AC35&lt;$C$8,0,AC35-AD35)</f>
        <v>#REF!</v>
      </c>
      <c r="AF35" s="8" t="e">
        <f t="shared" ref="AF35:AF66" si="29">AE35*(1+$C$7)-AE35</f>
        <v>#REF!</v>
      </c>
      <c r="AH35" s="7" t="e">
        <f t="shared" si="8"/>
        <v>#REF!</v>
      </c>
      <c r="AI35" s="79" t="e">
        <f t="shared" si="15"/>
        <v>#REF!</v>
      </c>
      <c r="AJ35" s="79" t="e">
        <f t="shared" si="18"/>
        <v>#REF!</v>
      </c>
      <c r="AK35" s="75" t="e">
        <f>PMT(#REF!,#REF!,-#REF!,0,0)</f>
        <v>#REF!</v>
      </c>
      <c r="AL35" s="75"/>
      <c r="AM35" s="7" t="e">
        <f>AJ35*(#REF!/12)</f>
        <v>#REF!</v>
      </c>
      <c r="AN35" s="7" t="e">
        <f t="shared" si="16"/>
        <v>#REF!</v>
      </c>
      <c r="AO35" s="75" t="e">
        <f t="shared" ref="AO35:AO66" si="30">AK35-AM35</f>
        <v>#REF!</v>
      </c>
      <c r="AP35" s="75" t="e">
        <f t="shared" si="17"/>
        <v>#REF!</v>
      </c>
      <c r="AQ35" s="7" t="e">
        <f t="shared" si="10"/>
        <v>#REF!</v>
      </c>
      <c r="AR35" s="41"/>
    </row>
    <row r="36" spans="10:44" x14ac:dyDescent="0.25">
      <c r="J36" s="5">
        <f t="shared" si="3"/>
        <v>31</v>
      </c>
      <c r="K36" s="5">
        <f t="shared" si="26"/>
        <v>2029</v>
      </c>
      <c r="L36" s="34" t="s">
        <v>51</v>
      </c>
      <c r="M36" s="70">
        <f t="shared" si="11"/>
        <v>8268.75</v>
      </c>
      <c r="N36" s="70">
        <f t="shared" si="27"/>
        <v>8268.75</v>
      </c>
      <c r="O36" s="71"/>
      <c r="P36" s="86">
        <v>4</v>
      </c>
      <c r="Q36" s="44">
        <v>3</v>
      </c>
      <c r="R36" s="88">
        <f t="shared" si="12"/>
        <v>0.75</v>
      </c>
      <c r="S36" s="6">
        <v>0</v>
      </c>
      <c r="T36" s="8">
        <f t="shared" si="5"/>
        <v>24806.25</v>
      </c>
      <c r="U36" s="8" t="e">
        <f>#REF!</f>
        <v>#REF!</v>
      </c>
      <c r="V36" s="8"/>
      <c r="W36" s="8" t="e">
        <f t="shared" si="6"/>
        <v>#REF!</v>
      </c>
      <c r="X36" s="27"/>
      <c r="Y36" s="26" t="e">
        <f t="shared" si="13"/>
        <v>#REF!</v>
      </c>
      <c r="Z36" s="95"/>
      <c r="AA36" s="95"/>
      <c r="AB36" s="8">
        <f>'Business_172 PH Rd Budget'!$C$25</f>
        <v>2155.2899999999995</v>
      </c>
      <c r="AC36" s="8" t="e">
        <f t="shared" si="14"/>
        <v>#REF!</v>
      </c>
      <c r="AD36" s="8" t="e">
        <f t="shared" si="7"/>
        <v>#REF!</v>
      </c>
      <c r="AE36" s="76" t="e">
        <f t="shared" si="28"/>
        <v>#REF!</v>
      </c>
      <c r="AF36" s="8" t="e">
        <f t="shared" si="29"/>
        <v>#REF!</v>
      </c>
      <c r="AH36" s="7" t="e">
        <f t="shared" ref="AH36:AH67" si="31">AH35*(1+$C$5)</f>
        <v>#REF!</v>
      </c>
      <c r="AI36" s="79" t="e">
        <f t="shared" si="15"/>
        <v>#REF!</v>
      </c>
      <c r="AJ36" s="79" t="e">
        <f t="shared" si="18"/>
        <v>#REF!</v>
      </c>
      <c r="AK36" s="75" t="e">
        <f>PMT(#REF!,#REF!,-#REF!,0,0)</f>
        <v>#REF!</v>
      </c>
      <c r="AL36" s="75"/>
      <c r="AM36" s="7" t="e">
        <f>AJ36*(#REF!/12)</f>
        <v>#REF!</v>
      </c>
      <c r="AN36" s="7" t="e">
        <f t="shared" si="16"/>
        <v>#REF!</v>
      </c>
      <c r="AO36" s="75" t="e">
        <f t="shared" si="30"/>
        <v>#REF!</v>
      </c>
      <c r="AP36" s="75" t="e">
        <f t="shared" si="17"/>
        <v>#REF!</v>
      </c>
      <c r="AQ36" s="7" t="e">
        <f t="shared" si="10"/>
        <v>#REF!</v>
      </c>
      <c r="AR36" s="41"/>
    </row>
    <row r="37" spans="10:44" x14ac:dyDescent="0.25">
      <c r="J37" s="5">
        <f t="shared" si="3"/>
        <v>31</v>
      </c>
      <c r="K37" s="5">
        <f t="shared" si="26"/>
        <v>2029</v>
      </c>
      <c r="L37" s="34" t="s">
        <v>53</v>
      </c>
      <c r="M37" s="70">
        <f t="shared" si="11"/>
        <v>8268.75</v>
      </c>
      <c r="N37" s="70">
        <f t="shared" si="27"/>
        <v>7441.875</v>
      </c>
      <c r="O37" s="71"/>
      <c r="P37" s="86"/>
      <c r="Q37" s="51">
        <v>0</v>
      </c>
      <c r="R37" s="88" t="str">
        <f t="shared" si="12"/>
        <v/>
      </c>
      <c r="S37" s="6">
        <v>0.1</v>
      </c>
      <c r="T37" s="8">
        <f t="shared" si="5"/>
        <v>0</v>
      </c>
      <c r="U37" s="8" t="e">
        <f>#REF!</f>
        <v>#REF!</v>
      </c>
      <c r="V37" s="8"/>
      <c r="W37" s="8" t="e">
        <f t="shared" si="6"/>
        <v>#REF!</v>
      </c>
      <c r="X37" s="27"/>
      <c r="Y37" s="26" t="e">
        <f t="shared" si="13"/>
        <v>#REF!</v>
      </c>
      <c r="Z37" s="95"/>
      <c r="AA37" s="95"/>
      <c r="AB37" s="8">
        <f>'Business_172 PH Rd Budget'!$C$25</f>
        <v>2155.2899999999995</v>
      </c>
      <c r="AC37" s="8" t="e">
        <f t="shared" si="14"/>
        <v>#REF!</v>
      </c>
      <c r="AD37" s="8" t="e">
        <f t="shared" si="7"/>
        <v>#REF!</v>
      </c>
      <c r="AE37" s="76" t="e">
        <f t="shared" si="28"/>
        <v>#REF!</v>
      </c>
      <c r="AF37" s="8" t="e">
        <f t="shared" si="29"/>
        <v>#REF!</v>
      </c>
      <c r="AH37" s="7" t="e">
        <f t="shared" si="31"/>
        <v>#REF!</v>
      </c>
      <c r="AI37" s="79" t="e">
        <f t="shared" si="15"/>
        <v>#REF!</v>
      </c>
      <c r="AJ37" s="79" t="e">
        <f t="shared" si="18"/>
        <v>#REF!</v>
      </c>
      <c r="AK37" s="75" t="e">
        <f>PMT(#REF!,#REF!,-#REF!,0,0)</f>
        <v>#REF!</v>
      </c>
      <c r="AL37" s="75"/>
      <c r="AM37" s="7" t="e">
        <f>AJ37*(#REF!/12)</f>
        <v>#REF!</v>
      </c>
      <c r="AN37" s="7" t="e">
        <f t="shared" si="16"/>
        <v>#REF!</v>
      </c>
      <c r="AO37" s="75" t="e">
        <f t="shared" si="30"/>
        <v>#REF!</v>
      </c>
      <c r="AP37" s="75" t="e">
        <f t="shared" si="17"/>
        <v>#REF!</v>
      </c>
      <c r="AQ37" s="7" t="e">
        <f t="shared" si="10"/>
        <v>#REF!</v>
      </c>
      <c r="AR37" s="41"/>
    </row>
    <row r="38" spans="10:44" x14ac:dyDescent="0.25">
      <c r="J38" s="5">
        <f t="shared" si="3"/>
        <v>31</v>
      </c>
      <c r="K38" s="5">
        <f t="shared" si="26"/>
        <v>2029</v>
      </c>
      <c r="L38" s="34" t="s">
        <v>55</v>
      </c>
      <c r="M38" s="70">
        <f t="shared" si="11"/>
        <v>8268.75</v>
      </c>
      <c r="N38" s="70">
        <f t="shared" si="27"/>
        <v>6615</v>
      </c>
      <c r="O38" s="71"/>
      <c r="P38" s="86"/>
      <c r="Q38" s="51">
        <v>0</v>
      </c>
      <c r="R38" s="88" t="str">
        <f t="shared" si="12"/>
        <v/>
      </c>
      <c r="S38" s="6">
        <v>0.2</v>
      </c>
      <c r="T38" s="8">
        <f t="shared" si="5"/>
        <v>0</v>
      </c>
      <c r="U38" s="8" t="e">
        <f>#REF!</f>
        <v>#REF!</v>
      </c>
      <c r="V38" s="8"/>
      <c r="W38" s="8" t="e">
        <f t="shared" si="6"/>
        <v>#REF!</v>
      </c>
      <c r="X38" s="27"/>
      <c r="Y38" s="26" t="e">
        <f t="shared" si="13"/>
        <v>#REF!</v>
      </c>
      <c r="Z38" s="95"/>
      <c r="AA38" s="95"/>
      <c r="AB38" s="8">
        <f>'Business_172 PH Rd Budget'!$C$25</f>
        <v>2155.2899999999995</v>
      </c>
      <c r="AC38" s="8" t="e">
        <f t="shared" si="14"/>
        <v>#REF!</v>
      </c>
      <c r="AD38" s="8" t="e">
        <f t="shared" si="7"/>
        <v>#REF!</v>
      </c>
      <c r="AE38" s="76" t="e">
        <f t="shared" si="28"/>
        <v>#REF!</v>
      </c>
      <c r="AF38" s="8" t="e">
        <f t="shared" si="29"/>
        <v>#REF!</v>
      </c>
      <c r="AH38" s="7" t="e">
        <f t="shared" si="31"/>
        <v>#REF!</v>
      </c>
      <c r="AI38" s="79" t="e">
        <f t="shared" si="15"/>
        <v>#REF!</v>
      </c>
      <c r="AJ38" s="79" t="e">
        <f t="shared" si="18"/>
        <v>#REF!</v>
      </c>
      <c r="AK38" s="75" t="e">
        <f>PMT(#REF!,#REF!,-#REF!,0,0)</f>
        <v>#REF!</v>
      </c>
      <c r="AL38" s="75"/>
      <c r="AM38" s="7" t="e">
        <f>AJ38*(#REF!/12)</f>
        <v>#REF!</v>
      </c>
      <c r="AN38" s="7" t="e">
        <f t="shared" si="16"/>
        <v>#REF!</v>
      </c>
      <c r="AO38" s="75" t="e">
        <f t="shared" si="30"/>
        <v>#REF!</v>
      </c>
      <c r="AP38" s="75" t="e">
        <f t="shared" si="17"/>
        <v>#REF!</v>
      </c>
      <c r="AQ38" s="7" t="e">
        <f t="shared" si="10"/>
        <v>#REF!</v>
      </c>
      <c r="AR38" s="41"/>
    </row>
    <row r="39" spans="10:44" x14ac:dyDescent="0.25">
      <c r="J39" s="5">
        <f t="shared" si="3"/>
        <v>32</v>
      </c>
      <c r="K39" s="5">
        <f t="shared" si="26"/>
        <v>2030</v>
      </c>
      <c r="L39" s="34" t="s">
        <v>31</v>
      </c>
      <c r="M39" s="70">
        <f t="shared" si="11"/>
        <v>8682.1875</v>
      </c>
      <c r="N39" s="70">
        <f t="shared" si="27"/>
        <v>6511.640625</v>
      </c>
      <c r="O39" s="71">
        <v>0.05</v>
      </c>
      <c r="P39" s="86"/>
      <c r="Q39" s="51">
        <v>0</v>
      </c>
      <c r="R39" s="88" t="str">
        <f t="shared" si="12"/>
        <v/>
      </c>
      <c r="S39" s="6">
        <v>0.25</v>
      </c>
      <c r="T39" s="8">
        <f t="shared" si="5"/>
        <v>0</v>
      </c>
      <c r="U39" s="8" t="e">
        <f>#REF!</f>
        <v>#REF!</v>
      </c>
      <c r="V39" s="8"/>
      <c r="W39" s="8" t="e">
        <f t="shared" si="6"/>
        <v>#REF!</v>
      </c>
      <c r="X39" s="27"/>
      <c r="Y39" s="26" t="e">
        <f t="shared" si="13"/>
        <v>#REF!</v>
      </c>
      <c r="Z39" s="95"/>
      <c r="AA39" s="95"/>
      <c r="AB39" s="8">
        <f>'Business_172 PH Rd Budget'!$C$25</f>
        <v>2155.2899999999995</v>
      </c>
      <c r="AC39" s="8" t="e">
        <f t="shared" si="14"/>
        <v>#REF!</v>
      </c>
      <c r="AD39" s="8" t="e">
        <f t="shared" si="7"/>
        <v>#REF!</v>
      </c>
      <c r="AE39" s="76" t="e">
        <f t="shared" si="28"/>
        <v>#REF!</v>
      </c>
      <c r="AF39" s="8" t="e">
        <f t="shared" si="29"/>
        <v>#REF!</v>
      </c>
      <c r="AH39" s="7" t="e">
        <f t="shared" si="31"/>
        <v>#REF!</v>
      </c>
      <c r="AI39" s="79" t="e">
        <f t="shared" si="15"/>
        <v>#REF!</v>
      </c>
      <c r="AJ39" s="79" t="e">
        <f t="shared" si="18"/>
        <v>#REF!</v>
      </c>
      <c r="AK39" s="75" t="e">
        <f>PMT(#REF!,#REF!,-#REF!,0,0)</f>
        <v>#REF!</v>
      </c>
      <c r="AL39" s="75"/>
      <c r="AM39" s="7" t="e">
        <f>AJ39*(#REF!/12)</f>
        <v>#REF!</v>
      </c>
      <c r="AN39" s="7" t="e">
        <f t="shared" si="16"/>
        <v>#REF!</v>
      </c>
      <c r="AO39" s="75" t="e">
        <f t="shared" si="30"/>
        <v>#REF!</v>
      </c>
      <c r="AP39" s="75" t="e">
        <f t="shared" si="17"/>
        <v>#REF!</v>
      </c>
      <c r="AQ39" s="7" t="e">
        <f t="shared" si="10"/>
        <v>#REF!</v>
      </c>
      <c r="AR39" s="41"/>
    </row>
    <row r="40" spans="10:44" x14ac:dyDescent="0.25">
      <c r="J40" s="5">
        <f t="shared" si="3"/>
        <v>32</v>
      </c>
      <c r="K40" s="5">
        <f t="shared" si="26"/>
        <v>2030</v>
      </c>
      <c r="L40" s="34" t="s">
        <v>33</v>
      </c>
      <c r="M40" s="70">
        <f t="shared" si="11"/>
        <v>8682.1875</v>
      </c>
      <c r="N40" s="70">
        <f t="shared" si="27"/>
        <v>6511.640625</v>
      </c>
      <c r="O40" s="71"/>
      <c r="P40" s="86"/>
      <c r="Q40" s="51">
        <v>0</v>
      </c>
      <c r="R40" s="88" t="str">
        <f t="shared" si="12"/>
        <v/>
      </c>
      <c r="S40" s="6">
        <v>0.25</v>
      </c>
      <c r="T40" s="8">
        <f t="shared" si="5"/>
        <v>0</v>
      </c>
      <c r="U40" s="8" t="e">
        <f>#REF!</f>
        <v>#REF!</v>
      </c>
      <c r="V40" s="8"/>
      <c r="W40" s="8" t="e">
        <f t="shared" si="6"/>
        <v>#REF!</v>
      </c>
      <c r="X40" s="27"/>
      <c r="Y40" s="26" t="e">
        <f t="shared" si="13"/>
        <v>#REF!</v>
      </c>
      <c r="Z40" s="95"/>
      <c r="AA40" s="95"/>
      <c r="AB40" s="8">
        <f>'Business_172 PH Rd Budget'!$C$25</f>
        <v>2155.2899999999995</v>
      </c>
      <c r="AC40" s="8" t="e">
        <f t="shared" si="14"/>
        <v>#REF!</v>
      </c>
      <c r="AD40" s="8" t="e">
        <f t="shared" si="7"/>
        <v>#REF!</v>
      </c>
      <c r="AE40" s="76" t="e">
        <f t="shared" si="28"/>
        <v>#REF!</v>
      </c>
      <c r="AF40" s="8" t="e">
        <f t="shared" si="29"/>
        <v>#REF!</v>
      </c>
      <c r="AH40" s="7" t="e">
        <f t="shared" si="31"/>
        <v>#REF!</v>
      </c>
      <c r="AI40" s="79" t="e">
        <f t="shared" si="15"/>
        <v>#REF!</v>
      </c>
      <c r="AJ40" s="79" t="e">
        <f t="shared" si="18"/>
        <v>#REF!</v>
      </c>
      <c r="AK40" s="75" t="e">
        <f>PMT(#REF!,#REF!,-#REF!,0,0)</f>
        <v>#REF!</v>
      </c>
      <c r="AL40" s="75"/>
      <c r="AM40" s="7" t="e">
        <f>AJ40*(#REF!/12)</f>
        <v>#REF!</v>
      </c>
      <c r="AN40" s="7" t="e">
        <f t="shared" si="16"/>
        <v>#REF!</v>
      </c>
      <c r="AO40" s="75" t="e">
        <f t="shared" si="30"/>
        <v>#REF!</v>
      </c>
      <c r="AP40" s="75" t="e">
        <f t="shared" si="17"/>
        <v>#REF!</v>
      </c>
      <c r="AQ40" s="7" t="e">
        <f t="shared" si="10"/>
        <v>#REF!</v>
      </c>
      <c r="AR40" s="41"/>
    </row>
    <row r="41" spans="10:44" x14ac:dyDescent="0.25">
      <c r="J41" s="5">
        <f t="shared" si="3"/>
        <v>32</v>
      </c>
      <c r="K41" s="5">
        <f t="shared" si="26"/>
        <v>2030</v>
      </c>
      <c r="L41" s="34" t="s">
        <v>36</v>
      </c>
      <c r="M41" s="70">
        <f t="shared" si="11"/>
        <v>8682.1875</v>
      </c>
      <c r="N41" s="70">
        <f t="shared" si="27"/>
        <v>6945.75</v>
      </c>
      <c r="O41" s="71"/>
      <c r="P41" s="86"/>
      <c r="Q41" s="51">
        <v>0</v>
      </c>
      <c r="R41" s="88" t="str">
        <f t="shared" si="12"/>
        <v/>
      </c>
      <c r="S41" s="6">
        <v>0.2</v>
      </c>
      <c r="T41" s="8">
        <f t="shared" si="5"/>
        <v>0</v>
      </c>
      <c r="U41" s="8" t="e">
        <f>#REF!</f>
        <v>#REF!</v>
      </c>
      <c r="V41" s="8"/>
      <c r="W41" s="8" t="e">
        <f t="shared" si="6"/>
        <v>#REF!</v>
      </c>
      <c r="X41" s="27"/>
      <c r="Y41" s="26" t="e">
        <f t="shared" si="13"/>
        <v>#REF!</v>
      </c>
      <c r="Z41" s="95"/>
      <c r="AA41" s="95"/>
      <c r="AB41" s="8">
        <f>'Business_172 PH Rd Budget'!$C$25</f>
        <v>2155.2899999999995</v>
      </c>
      <c r="AC41" s="8" t="e">
        <f t="shared" si="14"/>
        <v>#REF!</v>
      </c>
      <c r="AD41" s="8" t="e">
        <f t="shared" si="7"/>
        <v>#REF!</v>
      </c>
      <c r="AE41" s="76" t="e">
        <f t="shared" si="28"/>
        <v>#REF!</v>
      </c>
      <c r="AF41" s="8" t="e">
        <f t="shared" si="29"/>
        <v>#REF!</v>
      </c>
      <c r="AH41" s="7" t="e">
        <f t="shared" si="31"/>
        <v>#REF!</v>
      </c>
      <c r="AI41" s="79" t="e">
        <f t="shared" si="15"/>
        <v>#REF!</v>
      </c>
      <c r="AJ41" s="79" t="e">
        <f t="shared" si="18"/>
        <v>#REF!</v>
      </c>
      <c r="AK41" s="75" t="e">
        <f>PMT(#REF!,#REF!,-#REF!,0,0)</f>
        <v>#REF!</v>
      </c>
      <c r="AL41" s="75"/>
      <c r="AM41" s="7" t="e">
        <f>AJ41*(#REF!/12)</f>
        <v>#REF!</v>
      </c>
      <c r="AN41" s="7" t="e">
        <f t="shared" si="16"/>
        <v>#REF!</v>
      </c>
      <c r="AO41" s="75" t="e">
        <f t="shared" si="30"/>
        <v>#REF!</v>
      </c>
      <c r="AP41" s="75" t="e">
        <f t="shared" si="17"/>
        <v>#REF!</v>
      </c>
      <c r="AQ41" s="7" t="e">
        <f t="shared" si="10"/>
        <v>#REF!</v>
      </c>
      <c r="AR41" s="41"/>
    </row>
    <row r="42" spans="10:44" x14ac:dyDescent="0.25">
      <c r="J42" s="5">
        <f t="shared" si="3"/>
        <v>32</v>
      </c>
      <c r="K42" s="5">
        <f t="shared" si="26"/>
        <v>2030</v>
      </c>
      <c r="L42" s="34" t="s">
        <v>38</v>
      </c>
      <c r="M42" s="70">
        <f t="shared" si="11"/>
        <v>8682.1875</v>
      </c>
      <c r="N42" s="70">
        <f t="shared" si="27"/>
        <v>7813.96875</v>
      </c>
      <c r="O42" s="71"/>
      <c r="P42" s="86"/>
      <c r="Q42" s="51">
        <v>0</v>
      </c>
      <c r="R42" s="88" t="str">
        <f t="shared" si="12"/>
        <v/>
      </c>
      <c r="S42" s="6">
        <v>0.1</v>
      </c>
      <c r="T42" s="8">
        <f t="shared" si="5"/>
        <v>0</v>
      </c>
      <c r="U42" s="8" t="e">
        <f>#REF!</f>
        <v>#REF!</v>
      </c>
      <c r="V42" s="8"/>
      <c r="W42" s="8" t="e">
        <f t="shared" si="6"/>
        <v>#REF!</v>
      </c>
      <c r="X42" s="27"/>
      <c r="Y42" s="26" t="e">
        <f t="shared" si="13"/>
        <v>#REF!</v>
      </c>
      <c r="Z42" s="95"/>
      <c r="AA42" s="95"/>
      <c r="AB42" s="8">
        <f>'Business_172 PH Rd Budget'!$C$25</f>
        <v>2155.2899999999995</v>
      </c>
      <c r="AC42" s="8" t="e">
        <f t="shared" si="14"/>
        <v>#REF!</v>
      </c>
      <c r="AD42" s="8" t="e">
        <f t="shared" si="7"/>
        <v>#REF!</v>
      </c>
      <c r="AE42" s="76" t="e">
        <f t="shared" si="28"/>
        <v>#REF!</v>
      </c>
      <c r="AF42" s="8" t="e">
        <f t="shared" si="29"/>
        <v>#REF!</v>
      </c>
      <c r="AH42" s="7" t="e">
        <f t="shared" si="31"/>
        <v>#REF!</v>
      </c>
      <c r="AI42" s="79" t="e">
        <f t="shared" si="15"/>
        <v>#REF!</v>
      </c>
      <c r="AJ42" s="79" t="e">
        <f t="shared" si="18"/>
        <v>#REF!</v>
      </c>
      <c r="AK42" s="75" t="e">
        <f>PMT(#REF!,#REF!,-#REF!,0,0)</f>
        <v>#REF!</v>
      </c>
      <c r="AL42" s="75"/>
      <c r="AM42" s="7" t="e">
        <f>AJ42*(#REF!/12)</f>
        <v>#REF!</v>
      </c>
      <c r="AN42" s="7" t="e">
        <f t="shared" si="16"/>
        <v>#REF!</v>
      </c>
      <c r="AO42" s="75" t="e">
        <f t="shared" si="30"/>
        <v>#REF!</v>
      </c>
      <c r="AP42" s="75" t="e">
        <f t="shared" si="17"/>
        <v>#REF!</v>
      </c>
      <c r="AQ42" s="7" t="e">
        <f t="shared" si="10"/>
        <v>#REF!</v>
      </c>
      <c r="AR42" s="41"/>
    </row>
    <row r="43" spans="10:44" x14ac:dyDescent="0.25">
      <c r="J43" s="5">
        <f t="shared" si="3"/>
        <v>32</v>
      </c>
      <c r="K43" s="5">
        <f t="shared" si="26"/>
        <v>2030</v>
      </c>
      <c r="L43" s="34" t="s">
        <v>40</v>
      </c>
      <c r="M43" s="70">
        <f t="shared" si="11"/>
        <v>8682.1875</v>
      </c>
      <c r="N43" s="70">
        <f t="shared" si="27"/>
        <v>8682.1875</v>
      </c>
      <c r="O43" s="71"/>
      <c r="P43" s="86">
        <v>4</v>
      </c>
      <c r="Q43" s="51">
        <v>2</v>
      </c>
      <c r="R43" s="88">
        <f t="shared" si="12"/>
        <v>0.5</v>
      </c>
      <c r="S43" s="6">
        <v>0</v>
      </c>
      <c r="T43" s="8">
        <f t="shared" si="5"/>
        <v>17364.375</v>
      </c>
      <c r="U43" s="8" t="e">
        <f>#REF!</f>
        <v>#REF!</v>
      </c>
      <c r="V43" s="8"/>
      <c r="W43" s="8" t="e">
        <f t="shared" si="6"/>
        <v>#REF!</v>
      </c>
      <c r="X43" s="27"/>
      <c r="Y43" s="26" t="e">
        <f t="shared" si="13"/>
        <v>#REF!</v>
      </c>
      <c r="Z43" s="95"/>
      <c r="AA43" s="95"/>
      <c r="AB43" s="8">
        <f>'Business_172 PH Rd Budget'!$C$25</f>
        <v>2155.2899999999995</v>
      </c>
      <c r="AC43" s="8" t="e">
        <f t="shared" si="14"/>
        <v>#REF!</v>
      </c>
      <c r="AD43" s="8" t="e">
        <f t="shared" si="7"/>
        <v>#REF!</v>
      </c>
      <c r="AE43" s="76" t="e">
        <f t="shared" si="28"/>
        <v>#REF!</v>
      </c>
      <c r="AF43" s="8" t="e">
        <f t="shared" si="29"/>
        <v>#REF!</v>
      </c>
      <c r="AH43" s="7" t="e">
        <f t="shared" si="31"/>
        <v>#REF!</v>
      </c>
      <c r="AI43" s="79" t="e">
        <f t="shared" si="15"/>
        <v>#REF!</v>
      </c>
      <c r="AJ43" s="79" t="e">
        <f t="shared" si="18"/>
        <v>#REF!</v>
      </c>
      <c r="AK43" s="75" t="e">
        <f>PMT(#REF!,#REF!,-#REF!,0,0)</f>
        <v>#REF!</v>
      </c>
      <c r="AL43" s="75"/>
      <c r="AM43" s="7" t="e">
        <f>AJ43*(#REF!/12)</f>
        <v>#REF!</v>
      </c>
      <c r="AN43" s="7" t="e">
        <f t="shared" si="16"/>
        <v>#REF!</v>
      </c>
      <c r="AO43" s="75" t="e">
        <f t="shared" si="30"/>
        <v>#REF!</v>
      </c>
      <c r="AP43" s="75" t="e">
        <f t="shared" si="17"/>
        <v>#REF!</v>
      </c>
      <c r="AQ43" s="7" t="e">
        <f t="shared" si="10"/>
        <v>#REF!</v>
      </c>
      <c r="AR43" s="41"/>
    </row>
    <row r="44" spans="10:44" x14ac:dyDescent="0.25">
      <c r="J44" s="5">
        <f t="shared" si="3"/>
        <v>32</v>
      </c>
      <c r="K44" s="5">
        <f t="shared" si="26"/>
        <v>2030</v>
      </c>
      <c r="L44" s="34" t="s">
        <v>42</v>
      </c>
      <c r="M44" s="70">
        <f t="shared" si="11"/>
        <v>8682.1875</v>
      </c>
      <c r="N44" s="70">
        <f t="shared" si="27"/>
        <v>8682.1875</v>
      </c>
      <c r="O44" s="71"/>
      <c r="P44" s="86">
        <v>5</v>
      </c>
      <c r="Q44" s="51">
        <v>4</v>
      </c>
      <c r="R44" s="88">
        <f t="shared" si="12"/>
        <v>0.8</v>
      </c>
      <c r="S44" s="6">
        <v>0</v>
      </c>
      <c r="T44" s="8">
        <f t="shared" si="5"/>
        <v>34728.75</v>
      </c>
      <c r="U44" s="8" t="e">
        <f>#REF!</f>
        <v>#REF!</v>
      </c>
      <c r="V44" s="8"/>
      <c r="W44" s="8" t="e">
        <f t="shared" si="6"/>
        <v>#REF!</v>
      </c>
      <c r="X44" s="27"/>
      <c r="Y44" s="26" t="e">
        <f t="shared" si="13"/>
        <v>#REF!</v>
      </c>
      <c r="Z44" s="95"/>
      <c r="AA44" s="95"/>
      <c r="AB44" s="8">
        <f>'Business_172 PH Rd Budget'!$C$25</f>
        <v>2155.2899999999995</v>
      </c>
      <c r="AC44" s="8" t="e">
        <f t="shared" si="14"/>
        <v>#REF!</v>
      </c>
      <c r="AD44" s="8" t="e">
        <f t="shared" si="7"/>
        <v>#REF!</v>
      </c>
      <c r="AE44" s="76" t="e">
        <f t="shared" si="28"/>
        <v>#REF!</v>
      </c>
      <c r="AF44" s="8" t="e">
        <f t="shared" si="29"/>
        <v>#REF!</v>
      </c>
      <c r="AH44" s="7" t="e">
        <f t="shared" si="31"/>
        <v>#REF!</v>
      </c>
      <c r="AI44" s="79" t="e">
        <f t="shared" si="15"/>
        <v>#REF!</v>
      </c>
      <c r="AJ44" s="79" t="e">
        <f t="shared" si="18"/>
        <v>#REF!</v>
      </c>
      <c r="AK44" s="75" t="e">
        <f>PMT(#REF!,#REF!,-#REF!,0,0)</f>
        <v>#REF!</v>
      </c>
      <c r="AL44" s="75"/>
      <c r="AM44" s="7" t="e">
        <f>AJ44*(#REF!/12)</f>
        <v>#REF!</v>
      </c>
      <c r="AN44" s="7" t="e">
        <f t="shared" si="16"/>
        <v>#REF!</v>
      </c>
      <c r="AO44" s="75" t="e">
        <f t="shared" si="30"/>
        <v>#REF!</v>
      </c>
      <c r="AP44" s="75" t="e">
        <f t="shared" si="17"/>
        <v>#REF!</v>
      </c>
      <c r="AQ44" s="7" t="e">
        <f t="shared" si="10"/>
        <v>#REF!</v>
      </c>
      <c r="AR44" s="41"/>
    </row>
    <row r="45" spans="10:44" x14ac:dyDescent="0.25">
      <c r="J45" s="5">
        <f t="shared" si="3"/>
        <v>32</v>
      </c>
      <c r="K45" s="5">
        <f t="shared" si="26"/>
        <v>2030</v>
      </c>
      <c r="L45" s="34" t="s">
        <v>44</v>
      </c>
      <c r="M45" s="70">
        <f t="shared" si="11"/>
        <v>8682.1875</v>
      </c>
      <c r="N45" s="70">
        <f t="shared" si="27"/>
        <v>8682.1875</v>
      </c>
      <c r="O45" s="71"/>
      <c r="P45" s="86">
        <v>4</v>
      </c>
      <c r="Q45" s="51">
        <v>4</v>
      </c>
      <c r="R45" s="88">
        <f t="shared" si="12"/>
        <v>1</v>
      </c>
      <c r="S45" s="6">
        <v>0</v>
      </c>
      <c r="T45" s="8">
        <f t="shared" si="5"/>
        <v>34728.75</v>
      </c>
      <c r="U45" s="8" t="e">
        <f>#REF!</f>
        <v>#REF!</v>
      </c>
      <c r="V45" s="8"/>
      <c r="W45" s="8" t="e">
        <f t="shared" si="6"/>
        <v>#REF!</v>
      </c>
      <c r="X45" s="27"/>
      <c r="Y45" s="26" t="e">
        <f t="shared" si="13"/>
        <v>#REF!</v>
      </c>
      <c r="Z45" s="95"/>
      <c r="AA45" s="95"/>
      <c r="AB45" s="8">
        <f>'Business_172 PH Rd Budget'!$C$25</f>
        <v>2155.2899999999995</v>
      </c>
      <c r="AC45" s="8" t="e">
        <f t="shared" si="14"/>
        <v>#REF!</v>
      </c>
      <c r="AD45" s="8">
        <v>350000</v>
      </c>
      <c r="AE45" s="76" t="e">
        <f t="shared" si="28"/>
        <v>#REF!</v>
      </c>
      <c r="AF45" s="8" t="e">
        <f t="shared" si="29"/>
        <v>#REF!</v>
      </c>
      <c r="AH45" s="7" t="e">
        <f t="shared" si="31"/>
        <v>#REF!</v>
      </c>
      <c r="AI45" s="79" t="e">
        <f t="shared" si="15"/>
        <v>#REF!</v>
      </c>
      <c r="AJ45" s="79" t="e">
        <f t="shared" si="18"/>
        <v>#REF!</v>
      </c>
      <c r="AK45" s="75" t="e">
        <f>PMT(#REF!,#REF!,-#REF!,0,0)</f>
        <v>#REF!</v>
      </c>
      <c r="AL45" s="75"/>
      <c r="AM45" s="7" t="e">
        <f>AJ45*(#REF!/12)</f>
        <v>#REF!</v>
      </c>
      <c r="AN45" s="7" t="e">
        <f t="shared" si="16"/>
        <v>#REF!</v>
      </c>
      <c r="AO45" s="75" t="e">
        <f t="shared" si="30"/>
        <v>#REF!</v>
      </c>
      <c r="AP45" s="75" t="e">
        <f t="shared" si="17"/>
        <v>#REF!</v>
      </c>
      <c r="AQ45" s="7" t="e">
        <f t="shared" si="10"/>
        <v>#REF!</v>
      </c>
      <c r="AR45" s="41"/>
    </row>
    <row r="46" spans="10:44" x14ac:dyDescent="0.25">
      <c r="J46" s="5">
        <f t="shared" si="3"/>
        <v>32</v>
      </c>
      <c r="K46" s="5">
        <f t="shared" si="26"/>
        <v>2030</v>
      </c>
      <c r="L46" s="34" t="s">
        <v>47</v>
      </c>
      <c r="M46" s="70">
        <f t="shared" si="11"/>
        <v>8682.1875</v>
      </c>
      <c r="N46" s="70">
        <f t="shared" si="27"/>
        <v>8682.1875</v>
      </c>
      <c r="O46" s="71"/>
      <c r="P46" s="86">
        <v>4</v>
      </c>
      <c r="Q46" s="44">
        <v>4</v>
      </c>
      <c r="R46" s="88">
        <f t="shared" si="12"/>
        <v>1</v>
      </c>
      <c r="S46" s="6">
        <v>0</v>
      </c>
      <c r="T46" s="8">
        <f t="shared" si="5"/>
        <v>34728.75</v>
      </c>
      <c r="U46" s="8" t="e">
        <f>#REF!</f>
        <v>#REF!</v>
      </c>
      <c r="V46" s="8"/>
      <c r="W46" s="8" t="e">
        <f t="shared" si="6"/>
        <v>#REF!</v>
      </c>
      <c r="X46" s="27"/>
      <c r="Y46" s="26" t="e">
        <f t="shared" si="13"/>
        <v>#REF!</v>
      </c>
      <c r="Z46" s="95"/>
      <c r="AA46" s="95"/>
      <c r="AB46" s="8">
        <f>'Business_172 PH Rd Budget'!$C$25</f>
        <v>2155.2899999999995</v>
      </c>
      <c r="AC46" s="8" t="e">
        <f t="shared" si="14"/>
        <v>#REF!</v>
      </c>
      <c r="AD46" s="8">
        <v>350000</v>
      </c>
      <c r="AE46" s="76" t="e">
        <f t="shared" si="28"/>
        <v>#REF!</v>
      </c>
      <c r="AF46" s="8" t="e">
        <f t="shared" si="29"/>
        <v>#REF!</v>
      </c>
      <c r="AH46" s="7" t="e">
        <f t="shared" si="31"/>
        <v>#REF!</v>
      </c>
      <c r="AI46" s="79" t="e">
        <f t="shared" si="15"/>
        <v>#REF!</v>
      </c>
      <c r="AJ46" s="79" t="e">
        <f t="shared" si="18"/>
        <v>#REF!</v>
      </c>
      <c r="AK46" s="75" t="e">
        <f>PMT(#REF!,#REF!,-#REF!,0,0)</f>
        <v>#REF!</v>
      </c>
      <c r="AL46" s="75"/>
      <c r="AM46" s="7" t="e">
        <f>AJ46*(#REF!/12)</f>
        <v>#REF!</v>
      </c>
      <c r="AN46" s="7" t="e">
        <f t="shared" si="16"/>
        <v>#REF!</v>
      </c>
      <c r="AO46" s="75" t="e">
        <f t="shared" si="30"/>
        <v>#REF!</v>
      </c>
      <c r="AP46" s="75" t="e">
        <f t="shared" si="17"/>
        <v>#REF!</v>
      </c>
      <c r="AQ46" s="7" t="e">
        <f t="shared" si="10"/>
        <v>#REF!</v>
      </c>
      <c r="AR46" s="41"/>
    </row>
    <row r="47" spans="10:44" x14ac:dyDescent="0.25">
      <c r="J47" s="5">
        <f t="shared" si="3"/>
        <v>32</v>
      </c>
      <c r="K47" s="5">
        <f t="shared" si="26"/>
        <v>2030</v>
      </c>
      <c r="L47" s="34" t="s">
        <v>49</v>
      </c>
      <c r="M47" s="70">
        <f t="shared" si="11"/>
        <v>8682.1875</v>
      </c>
      <c r="N47" s="70">
        <f t="shared" si="27"/>
        <v>8682.1875</v>
      </c>
      <c r="O47" s="71"/>
      <c r="P47" s="86">
        <v>5</v>
      </c>
      <c r="Q47" s="44">
        <v>4</v>
      </c>
      <c r="R47" s="88">
        <f t="shared" si="12"/>
        <v>0.8</v>
      </c>
      <c r="S47" s="6">
        <v>0</v>
      </c>
      <c r="T47" s="8">
        <f t="shared" si="5"/>
        <v>34728.75</v>
      </c>
      <c r="U47" s="8" t="e">
        <f>#REF!</f>
        <v>#REF!</v>
      </c>
      <c r="V47" s="8"/>
      <c r="W47" s="8" t="e">
        <f t="shared" si="6"/>
        <v>#REF!</v>
      </c>
      <c r="X47" s="27"/>
      <c r="Y47" s="26" t="e">
        <f t="shared" si="13"/>
        <v>#REF!</v>
      </c>
      <c r="Z47" s="95"/>
      <c r="AA47" s="95"/>
      <c r="AB47" s="8">
        <f>'Business_172 PH Rd Budget'!$C$25</f>
        <v>2155.2899999999995</v>
      </c>
      <c r="AC47" s="8" t="e">
        <f t="shared" si="14"/>
        <v>#REF!</v>
      </c>
      <c r="AD47" s="8">
        <v>350000</v>
      </c>
      <c r="AE47" s="76" t="e">
        <f t="shared" si="28"/>
        <v>#REF!</v>
      </c>
      <c r="AF47" s="8" t="e">
        <f t="shared" si="29"/>
        <v>#REF!</v>
      </c>
      <c r="AH47" s="7" t="e">
        <f t="shared" si="31"/>
        <v>#REF!</v>
      </c>
      <c r="AI47" s="79" t="e">
        <f t="shared" si="15"/>
        <v>#REF!</v>
      </c>
      <c r="AJ47" s="79" t="e">
        <f t="shared" si="18"/>
        <v>#REF!</v>
      </c>
      <c r="AK47" s="75" t="e">
        <f>PMT(#REF!,#REF!,-#REF!,0,0)</f>
        <v>#REF!</v>
      </c>
      <c r="AL47" s="75"/>
      <c r="AM47" s="7" t="e">
        <f>AJ47*(#REF!/12)</f>
        <v>#REF!</v>
      </c>
      <c r="AN47" s="7" t="e">
        <f t="shared" si="16"/>
        <v>#REF!</v>
      </c>
      <c r="AO47" s="75" t="e">
        <f t="shared" si="30"/>
        <v>#REF!</v>
      </c>
      <c r="AP47" s="75" t="e">
        <f t="shared" si="17"/>
        <v>#REF!</v>
      </c>
      <c r="AQ47" s="7" t="e">
        <f t="shared" si="10"/>
        <v>#REF!</v>
      </c>
      <c r="AR47" s="41"/>
    </row>
    <row r="48" spans="10:44" x14ac:dyDescent="0.25">
      <c r="J48" s="5">
        <f t="shared" si="3"/>
        <v>32</v>
      </c>
      <c r="K48" s="5">
        <f t="shared" si="26"/>
        <v>2030</v>
      </c>
      <c r="L48" s="34" t="s">
        <v>51</v>
      </c>
      <c r="M48" s="70">
        <f t="shared" si="11"/>
        <v>8682.1875</v>
      </c>
      <c r="N48" s="70">
        <f t="shared" si="27"/>
        <v>8682.1875</v>
      </c>
      <c r="O48" s="71"/>
      <c r="P48" s="86">
        <v>4</v>
      </c>
      <c r="Q48" s="44">
        <v>4</v>
      </c>
      <c r="R48" s="88">
        <f t="shared" si="12"/>
        <v>1</v>
      </c>
      <c r="S48" s="6">
        <v>0</v>
      </c>
      <c r="T48" s="8">
        <f t="shared" si="5"/>
        <v>34728.75</v>
      </c>
      <c r="U48" s="8" t="e">
        <f>#REF!</f>
        <v>#REF!</v>
      </c>
      <c r="V48" s="8"/>
      <c r="W48" s="8" t="e">
        <f t="shared" si="6"/>
        <v>#REF!</v>
      </c>
      <c r="X48" s="27"/>
      <c r="Y48" s="26" t="e">
        <f t="shared" si="13"/>
        <v>#REF!</v>
      </c>
      <c r="Z48" s="95"/>
      <c r="AA48" s="95"/>
      <c r="AB48" s="8">
        <f>'Business_172 PH Rd Budget'!$C$25</f>
        <v>2155.2899999999995</v>
      </c>
      <c r="AC48" s="8" t="e">
        <f t="shared" si="14"/>
        <v>#REF!</v>
      </c>
      <c r="AD48" s="8">
        <v>350000</v>
      </c>
      <c r="AE48" s="76" t="e">
        <f t="shared" si="28"/>
        <v>#REF!</v>
      </c>
      <c r="AF48" s="8" t="e">
        <f t="shared" si="29"/>
        <v>#REF!</v>
      </c>
      <c r="AH48" s="7" t="e">
        <f t="shared" si="31"/>
        <v>#REF!</v>
      </c>
      <c r="AI48" s="79" t="e">
        <f t="shared" si="15"/>
        <v>#REF!</v>
      </c>
      <c r="AJ48" s="79" t="e">
        <f t="shared" si="18"/>
        <v>#REF!</v>
      </c>
      <c r="AK48" s="75" t="e">
        <f>PMT(#REF!,#REF!,-#REF!,0,0)</f>
        <v>#REF!</v>
      </c>
      <c r="AL48" s="75"/>
      <c r="AM48" s="7" t="e">
        <f>AJ48*(#REF!/12)</f>
        <v>#REF!</v>
      </c>
      <c r="AN48" s="7" t="e">
        <f t="shared" si="16"/>
        <v>#REF!</v>
      </c>
      <c r="AO48" s="75" t="e">
        <f t="shared" si="30"/>
        <v>#REF!</v>
      </c>
      <c r="AP48" s="75" t="e">
        <f t="shared" si="17"/>
        <v>#REF!</v>
      </c>
      <c r="AQ48" s="7" t="e">
        <f t="shared" si="10"/>
        <v>#REF!</v>
      </c>
      <c r="AR48" s="41"/>
    </row>
    <row r="49" spans="10:44" x14ac:dyDescent="0.25">
      <c r="J49" s="5">
        <f t="shared" si="3"/>
        <v>32</v>
      </c>
      <c r="K49" s="5">
        <f t="shared" si="26"/>
        <v>2030</v>
      </c>
      <c r="L49" s="34" t="s">
        <v>53</v>
      </c>
      <c r="M49" s="70">
        <f t="shared" si="11"/>
        <v>8682.1875</v>
      </c>
      <c r="N49" s="70">
        <f t="shared" si="27"/>
        <v>7813.96875</v>
      </c>
      <c r="O49" s="71"/>
      <c r="P49" s="86"/>
      <c r="Q49" s="51">
        <v>0</v>
      </c>
      <c r="R49" s="88" t="str">
        <f t="shared" si="12"/>
        <v/>
      </c>
      <c r="S49" s="6">
        <v>0.1</v>
      </c>
      <c r="T49" s="8">
        <f t="shared" si="5"/>
        <v>0</v>
      </c>
      <c r="U49" s="8" t="e">
        <f>#REF!</f>
        <v>#REF!</v>
      </c>
      <c r="V49" s="8"/>
      <c r="W49" s="8" t="e">
        <f t="shared" si="6"/>
        <v>#REF!</v>
      </c>
      <c r="X49" s="27"/>
      <c r="Y49" s="26" t="e">
        <f t="shared" si="13"/>
        <v>#REF!</v>
      </c>
      <c r="Z49" s="95"/>
      <c r="AA49" s="95"/>
      <c r="AB49" s="8">
        <f>'Business_172 PH Rd Budget'!$C$25</f>
        <v>2155.2899999999995</v>
      </c>
      <c r="AC49" s="8" t="e">
        <f t="shared" si="14"/>
        <v>#REF!</v>
      </c>
      <c r="AD49" s="8">
        <v>350000</v>
      </c>
      <c r="AE49" s="76" t="e">
        <f t="shared" si="28"/>
        <v>#REF!</v>
      </c>
      <c r="AF49" s="8" t="e">
        <f t="shared" si="29"/>
        <v>#REF!</v>
      </c>
      <c r="AH49" s="7" t="e">
        <f t="shared" si="31"/>
        <v>#REF!</v>
      </c>
      <c r="AI49" s="79" t="e">
        <f t="shared" si="15"/>
        <v>#REF!</v>
      </c>
      <c r="AJ49" s="79" t="e">
        <f t="shared" si="18"/>
        <v>#REF!</v>
      </c>
      <c r="AK49" s="75" t="e">
        <f>PMT(#REF!,#REF!,-#REF!,0,0)</f>
        <v>#REF!</v>
      </c>
      <c r="AL49" s="75"/>
      <c r="AM49" s="7" t="e">
        <f>AJ49*(#REF!/12)</f>
        <v>#REF!</v>
      </c>
      <c r="AN49" s="7" t="e">
        <f t="shared" si="16"/>
        <v>#REF!</v>
      </c>
      <c r="AO49" s="75" t="e">
        <f t="shared" si="30"/>
        <v>#REF!</v>
      </c>
      <c r="AP49" s="75" t="e">
        <f t="shared" si="17"/>
        <v>#REF!</v>
      </c>
      <c r="AQ49" s="7" t="e">
        <f t="shared" si="10"/>
        <v>#REF!</v>
      </c>
      <c r="AR49" s="41"/>
    </row>
    <row r="50" spans="10:44" x14ac:dyDescent="0.25">
      <c r="J50" s="5">
        <f t="shared" si="3"/>
        <v>32</v>
      </c>
      <c r="K50" s="5">
        <f t="shared" si="26"/>
        <v>2030</v>
      </c>
      <c r="L50" s="34" t="s">
        <v>55</v>
      </c>
      <c r="M50" s="70">
        <f t="shared" si="11"/>
        <v>8682.1875</v>
      </c>
      <c r="N50" s="70">
        <f t="shared" si="27"/>
        <v>6945.75</v>
      </c>
      <c r="O50" s="71"/>
      <c r="P50" s="86"/>
      <c r="Q50" s="51">
        <v>0</v>
      </c>
      <c r="R50" s="88" t="str">
        <f t="shared" si="12"/>
        <v/>
      </c>
      <c r="S50" s="6">
        <v>0.2</v>
      </c>
      <c r="T50" s="8">
        <f t="shared" si="5"/>
        <v>0</v>
      </c>
      <c r="U50" s="8" t="e">
        <f>#REF!</f>
        <v>#REF!</v>
      </c>
      <c r="V50" s="8"/>
      <c r="W50" s="8" t="e">
        <f t="shared" si="6"/>
        <v>#REF!</v>
      </c>
      <c r="X50" s="27"/>
      <c r="Y50" s="26" t="e">
        <f t="shared" si="13"/>
        <v>#REF!</v>
      </c>
      <c r="Z50" s="95"/>
      <c r="AA50" s="95"/>
      <c r="AB50" s="8">
        <f>'Business_172 PH Rd Budget'!$C$25</f>
        <v>2155.2899999999995</v>
      </c>
      <c r="AC50" s="8" t="e">
        <f t="shared" si="14"/>
        <v>#REF!</v>
      </c>
      <c r="AD50" s="8">
        <v>350000</v>
      </c>
      <c r="AE50" s="76" t="e">
        <f t="shared" si="28"/>
        <v>#REF!</v>
      </c>
      <c r="AF50" s="8" t="e">
        <f t="shared" si="29"/>
        <v>#REF!</v>
      </c>
      <c r="AH50" s="7" t="e">
        <f t="shared" si="31"/>
        <v>#REF!</v>
      </c>
      <c r="AI50" s="79" t="e">
        <f t="shared" si="15"/>
        <v>#REF!</v>
      </c>
      <c r="AJ50" s="79" t="e">
        <f t="shared" si="18"/>
        <v>#REF!</v>
      </c>
      <c r="AK50" s="75" t="e">
        <f>PMT(#REF!,#REF!,-#REF!,0,0)</f>
        <v>#REF!</v>
      </c>
      <c r="AL50" s="75"/>
      <c r="AM50" s="7" t="e">
        <f>AJ50*(#REF!/12)</f>
        <v>#REF!</v>
      </c>
      <c r="AN50" s="7" t="e">
        <f t="shared" si="16"/>
        <v>#REF!</v>
      </c>
      <c r="AO50" s="75" t="e">
        <f t="shared" si="30"/>
        <v>#REF!</v>
      </c>
      <c r="AP50" s="75" t="e">
        <f t="shared" si="17"/>
        <v>#REF!</v>
      </c>
      <c r="AQ50" s="7" t="e">
        <f t="shared" si="10"/>
        <v>#REF!</v>
      </c>
      <c r="AR50" s="41"/>
    </row>
    <row r="51" spans="10:44" x14ac:dyDescent="0.25">
      <c r="J51" s="5">
        <f t="shared" si="3"/>
        <v>33</v>
      </c>
      <c r="K51" s="5">
        <f t="shared" si="26"/>
        <v>2031</v>
      </c>
      <c r="L51" s="34" t="s">
        <v>31</v>
      </c>
      <c r="M51" s="70">
        <f t="shared" si="11"/>
        <v>9116.296875</v>
      </c>
      <c r="N51" s="70">
        <f t="shared" si="27"/>
        <v>6837.22265625</v>
      </c>
      <c r="O51" s="71">
        <v>0.05</v>
      </c>
      <c r="P51" s="86"/>
      <c r="Q51" s="51">
        <v>0</v>
      </c>
      <c r="R51" s="88" t="str">
        <f t="shared" si="12"/>
        <v/>
      </c>
      <c r="S51" s="6">
        <v>0.25</v>
      </c>
      <c r="T51" s="8">
        <f t="shared" si="5"/>
        <v>0</v>
      </c>
      <c r="U51" s="8" t="e">
        <f>#REF!</f>
        <v>#REF!</v>
      </c>
      <c r="V51" s="8"/>
      <c r="W51" s="8" t="e">
        <f t="shared" si="6"/>
        <v>#REF!</v>
      </c>
      <c r="X51" s="27"/>
      <c r="Y51" s="26" t="e">
        <f t="shared" si="13"/>
        <v>#REF!</v>
      </c>
      <c r="Z51" s="95"/>
      <c r="AA51" s="95"/>
      <c r="AB51" s="8">
        <f>'Business_172 PH Rd Budget'!$C$25</f>
        <v>2155.2899999999995</v>
      </c>
      <c r="AC51" s="8" t="e">
        <f t="shared" si="14"/>
        <v>#REF!</v>
      </c>
      <c r="AD51" s="8">
        <v>350000</v>
      </c>
      <c r="AE51" s="76" t="e">
        <f t="shared" si="28"/>
        <v>#REF!</v>
      </c>
      <c r="AF51" s="8" t="e">
        <f t="shared" si="29"/>
        <v>#REF!</v>
      </c>
      <c r="AH51" s="7" t="e">
        <f t="shared" si="31"/>
        <v>#REF!</v>
      </c>
      <c r="AI51" s="79" t="e">
        <f t="shared" si="15"/>
        <v>#REF!</v>
      </c>
      <c r="AJ51" s="79" t="e">
        <f t="shared" si="18"/>
        <v>#REF!</v>
      </c>
      <c r="AK51" s="75" t="e">
        <f>PMT(#REF!,#REF!,-#REF!,0,0)</f>
        <v>#REF!</v>
      </c>
      <c r="AL51" s="75"/>
      <c r="AM51" s="7" t="e">
        <f>AJ51*(#REF!/12)</f>
        <v>#REF!</v>
      </c>
      <c r="AN51" s="7" t="e">
        <f t="shared" si="16"/>
        <v>#REF!</v>
      </c>
      <c r="AO51" s="75" t="e">
        <f t="shared" si="30"/>
        <v>#REF!</v>
      </c>
      <c r="AP51" s="75" t="e">
        <f t="shared" si="17"/>
        <v>#REF!</v>
      </c>
      <c r="AQ51" s="7" t="e">
        <f t="shared" si="10"/>
        <v>#REF!</v>
      </c>
      <c r="AR51" s="41"/>
    </row>
    <row r="52" spans="10:44" x14ac:dyDescent="0.25">
      <c r="J52" s="5">
        <f t="shared" si="3"/>
        <v>33</v>
      </c>
      <c r="K52" s="5">
        <f t="shared" si="26"/>
        <v>2031</v>
      </c>
      <c r="L52" s="34" t="s">
        <v>33</v>
      </c>
      <c r="M52" s="70">
        <f t="shared" si="11"/>
        <v>9116.296875</v>
      </c>
      <c r="N52" s="70">
        <f t="shared" si="27"/>
        <v>6837.22265625</v>
      </c>
      <c r="O52" s="71"/>
      <c r="P52" s="86"/>
      <c r="Q52" s="51">
        <v>0</v>
      </c>
      <c r="R52" s="88" t="str">
        <f t="shared" si="12"/>
        <v/>
      </c>
      <c r="S52" s="6">
        <v>0.25</v>
      </c>
      <c r="T52" s="8">
        <f t="shared" si="5"/>
        <v>0</v>
      </c>
      <c r="U52" s="8" t="e">
        <f>#REF!</f>
        <v>#REF!</v>
      </c>
      <c r="V52" s="8"/>
      <c r="W52" s="8" t="e">
        <f t="shared" si="6"/>
        <v>#REF!</v>
      </c>
      <c r="X52" s="27"/>
      <c r="Y52" s="26" t="e">
        <f t="shared" si="13"/>
        <v>#REF!</v>
      </c>
      <c r="Z52" s="95"/>
      <c r="AA52" s="95"/>
      <c r="AB52" s="8">
        <f>'Business_172 PH Rd Budget'!$C$25</f>
        <v>2155.2899999999995</v>
      </c>
      <c r="AC52" s="8" t="e">
        <f t="shared" si="14"/>
        <v>#REF!</v>
      </c>
      <c r="AD52" s="8">
        <v>350000</v>
      </c>
      <c r="AE52" s="76" t="e">
        <f t="shared" si="28"/>
        <v>#REF!</v>
      </c>
      <c r="AF52" s="8" t="e">
        <f t="shared" si="29"/>
        <v>#REF!</v>
      </c>
      <c r="AH52" s="7" t="e">
        <f t="shared" si="31"/>
        <v>#REF!</v>
      </c>
      <c r="AI52" s="79" t="e">
        <f t="shared" si="15"/>
        <v>#REF!</v>
      </c>
      <c r="AJ52" s="79" t="e">
        <f t="shared" si="18"/>
        <v>#REF!</v>
      </c>
      <c r="AK52" s="75" t="e">
        <f>PMT(#REF!,#REF!,-#REF!,0,0)</f>
        <v>#REF!</v>
      </c>
      <c r="AL52" s="75"/>
      <c r="AM52" s="7" t="e">
        <f>AJ52*(#REF!/12)</f>
        <v>#REF!</v>
      </c>
      <c r="AN52" s="7" t="e">
        <f t="shared" si="16"/>
        <v>#REF!</v>
      </c>
      <c r="AO52" s="75" t="e">
        <f t="shared" si="30"/>
        <v>#REF!</v>
      </c>
      <c r="AP52" s="75" t="e">
        <f t="shared" si="17"/>
        <v>#REF!</v>
      </c>
      <c r="AQ52" s="7" t="e">
        <f t="shared" si="10"/>
        <v>#REF!</v>
      </c>
      <c r="AR52" s="41"/>
    </row>
    <row r="53" spans="10:44" x14ac:dyDescent="0.25">
      <c r="J53" s="5">
        <f t="shared" si="3"/>
        <v>33</v>
      </c>
      <c r="K53" s="5">
        <f t="shared" si="26"/>
        <v>2031</v>
      </c>
      <c r="L53" s="34" t="s">
        <v>36</v>
      </c>
      <c r="M53" s="70">
        <f t="shared" si="11"/>
        <v>9116.296875</v>
      </c>
      <c r="N53" s="70">
        <f t="shared" si="27"/>
        <v>7293.0375000000004</v>
      </c>
      <c r="O53" s="71"/>
      <c r="P53" s="86"/>
      <c r="Q53" s="51">
        <v>0</v>
      </c>
      <c r="R53" s="88" t="str">
        <f t="shared" si="12"/>
        <v/>
      </c>
      <c r="S53" s="6">
        <v>0.2</v>
      </c>
      <c r="T53" s="8">
        <f t="shared" si="5"/>
        <v>0</v>
      </c>
      <c r="U53" s="8" t="e">
        <f>#REF!</f>
        <v>#REF!</v>
      </c>
      <c r="V53" s="8"/>
      <c r="W53" s="8" t="e">
        <f t="shared" si="6"/>
        <v>#REF!</v>
      </c>
      <c r="X53" s="27"/>
      <c r="Y53" s="26" t="e">
        <f t="shared" si="13"/>
        <v>#REF!</v>
      </c>
      <c r="Z53" s="95"/>
      <c r="AA53" s="95"/>
      <c r="AB53" s="8">
        <f>'Business_172 PH Rd Budget'!$C$25</f>
        <v>2155.2899999999995</v>
      </c>
      <c r="AC53" s="8" t="e">
        <f t="shared" si="14"/>
        <v>#REF!</v>
      </c>
      <c r="AD53" s="8">
        <v>350000</v>
      </c>
      <c r="AE53" s="76" t="e">
        <f t="shared" si="28"/>
        <v>#REF!</v>
      </c>
      <c r="AF53" s="8" t="e">
        <f t="shared" si="29"/>
        <v>#REF!</v>
      </c>
      <c r="AH53" s="7" t="e">
        <f t="shared" si="31"/>
        <v>#REF!</v>
      </c>
      <c r="AI53" s="79" t="e">
        <f t="shared" si="15"/>
        <v>#REF!</v>
      </c>
      <c r="AJ53" s="79" t="e">
        <f t="shared" si="18"/>
        <v>#REF!</v>
      </c>
      <c r="AK53" s="75" t="e">
        <f>PMT(#REF!,#REF!,-#REF!,0,0)</f>
        <v>#REF!</v>
      </c>
      <c r="AL53" s="75"/>
      <c r="AM53" s="7" t="e">
        <f>AJ53*(#REF!/12)</f>
        <v>#REF!</v>
      </c>
      <c r="AN53" s="7" t="e">
        <f t="shared" si="16"/>
        <v>#REF!</v>
      </c>
      <c r="AO53" s="75" t="e">
        <f t="shared" si="30"/>
        <v>#REF!</v>
      </c>
      <c r="AP53" s="75" t="e">
        <f t="shared" si="17"/>
        <v>#REF!</v>
      </c>
      <c r="AQ53" s="7" t="e">
        <f t="shared" si="10"/>
        <v>#REF!</v>
      </c>
      <c r="AR53" s="41"/>
    </row>
    <row r="54" spans="10:44" x14ac:dyDescent="0.25">
      <c r="J54" s="5">
        <f t="shared" si="3"/>
        <v>33</v>
      </c>
      <c r="K54" s="5">
        <f t="shared" si="26"/>
        <v>2031</v>
      </c>
      <c r="L54" s="34" t="s">
        <v>38</v>
      </c>
      <c r="M54" s="70">
        <f t="shared" si="11"/>
        <v>9116.296875</v>
      </c>
      <c r="N54" s="70">
        <f t="shared" si="27"/>
        <v>8204.6671875000011</v>
      </c>
      <c r="O54" s="71"/>
      <c r="P54" s="86"/>
      <c r="Q54" s="51">
        <v>0</v>
      </c>
      <c r="R54" s="88" t="str">
        <f t="shared" si="12"/>
        <v/>
      </c>
      <c r="S54" s="6">
        <v>0.1</v>
      </c>
      <c r="T54" s="8">
        <f t="shared" si="5"/>
        <v>0</v>
      </c>
      <c r="U54" s="8" t="e">
        <f>#REF!</f>
        <v>#REF!</v>
      </c>
      <c r="V54" s="8"/>
      <c r="W54" s="8" t="e">
        <f t="shared" si="6"/>
        <v>#REF!</v>
      </c>
      <c r="X54" s="27"/>
      <c r="Y54" s="26" t="e">
        <f t="shared" si="13"/>
        <v>#REF!</v>
      </c>
      <c r="Z54" s="95"/>
      <c r="AA54" s="95"/>
      <c r="AB54" s="8">
        <f>'Business_172 PH Rd Budget'!$C$25</f>
        <v>2155.2899999999995</v>
      </c>
      <c r="AC54" s="8" t="e">
        <f t="shared" si="14"/>
        <v>#REF!</v>
      </c>
      <c r="AD54" s="8">
        <v>350000</v>
      </c>
      <c r="AE54" s="76" t="e">
        <f t="shared" si="28"/>
        <v>#REF!</v>
      </c>
      <c r="AF54" s="8" t="e">
        <f t="shared" si="29"/>
        <v>#REF!</v>
      </c>
      <c r="AH54" s="7" t="e">
        <f t="shared" si="31"/>
        <v>#REF!</v>
      </c>
      <c r="AI54" s="79" t="e">
        <f t="shared" si="15"/>
        <v>#REF!</v>
      </c>
      <c r="AJ54" s="79" t="e">
        <f t="shared" si="18"/>
        <v>#REF!</v>
      </c>
      <c r="AK54" s="75" t="e">
        <f>PMT(#REF!,#REF!,-#REF!,0,0)</f>
        <v>#REF!</v>
      </c>
      <c r="AL54" s="75"/>
      <c r="AM54" s="7" t="e">
        <f>AJ54*(#REF!/12)</f>
        <v>#REF!</v>
      </c>
      <c r="AN54" s="7" t="e">
        <f t="shared" si="16"/>
        <v>#REF!</v>
      </c>
      <c r="AO54" s="75" t="e">
        <f t="shared" si="30"/>
        <v>#REF!</v>
      </c>
      <c r="AP54" s="75" t="e">
        <f t="shared" si="17"/>
        <v>#REF!</v>
      </c>
      <c r="AQ54" s="7" t="e">
        <f t="shared" si="10"/>
        <v>#REF!</v>
      </c>
      <c r="AR54" s="41"/>
    </row>
    <row r="55" spans="10:44" x14ac:dyDescent="0.25">
      <c r="J55" s="5">
        <f t="shared" si="3"/>
        <v>33</v>
      </c>
      <c r="K55" s="5">
        <f t="shared" si="26"/>
        <v>2031</v>
      </c>
      <c r="L55" s="34" t="s">
        <v>40</v>
      </c>
      <c r="M55" s="70">
        <f t="shared" si="11"/>
        <v>9116.296875</v>
      </c>
      <c r="N55" s="70">
        <f t="shared" si="27"/>
        <v>9116.296875</v>
      </c>
      <c r="O55" s="71"/>
      <c r="P55" s="86">
        <v>4</v>
      </c>
      <c r="Q55" s="51">
        <v>2</v>
      </c>
      <c r="R55" s="88">
        <f t="shared" si="12"/>
        <v>0.5</v>
      </c>
      <c r="S55" s="6">
        <v>0</v>
      </c>
      <c r="T55" s="8">
        <f t="shared" si="5"/>
        <v>18232.59375</v>
      </c>
      <c r="U55" s="8" t="e">
        <f>#REF!</f>
        <v>#REF!</v>
      </c>
      <c r="V55" s="8"/>
      <c r="W55" s="8" t="e">
        <f t="shared" si="6"/>
        <v>#REF!</v>
      </c>
      <c r="X55" s="27"/>
      <c r="Y55" s="26" t="e">
        <f t="shared" si="13"/>
        <v>#REF!</v>
      </c>
      <c r="Z55" s="95"/>
      <c r="AA55" s="95"/>
      <c r="AB55" s="8">
        <f>'Business_172 PH Rd Budget'!$C$25</f>
        <v>2155.2899999999995</v>
      </c>
      <c r="AC55" s="8" t="e">
        <f t="shared" si="14"/>
        <v>#REF!</v>
      </c>
      <c r="AD55" s="8">
        <v>350000</v>
      </c>
      <c r="AE55" s="76" t="e">
        <f t="shared" si="28"/>
        <v>#REF!</v>
      </c>
      <c r="AF55" s="8" t="e">
        <f t="shared" si="29"/>
        <v>#REF!</v>
      </c>
      <c r="AH55" s="7" t="e">
        <f t="shared" si="31"/>
        <v>#REF!</v>
      </c>
      <c r="AI55" s="79" t="e">
        <f t="shared" si="15"/>
        <v>#REF!</v>
      </c>
      <c r="AJ55" s="79" t="e">
        <f t="shared" si="18"/>
        <v>#REF!</v>
      </c>
      <c r="AK55" s="75" t="e">
        <f>PMT(#REF!,#REF!,-#REF!,0,0)</f>
        <v>#REF!</v>
      </c>
      <c r="AL55" s="75"/>
      <c r="AM55" s="7" t="e">
        <f>AJ55*(#REF!/12)</f>
        <v>#REF!</v>
      </c>
      <c r="AN55" s="7" t="e">
        <f t="shared" si="16"/>
        <v>#REF!</v>
      </c>
      <c r="AO55" s="75" t="e">
        <f t="shared" si="30"/>
        <v>#REF!</v>
      </c>
      <c r="AP55" s="75" t="e">
        <f t="shared" si="17"/>
        <v>#REF!</v>
      </c>
      <c r="AQ55" s="7" t="e">
        <f t="shared" si="10"/>
        <v>#REF!</v>
      </c>
      <c r="AR55" s="41"/>
    </row>
    <row r="56" spans="10:44" x14ac:dyDescent="0.25">
      <c r="J56" s="5">
        <f t="shared" si="3"/>
        <v>33</v>
      </c>
      <c r="K56" s="5">
        <f t="shared" si="26"/>
        <v>2031</v>
      </c>
      <c r="L56" s="34" t="s">
        <v>42</v>
      </c>
      <c r="M56" s="70">
        <f t="shared" si="11"/>
        <v>9116.296875</v>
      </c>
      <c r="N56" s="70">
        <f t="shared" si="27"/>
        <v>9116.296875</v>
      </c>
      <c r="O56" s="71"/>
      <c r="P56" s="86">
        <v>5</v>
      </c>
      <c r="Q56" s="51">
        <v>4</v>
      </c>
      <c r="R56" s="88">
        <f t="shared" si="12"/>
        <v>0.8</v>
      </c>
      <c r="S56" s="6">
        <v>0</v>
      </c>
      <c r="T56" s="8">
        <f t="shared" si="5"/>
        <v>36465.1875</v>
      </c>
      <c r="U56" s="8" t="e">
        <f>#REF!</f>
        <v>#REF!</v>
      </c>
      <c r="V56" s="8"/>
      <c r="W56" s="8" t="e">
        <f t="shared" si="6"/>
        <v>#REF!</v>
      </c>
      <c r="X56" s="27"/>
      <c r="Y56" s="26" t="e">
        <f t="shared" si="13"/>
        <v>#REF!</v>
      </c>
      <c r="Z56" s="95"/>
      <c r="AA56" s="95"/>
      <c r="AB56" s="8">
        <f>'Business_172 PH Rd Budget'!$C$25</f>
        <v>2155.2899999999995</v>
      </c>
      <c r="AC56" s="8" t="e">
        <f t="shared" si="14"/>
        <v>#REF!</v>
      </c>
      <c r="AD56" s="8">
        <v>350000</v>
      </c>
      <c r="AE56" s="76" t="e">
        <f t="shared" si="28"/>
        <v>#REF!</v>
      </c>
      <c r="AF56" s="8" t="e">
        <f t="shared" si="29"/>
        <v>#REF!</v>
      </c>
      <c r="AH56" s="7" t="e">
        <f t="shared" si="31"/>
        <v>#REF!</v>
      </c>
      <c r="AI56" s="79" t="e">
        <f t="shared" si="15"/>
        <v>#REF!</v>
      </c>
      <c r="AJ56" s="79" t="e">
        <f t="shared" si="18"/>
        <v>#REF!</v>
      </c>
      <c r="AK56" s="75" t="e">
        <f>PMT(#REF!,#REF!,-#REF!,0,0)</f>
        <v>#REF!</v>
      </c>
      <c r="AL56" s="75"/>
      <c r="AM56" s="7" t="e">
        <f>AJ56*(#REF!/12)</f>
        <v>#REF!</v>
      </c>
      <c r="AN56" s="7" t="e">
        <f t="shared" si="16"/>
        <v>#REF!</v>
      </c>
      <c r="AO56" s="75" t="e">
        <f t="shared" si="30"/>
        <v>#REF!</v>
      </c>
      <c r="AP56" s="75" t="e">
        <f t="shared" si="17"/>
        <v>#REF!</v>
      </c>
      <c r="AQ56" s="7" t="e">
        <f t="shared" si="10"/>
        <v>#REF!</v>
      </c>
      <c r="AR56" s="41"/>
    </row>
    <row r="57" spans="10:44" x14ac:dyDescent="0.25">
      <c r="J57" s="5">
        <f t="shared" si="3"/>
        <v>33</v>
      </c>
      <c r="K57" s="5">
        <f t="shared" si="26"/>
        <v>2031</v>
      </c>
      <c r="L57" s="34" t="s">
        <v>44</v>
      </c>
      <c r="M57" s="70">
        <f t="shared" si="11"/>
        <v>9116.296875</v>
      </c>
      <c r="N57" s="70">
        <f t="shared" si="27"/>
        <v>9116.296875</v>
      </c>
      <c r="O57" s="71"/>
      <c r="P57" s="86">
        <v>4</v>
      </c>
      <c r="Q57" s="51">
        <v>4</v>
      </c>
      <c r="R57" s="88">
        <f t="shared" si="12"/>
        <v>1</v>
      </c>
      <c r="S57" s="6">
        <v>0</v>
      </c>
      <c r="T57" s="8">
        <f t="shared" si="5"/>
        <v>36465.1875</v>
      </c>
      <c r="U57" s="8" t="e">
        <f>#REF!</f>
        <v>#REF!</v>
      </c>
      <c r="V57" s="8"/>
      <c r="W57" s="8" t="e">
        <f t="shared" si="6"/>
        <v>#REF!</v>
      </c>
      <c r="X57" s="27"/>
      <c r="Y57" s="26" t="e">
        <f t="shared" si="13"/>
        <v>#REF!</v>
      </c>
      <c r="Z57" s="95"/>
      <c r="AA57" s="95"/>
      <c r="AB57" s="8">
        <f>'Business_172 PH Rd Budget'!$C$25</f>
        <v>2155.2899999999995</v>
      </c>
      <c r="AC57" s="8" t="e">
        <f t="shared" si="14"/>
        <v>#REF!</v>
      </c>
      <c r="AD57" s="8">
        <v>350000</v>
      </c>
      <c r="AE57" s="76" t="e">
        <f t="shared" si="28"/>
        <v>#REF!</v>
      </c>
      <c r="AF57" s="8" t="e">
        <f t="shared" si="29"/>
        <v>#REF!</v>
      </c>
      <c r="AH57" s="7" t="e">
        <f t="shared" si="31"/>
        <v>#REF!</v>
      </c>
      <c r="AI57" s="79" t="e">
        <f t="shared" si="15"/>
        <v>#REF!</v>
      </c>
      <c r="AJ57" s="79" t="e">
        <f t="shared" si="18"/>
        <v>#REF!</v>
      </c>
      <c r="AK57" s="75" t="e">
        <f>PMT(#REF!,#REF!,-#REF!,0,0)</f>
        <v>#REF!</v>
      </c>
      <c r="AL57" s="75"/>
      <c r="AM57" s="7" t="e">
        <f>AJ57*(#REF!/12)</f>
        <v>#REF!</v>
      </c>
      <c r="AN57" s="7" t="e">
        <f t="shared" si="16"/>
        <v>#REF!</v>
      </c>
      <c r="AO57" s="75" t="e">
        <f t="shared" si="30"/>
        <v>#REF!</v>
      </c>
      <c r="AP57" s="75" t="e">
        <f t="shared" si="17"/>
        <v>#REF!</v>
      </c>
      <c r="AQ57" s="7" t="e">
        <f t="shared" si="10"/>
        <v>#REF!</v>
      </c>
      <c r="AR57" s="41"/>
    </row>
    <row r="58" spans="10:44" x14ac:dyDescent="0.25">
      <c r="J58" s="5">
        <f t="shared" si="3"/>
        <v>33</v>
      </c>
      <c r="K58" s="5">
        <f t="shared" si="26"/>
        <v>2031</v>
      </c>
      <c r="L58" s="34" t="s">
        <v>47</v>
      </c>
      <c r="M58" s="70">
        <f t="shared" si="11"/>
        <v>9116.296875</v>
      </c>
      <c r="N58" s="70">
        <f t="shared" si="27"/>
        <v>9116.296875</v>
      </c>
      <c r="O58" s="71"/>
      <c r="P58" s="86">
        <v>5</v>
      </c>
      <c r="Q58" s="51">
        <v>4</v>
      </c>
      <c r="R58" s="88">
        <f t="shared" si="12"/>
        <v>0.8</v>
      </c>
      <c r="S58" s="6">
        <v>0</v>
      </c>
      <c r="T58" s="8">
        <f t="shared" si="5"/>
        <v>36465.1875</v>
      </c>
      <c r="U58" s="8" t="e">
        <f>#REF!</f>
        <v>#REF!</v>
      </c>
      <c r="V58" s="8"/>
      <c r="W58" s="8" t="e">
        <f t="shared" si="6"/>
        <v>#REF!</v>
      </c>
      <c r="X58" s="27"/>
      <c r="Y58" s="26" t="e">
        <f t="shared" si="13"/>
        <v>#REF!</v>
      </c>
      <c r="Z58" s="95"/>
      <c r="AA58" s="95"/>
      <c r="AB58" s="8">
        <f>'Business_172 PH Rd Budget'!$C$25</f>
        <v>2155.2899999999995</v>
      </c>
      <c r="AC58" s="8" t="e">
        <f t="shared" si="14"/>
        <v>#REF!</v>
      </c>
      <c r="AD58" s="8">
        <v>350000</v>
      </c>
      <c r="AE58" s="76" t="e">
        <f t="shared" si="28"/>
        <v>#REF!</v>
      </c>
      <c r="AF58" s="8" t="e">
        <f t="shared" si="29"/>
        <v>#REF!</v>
      </c>
      <c r="AH58" s="7" t="e">
        <f t="shared" si="31"/>
        <v>#REF!</v>
      </c>
      <c r="AI58" s="79" t="e">
        <f t="shared" si="15"/>
        <v>#REF!</v>
      </c>
      <c r="AJ58" s="79" t="e">
        <f t="shared" si="18"/>
        <v>#REF!</v>
      </c>
      <c r="AK58" s="75" t="e">
        <f>PMT(#REF!,#REF!,-#REF!,0,0)</f>
        <v>#REF!</v>
      </c>
      <c r="AL58" s="75"/>
      <c r="AM58" s="7" t="e">
        <f>AJ58*(#REF!/12)</f>
        <v>#REF!</v>
      </c>
      <c r="AN58" s="7" t="e">
        <f t="shared" si="16"/>
        <v>#REF!</v>
      </c>
      <c r="AO58" s="75" t="e">
        <f t="shared" si="30"/>
        <v>#REF!</v>
      </c>
      <c r="AP58" s="75" t="e">
        <f t="shared" si="17"/>
        <v>#REF!</v>
      </c>
      <c r="AQ58" s="7" t="e">
        <f t="shared" si="10"/>
        <v>#REF!</v>
      </c>
      <c r="AR58" s="41"/>
    </row>
    <row r="59" spans="10:44" x14ac:dyDescent="0.25">
      <c r="J59" s="5">
        <f t="shared" si="3"/>
        <v>33</v>
      </c>
      <c r="K59" s="5">
        <f t="shared" si="26"/>
        <v>2031</v>
      </c>
      <c r="L59" s="34" t="s">
        <v>49</v>
      </c>
      <c r="M59" s="70">
        <f t="shared" si="11"/>
        <v>9116.296875</v>
      </c>
      <c r="N59" s="70">
        <f t="shared" si="27"/>
        <v>9116.296875</v>
      </c>
      <c r="O59" s="71"/>
      <c r="P59" s="86">
        <v>4</v>
      </c>
      <c r="Q59" s="44">
        <v>4</v>
      </c>
      <c r="R59" s="88">
        <f t="shared" si="12"/>
        <v>1</v>
      </c>
      <c r="S59" s="6">
        <v>0</v>
      </c>
      <c r="T59" s="8">
        <f t="shared" si="5"/>
        <v>36465.1875</v>
      </c>
      <c r="U59" s="8" t="e">
        <f>#REF!</f>
        <v>#REF!</v>
      </c>
      <c r="V59" s="8"/>
      <c r="W59" s="8" t="e">
        <f t="shared" si="6"/>
        <v>#REF!</v>
      </c>
      <c r="X59" s="27"/>
      <c r="Y59" s="26" t="e">
        <f t="shared" si="13"/>
        <v>#REF!</v>
      </c>
      <c r="Z59" s="95"/>
      <c r="AA59" s="95"/>
      <c r="AB59" s="8">
        <f>'Business_172 PH Rd Budget'!$C$25</f>
        <v>2155.2899999999995</v>
      </c>
      <c r="AC59" s="8" t="e">
        <f t="shared" si="14"/>
        <v>#REF!</v>
      </c>
      <c r="AD59" s="8">
        <v>350000</v>
      </c>
      <c r="AE59" s="76" t="e">
        <f t="shared" si="28"/>
        <v>#REF!</v>
      </c>
      <c r="AF59" s="8" t="e">
        <f t="shared" si="29"/>
        <v>#REF!</v>
      </c>
      <c r="AH59" s="7" t="e">
        <f t="shared" si="31"/>
        <v>#REF!</v>
      </c>
      <c r="AI59" s="79" t="e">
        <f t="shared" si="15"/>
        <v>#REF!</v>
      </c>
      <c r="AJ59" s="79" t="e">
        <f t="shared" si="18"/>
        <v>#REF!</v>
      </c>
      <c r="AK59" s="75" t="e">
        <f>PMT(#REF!,#REF!,-#REF!,0,0)</f>
        <v>#REF!</v>
      </c>
      <c r="AL59" s="75"/>
      <c r="AM59" s="7" t="e">
        <f>AJ59*(#REF!/12)</f>
        <v>#REF!</v>
      </c>
      <c r="AN59" s="7" t="e">
        <f t="shared" si="16"/>
        <v>#REF!</v>
      </c>
      <c r="AO59" s="75" t="e">
        <f t="shared" si="30"/>
        <v>#REF!</v>
      </c>
      <c r="AP59" s="75" t="e">
        <f t="shared" si="17"/>
        <v>#REF!</v>
      </c>
      <c r="AQ59" s="7" t="e">
        <f t="shared" si="10"/>
        <v>#REF!</v>
      </c>
      <c r="AR59" s="41"/>
    </row>
    <row r="60" spans="10:44" x14ac:dyDescent="0.25">
      <c r="J60" s="5">
        <f t="shared" si="3"/>
        <v>33</v>
      </c>
      <c r="K60" s="5">
        <f t="shared" si="26"/>
        <v>2031</v>
      </c>
      <c r="L60" s="34" t="s">
        <v>51</v>
      </c>
      <c r="M60" s="70">
        <f t="shared" si="11"/>
        <v>9116.296875</v>
      </c>
      <c r="N60" s="70">
        <f t="shared" si="27"/>
        <v>9116.296875</v>
      </c>
      <c r="O60" s="71"/>
      <c r="P60" s="86">
        <v>4</v>
      </c>
      <c r="Q60" s="44">
        <v>4</v>
      </c>
      <c r="R60" s="88">
        <f t="shared" si="12"/>
        <v>1</v>
      </c>
      <c r="S60" s="6">
        <v>0</v>
      </c>
      <c r="T60" s="8">
        <f t="shared" si="5"/>
        <v>36465.1875</v>
      </c>
      <c r="U60" s="8" t="e">
        <f>#REF!</f>
        <v>#REF!</v>
      </c>
      <c r="V60" s="8"/>
      <c r="W60" s="8" t="e">
        <f t="shared" si="6"/>
        <v>#REF!</v>
      </c>
      <c r="X60" s="27"/>
      <c r="Y60" s="26" t="e">
        <f t="shared" si="13"/>
        <v>#REF!</v>
      </c>
      <c r="Z60" s="95"/>
      <c r="AA60" s="95"/>
      <c r="AB60" s="8">
        <f>'Business_172 PH Rd Budget'!$C$25</f>
        <v>2155.2899999999995</v>
      </c>
      <c r="AC60" s="8" t="e">
        <f t="shared" si="14"/>
        <v>#REF!</v>
      </c>
      <c r="AD60" s="8">
        <v>350000</v>
      </c>
      <c r="AE60" s="76" t="e">
        <f t="shared" si="28"/>
        <v>#REF!</v>
      </c>
      <c r="AF60" s="8" t="e">
        <f t="shared" si="29"/>
        <v>#REF!</v>
      </c>
      <c r="AH60" s="7" t="e">
        <f t="shared" si="31"/>
        <v>#REF!</v>
      </c>
      <c r="AI60" s="79" t="e">
        <f t="shared" si="15"/>
        <v>#REF!</v>
      </c>
      <c r="AJ60" s="79" t="e">
        <f t="shared" si="18"/>
        <v>#REF!</v>
      </c>
      <c r="AK60" s="75" t="e">
        <f>PMT(#REF!,#REF!,-#REF!,0,0)</f>
        <v>#REF!</v>
      </c>
      <c r="AL60" s="75"/>
      <c r="AM60" s="7" t="e">
        <f>AJ60*(#REF!/12)</f>
        <v>#REF!</v>
      </c>
      <c r="AN60" s="7" t="e">
        <f t="shared" si="16"/>
        <v>#REF!</v>
      </c>
      <c r="AO60" s="75" t="e">
        <f t="shared" si="30"/>
        <v>#REF!</v>
      </c>
      <c r="AP60" s="75" t="e">
        <f t="shared" si="17"/>
        <v>#REF!</v>
      </c>
      <c r="AQ60" s="7" t="e">
        <f t="shared" si="10"/>
        <v>#REF!</v>
      </c>
      <c r="AR60" s="41"/>
    </row>
    <row r="61" spans="10:44" x14ac:dyDescent="0.25">
      <c r="J61" s="5">
        <f t="shared" si="3"/>
        <v>33</v>
      </c>
      <c r="K61" s="5">
        <f t="shared" si="26"/>
        <v>2031</v>
      </c>
      <c r="L61" s="34" t="s">
        <v>53</v>
      </c>
      <c r="M61" s="70">
        <f t="shared" si="11"/>
        <v>9116.296875</v>
      </c>
      <c r="N61" s="70">
        <f t="shared" si="27"/>
        <v>8204.6671875000011</v>
      </c>
      <c r="O61" s="71"/>
      <c r="P61" s="86"/>
      <c r="Q61" s="44">
        <v>0</v>
      </c>
      <c r="R61" s="88" t="str">
        <f t="shared" si="12"/>
        <v/>
      </c>
      <c r="S61" s="6">
        <v>0.1</v>
      </c>
      <c r="T61" s="8">
        <f t="shared" si="5"/>
        <v>0</v>
      </c>
      <c r="U61" s="8" t="e">
        <f>#REF!</f>
        <v>#REF!</v>
      </c>
      <c r="V61" s="8"/>
      <c r="W61" s="8" t="e">
        <f t="shared" si="6"/>
        <v>#REF!</v>
      </c>
      <c r="X61" s="27"/>
      <c r="Y61" s="26" t="e">
        <f t="shared" si="13"/>
        <v>#REF!</v>
      </c>
      <c r="Z61" s="95"/>
      <c r="AA61" s="95"/>
      <c r="AB61" s="8">
        <f>'Business_172 PH Rd Budget'!$C$25</f>
        <v>2155.2899999999995</v>
      </c>
      <c r="AC61" s="8" t="e">
        <f t="shared" si="14"/>
        <v>#REF!</v>
      </c>
      <c r="AD61" s="8">
        <v>350000</v>
      </c>
      <c r="AE61" s="76" t="e">
        <f t="shared" si="28"/>
        <v>#REF!</v>
      </c>
      <c r="AF61" s="8" t="e">
        <f t="shared" si="29"/>
        <v>#REF!</v>
      </c>
      <c r="AH61" s="7" t="e">
        <f t="shared" si="31"/>
        <v>#REF!</v>
      </c>
      <c r="AI61" s="79" t="e">
        <f t="shared" si="15"/>
        <v>#REF!</v>
      </c>
      <c r="AJ61" s="79" t="e">
        <f t="shared" si="18"/>
        <v>#REF!</v>
      </c>
      <c r="AK61" s="75" t="e">
        <f>PMT(#REF!,#REF!,-#REF!,0,0)</f>
        <v>#REF!</v>
      </c>
      <c r="AL61" s="75"/>
      <c r="AM61" s="7" t="e">
        <f>AJ61*(#REF!/12)</f>
        <v>#REF!</v>
      </c>
      <c r="AN61" s="7" t="e">
        <f t="shared" si="16"/>
        <v>#REF!</v>
      </c>
      <c r="AO61" s="75" t="e">
        <f t="shared" si="30"/>
        <v>#REF!</v>
      </c>
      <c r="AP61" s="75" t="e">
        <f t="shared" si="17"/>
        <v>#REF!</v>
      </c>
      <c r="AQ61" s="7" t="e">
        <f t="shared" si="10"/>
        <v>#REF!</v>
      </c>
      <c r="AR61" s="41"/>
    </row>
    <row r="62" spans="10:44" x14ac:dyDescent="0.25">
      <c r="J62" s="5">
        <f t="shared" si="3"/>
        <v>33</v>
      </c>
      <c r="K62" s="5">
        <f t="shared" si="26"/>
        <v>2031</v>
      </c>
      <c r="L62" s="34" t="s">
        <v>55</v>
      </c>
      <c r="M62" s="70">
        <f t="shared" si="11"/>
        <v>9116.296875</v>
      </c>
      <c r="N62" s="70">
        <f t="shared" si="27"/>
        <v>7293.0375000000004</v>
      </c>
      <c r="O62" s="71"/>
      <c r="P62" s="86"/>
      <c r="Q62" s="51">
        <v>0</v>
      </c>
      <c r="R62" s="88" t="str">
        <f t="shared" si="12"/>
        <v/>
      </c>
      <c r="S62" s="6">
        <v>0.2</v>
      </c>
      <c r="T62" s="8">
        <f t="shared" si="5"/>
        <v>0</v>
      </c>
      <c r="U62" s="8" t="e">
        <f>#REF!</f>
        <v>#REF!</v>
      </c>
      <c r="V62" s="8"/>
      <c r="W62" s="8" t="e">
        <f t="shared" si="6"/>
        <v>#REF!</v>
      </c>
      <c r="X62" s="27"/>
      <c r="Y62" s="26" t="e">
        <f t="shared" si="13"/>
        <v>#REF!</v>
      </c>
      <c r="Z62" s="95"/>
      <c r="AA62" s="95"/>
      <c r="AB62" s="8">
        <f>'Business_172 PH Rd Budget'!$C$25</f>
        <v>2155.2899999999995</v>
      </c>
      <c r="AC62" s="8" t="e">
        <f t="shared" si="14"/>
        <v>#REF!</v>
      </c>
      <c r="AD62" s="8">
        <v>350000</v>
      </c>
      <c r="AE62" s="76" t="e">
        <f t="shared" si="28"/>
        <v>#REF!</v>
      </c>
      <c r="AF62" s="8" t="e">
        <f t="shared" si="29"/>
        <v>#REF!</v>
      </c>
      <c r="AH62" s="7" t="e">
        <f t="shared" si="31"/>
        <v>#REF!</v>
      </c>
      <c r="AI62" s="79" t="e">
        <f t="shared" si="15"/>
        <v>#REF!</v>
      </c>
      <c r="AJ62" s="79" t="e">
        <f t="shared" si="18"/>
        <v>#REF!</v>
      </c>
      <c r="AK62" s="75" t="e">
        <f>PMT(#REF!,#REF!,-#REF!,0,0)</f>
        <v>#REF!</v>
      </c>
      <c r="AL62" s="75"/>
      <c r="AM62" s="7" t="e">
        <f>AJ62*(#REF!/12)</f>
        <v>#REF!</v>
      </c>
      <c r="AN62" s="7" t="e">
        <f t="shared" si="16"/>
        <v>#REF!</v>
      </c>
      <c r="AO62" s="75" t="e">
        <f t="shared" si="30"/>
        <v>#REF!</v>
      </c>
      <c r="AP62" s="75" t="e">
        <f t="shared" si="17"/>
        <v>#REF!</v>
      </c>
      <c r="AQ62" s="7" t="e">
        <f t="shared" si="10"/>
        <v>#REF!</v>
      </c>
      <c r="AR62" s="41"/>
    </row>
    <row r="63" spans="10:44" x14ac:dyDescent="0.25">
      <c r="J63" s="5">
        <f t="shared" si="3"/>
        <v>34</v>
      </c>
      <c r="K63" s="5">
        <f t="shared" si="26"/>
        <v>2032</v>
      </c>
      <c r="L63" s="34" t="s">
        <v>31</v>
      </c>
      <c r="M63" s="70">
        <f t="shared" si="11"/>
        <v>9572.1117187500004</v>
      </c>
      <c r="N63" s="70">
        <f t="shared" si="27"/>
        <v>7179.0837890625007</v>
      </c>
      <c r="O63" s="71">
        <v>0.05</v>
      </c>
      <c r="P63" s="86"/>
      <c r="Q63" s="51">
        <v>0</v>
      </c>
      <c r="R63" s="88" t="str">
        <f t="shared" si="12"/>
        <v/>
      </c>
      <c r="S63" s="6">
        <v>0.25</v>
      </c>
      <c r="T63" s="8">
        <f t="shared" si="5"/>
        <v>0</v>
      </c>
      <c r="U63" s="8" t="e">
        <f>#REF!</f>
        <v>#REF!</v>
      </c>
      <c r="V63" s="8"/>
      <c r="W63" s="8" t="e">
        <f t="shared" si="6"/>
        <v>#REF!</v>
      </c>
      <c r="X63" s="27"/>
      <c r="Y63" s="26" t="e">
        <f t="shared" si="13"/>
        <v>#REF!</v>
      </c>
      <c r="Z63" s="95"/>
      <c r="AA63" s="95"/>
      <c r="AB63" s="8">
        <f>'Business_172 PH Rd Budget'!$C$25</f>
        <v>2155.2899999999995</v>
      </c>
      <c r="AC63" s="8" t="e">
        <f t="shared" si="14"/>
        <v>#REF!</v>
      </c>
      <c r="AD63" s="8">
        <v>350000</v>
      </c>
      <c r="AE63" s="76" t="e">
        <f t="shared" si="28"/>
        <v>#REF!</v>
      </c>
      <c r="AF63" s="8" t="e">
        <f t="shared" si="29"/>
        <v>#REF!</v>
      </c>
      <c r="AH63" s="7" t="e">
        <f t="shared" si="31"/>
        <v>#REF!</v>
      </c>
      <c r="AI63" s="79" t="e">
        <f t="shared" si="15"/>
        <v>#REF!</v>
      </c>
      <c r="AJ63" s="79" t="e">
        <f t="shared" si="18"/>
        <v>#REF!</v>
      </c>
      <c r="AK63" s="75" t="e">
        <f>PMT(#REF!,#REF!,-#REF!,0,0)</f>
        <v>#REF!</v>
      </c>
      <c r="AL63" s="75"/>
      <c r="AM63" s="7" t="e">
        <f>AJ63*(#REF!/12)</f>
        <v>#REF!</v>
      </c>
      <c r="AN63" s="7" t="e">
        <f t="shared" si="16"/>
        <v>#REF!</v>
      </c>
      <c r="AO63" s="75" t="e">
        <f t="shared" si="30"/>
        <v>#REF!</v>
      </c>
      <c r="AP63" s="75" t="e">
        <f t="shared" si="17"/>
        <v>#REF!</v>
      </c>
      <c r="AQ63" s="7" t="e">
        <f t="shared" si="10"/>
        <v>#REF!</v>
      </c>
      <c r="AR63" s="41"/>
    </row>
    <row r="64" spans="10:44" x14ac:dyDescent="0.25">
      <c r="J64" s="5">
        <f t="shared" si="3"/>
        <v>34</v>
      </c>
      <c r="K64" s="5">
        <f t="shared" si="26"/>
        <v>2032</v>
      </c>
      <c r="L64" s="34" t="s">
        <v>33</v>
      </c>
      <c r="M64" s="70">
        <f t="shared" si="11"/>
        <v>9572.1117187500004</v>
      </c>
      <c r="N64" s="70">
        <f t="shared" si="27"/>
        <v>7179.0837890625007</v>
      </c>
      <c r="O64" s="71"/>
      <c r="P64" s="86"/>
      <c r="Q64" s="51">
        <v>0</v>
      </c>
      <c r="R64" s="88" t="str">
        <f t="shared" si="12"/>
        <v/>
      </c>
      <c r="S64" s="6">
        <v>0.25</v>
      </c>
      <c r="T64" s="8">
        <f t="shared" si="5"/>
        <v>0</v>
      </c>
      <c r="U64" s="8" t="e">
        <f>#REF!</f>
        <v>#REF!</v>
      </c>
      <c r="V64" s="8"/>
      <c r="W64" s="8" t="e">
        <f t="shared" si="6"/>
        <v>#REF!</v>
      </c>
      <c r="X64" s="27"/>
      <c r="Y64" s="26" t="e">
        <f t="shared" si="13"/>
        <v>#REF!</v>
      </c>
      <c r="Z64" s="95"/>
      <c r="AA64" s="95"/>
      <c r="AB64" s="8">
        <f>'Business_172 PH Rd Budget'!$C$25</f>
        <v>2155.2899999999995</v>
      </c>
      <c r="AC64" s="8" t="e">
        <f t="shared" si="14"/>
        <v>#REF!</v>
      </c>
      <c r="AD64" s="8">
        <v>350000</v>
      </c>
      <c r="AE64" s="76" t="e">
        <f t="shared" si="28"/>
        <v>#REF!</v>
      </c>
      <c r="AF64" s="8" t="e">
        <f t="shared" si="29"/>
        <v>#REF!</v>
      </c>
      <c r="AH64" s="7" t="e">
        <f t="shared" si="31"/>
        <v>#REF!</v>
      </c>
      <c r="AI64" s="79" t="e">
        <f t="shared" si="15"/>
        <v>#REF!</v>
      </c>
      <c r="AJ64" s="79" t="e">
        <f t="shared" si="18"/>
        <v>#REF!</v>
      </c>
      <c r="AK64" s="75" t="e">
        <f>PMT(#REF!,#REF!,-#REF!,0,0)</f>
        <v>#REF!</v>
      </c>
      <c r="AL64" s="75"/>
      <c r="AM64" s="7" t="e">
        <f>AJ64*(#REF!/12)</f>
        <v>#REF!</v>
      </c>
      <c r="AN64" s="7" t="e">
        <f t="shared" si="16"/>
        <v>#REF!</v>
      </c>
      <c r="AO64" s="75" t="e">
        <f t="shared" si="30"/>
        <v>#REF!</v>
      </c>
      <c r="AP64" s="75" t="e">
        <f t="shared" si="17"/>
        <v>#REF!</v>
      </c>
      <c r="AQ64" s="7" t="e">
        <f t="shared" si="10"/>
        <v>#REF!</v>
      </c>
      <c r="AR64" s="41"/>
    </row>
    <row r="65" spans="10:44" x14ac:dyDescent="0.25">
      <c r="J65" s="5">
        <f t="shared" si="3"/>
        <v>34</v>
      </c>
      <c r="K65" s="5">
        <f t="shared" si="26"/>
        <v>2032</v>
      </c>
      <c r="L65" s="34" t="s">
        <v>36</v>
      </c>
      <c r="M65" s="70">
        <f t="shared" si="11"/>
        <v>9572.1117187500004</v>
      </c>
      <c r="N65" s="70">
        <f t="shared" si="27"/>
        <v>7657.6893750000008</v>
      </c>
      <c r="O65" s="71"/>
      <c r="P65" s="86"/>
      <c r="Q65" s="51">
        <v>0</v>
      </c>
      <c r="R65" s="88" t="str">
        <f t="shared" si="12"/>
        <v/>
      </c>
      <c r="S65" s="6">
        <v>0.2</v>
      </c>
      <c r="T65" s="8">
        <f t="shared" si="5"/>
        <v>0</v>
      </c>
      <c r="U65" s="8" t="e">
        <f>#REF!</f>
        <v>#REF!</v>
      </c>
      <c r="V65" s="8"/>
      <c r="W65" s="8" t="e">
        <f t="shared" si="6"/>
        <v>#REF!</v>
      </c>
      <c r="X65" s="27"/>
      <c r="Y65" s="26" t="e">
        <f t="shared" si="13"/>
        <v>#REF!</v>
      </c>
      <c r="Z65" s="95"/>
      <c r="AA65" s="95"/>
      <c r="AB65" s="8">
        <f>'Business_172 PH Rd Budget'!$C$25</f>
        <v>2155.2899999999995</v>
      </c>
      <c r="AC65" s="8" t="e">
        <f t="shared" si="14"/>
        <v>#REF!</v>
      </c>
      <c r="AD65" s="8">
        <v>350000</v>
      </c>
      <c r="AE65" s="76" t="e">
        <f t="shared" si="28"/>
        <v>#REF!</v>
      </c>
      <c r="AF65" s="8" t="e">
        <f t="shared" si="29"/>
        <v>#REF!</v>
      </c>
      <c r="AH65" s="7" t="e">
        <f t="shared" si="31"/>
        <v>#REF!</v>
      </c>
      <c r="AI65" s="79" t="e">
        <f t="shared" si="15"/>
        <v>#REF!</v>
      </c>
      <c r="AJ65" s="79" t="e">
        <f t="shared" si="18"/>
        <v>#REF!</v>
      </c>
      <c r="AK65" s="75" t="e">
        <f>PMT(#REF!,#REF!,-#REF!,0,0)</f>
        <v>#REF!</v>
      </c>
      <c r="AL65" s="75"/>
      <c r="AM65" s="7" t="e">
        <f>AJ65*(#REF!/12)</f>
        <v>#REF!</v>
      </c>
      <c r="AN65" s="7" t="e">
        <f t="shared" si="16"/>
        <v>#REF!</v>
      </c>
      <c r="AO65" s="75" t="e">
        <f t="shared" si="30"/>
        <v>#REF!</v>
      </c>
      <c r="AP65" s="75" t="e">
        <f t="shared" si="17"/>
        <v>#REF!</v>
      </c>
      <c r="AQ65" s="7" t="e">
        <f t="shared" si="10"/>
        <v>#REF!</v>
      </c>
      <c r="AR65" s="41"/>
    </row>
    <row r="66" spans="10:44" x14ac:dyDescent="0.25">
      <c r="J66" s="5">
        <f t="shared" si="3"/>
        <v>34</v>
      </c>
      <c r="K66" s="5">
        <f t="shared" si="26"/>
        <v>2032</v>
      </c>
      <c r="L66" s="34" t="s">
        <v>38</v>
      </c>
      <c r="M66" s="70">
        <f t="shared" si="11"/>
        <v>9572.1117187500004</v>
      </c>
      <c r="N66" s="70">
        <f t="shared" si="27"/>
        <v>8614.9005468750001</v>
      </c>
      <c r="O66" s="71"/>
      <c r="P66" s="86"/>
      <c r="Q66" s="51">
        <v>0</v>
      </c>
      <c r="R66" s="88" t="str">
        <f t="shared" si="12"/>
        <v/>
      </c>
      <c r="S66" s="6">
        <v>0.1</v>
      </c>
      <c r="T66" s="8">
        <f t="shared" si="5"/>
        <v>0</v>
      </c>
      <c r="U66" s="8" t="e">
        <f>#REF!</f>
        <v>#REF!</v>
      </c>
      <c r="V66" s="8"/>
      <c r="W66" s="8" t="e">
        <f t="shared" si="6"/>
        <v>#REF!</v>
      </c>
      <c r="X66" s="27"/>
      <c r="Y66" s="26" t="e">
        <f t="shared" si="13"/>
        <v>#REF!</v>
      </c>
      <c r="Z66" s="95"/>
      <c r="AA66" s="95"/>
      <c r="AB66" s="8">
        <f>'Business_172 PH Rd Budget'!$C$25</f>
        <v>2155.2899999999995</v>
      </c>
      <c r="AC66" s="8" t="e">
        <f t="shared" si="14"/>
        <v>#REF!</v>
      </c>
      <c r="AD66" s="8">
        <v>350000</v>
      </c>
      <c r="AE66" s="76" t="e">
        <f t="shared" si="28"/>
        <v>#REF!</v>
      </c>
      <c r="AF66" s="8" t="e">
        <f t="shared" si="29"/>
        <v>#REF!</v>
      </c>
      <c r="AH66" s="7" t="e">
        <f t="shared" si="31"/>
        <v>#REF!</v>
      </c>
      <c r="AI66" s="79" t="e">
        <f t="shared" si="15"/>
        <v>#REF!</v>
      </c>
      <c r="AJ66" s="79" t="e">
        <f t="shared" si="18"/>
        <v>#REF!</v>
      </c>
      <c r="AK66" s="75" t="e">
        <f>PMT(#REF!,#REF!,-#REF!,0,0)</f>
        <v>#REF!</v>
      </c>
      <c r="AL66" s="75"/>
      <c r="AM66" s="7" t="e">
        <f>AJ66*(#REF!/12)</f>
        <v>#REF!</v>
      </c>
      <c r="AN66" s="7" t="e">
        <f t="shared" si="16"/>
        <v>#REF!</v>
      </c>
      <c r="AO66" s="75" t="e">
        <f t="shared" si="30"/>
        <v>#REF!</v>
      </c>
      <c r="AP66" s="75" t="e">
        <f t="shared" si="17"/>
        <v>#REF!</v>
      </c>
      <c r="AQ66" s="7" t="e">
        <f t="shared" si="10"/>
        <v>#REF!</v>
      </c>
      <c r="AR66" s="41"/>
    </row>
    <row r="67" spans="10:44" x14ac:dyDescent="0.25">
      <c r="J67" s="5">
        <f t="shared" si="3"/>
        <v>34</v>
      </c>
      <c r="K67" s="5">
        <f t="shared" si="26"/>
        <v>2032</v>
      </c>
      <c r="L67" s="34" t="s">
        <v>40</v>
      </c>
      <c r="M67" s="70">
        <f t="shared" si="11"/>
        <v>9572.1117187500004</v>
      </c>
      <c r="N67" s="70">
        <f t="shared" ref="N67:N98" si="32">M67*(1-S67)</f>
        <v>9572.1117187500004</v>
      </c>
      <c r="O67" s="71"/>
      <c r="P67" s="86">
        <v>5</v>
      </c>
      <c r="Q67" s="51">
        <v>2</v>
      </c>
      <c r="R67" s="88">
        <f t="shared" si="12"/>
        <v>0.4</v>
      </c>
      <c r="S67" s="6">
        <v>0</v>
      </c>
      <c r="T67" s="8">
        <f t="shared" si="5"/>
        <v>19144.223437500001</v>
      </c>
      <c r="U67" s="8" t="e">
        <f>#REF!</f>
        <v>#REF!</v>
      </c>
      <c r="V67" s="8"/>
      <c r="W67" s="8" t="e">
        <f t="shared" si="6"/>
        <v>#REF!</v>
      </c>
      <c r="X67" s="27"/>
      <c r="Y67" s="26" t="e">
        <f t="shared" si="13"/>
        <v>#REF!</v>
      </c>
      <c r="Z67" s="95"/>
      <c r="AA67" s="95"/>
      <c r="AB67" s="8">
        <f>'Business_172 PH Rd Budget'!$C$25</f>
        <v>2155.2899999999995</v>
      </c>
      <c r="AC67" s="8" t="e">
        <f t="shared" si="14"/>
        <v>#REF!</v>
      </c>
      <c r="AD67" s="8">
        <v>350000</v>
      </c>
      <c r="AE67" s="76" t="e">
        <f t="shared" ref="AE67:AE98" si="33">IF(AC67&lt;$C$8,0,AC67-AD67)</f>
        <v>#REF!</v>
      </c>
      <c r="AF67" s="8" t="e">
        <f t="shared" ref="AF67:AF98" si="34">AE67*(1+$C$7)-AE67</f>
        <v>#REF!</v>
      </c>
      <c r="AH67" s="7" t="e">
        <f t="shared" si="31"/>
        <v>#REF!</v>
      </c>
      <c r="AI67" s="79" t="e">
        <f t="shared" si="15"/>
        <v>#REF!</v>
      </c>
      <c r="AJ67" s="79" t="e">
        <f t="shared" si="18"/>
        <v>#REF!</v>
      </c>
      <c r="AK67" s="75" t="e">
        <f>PMT(#REF!,#REF!,-#REF!,0,0)</f>
        <v>#REF!</v>
      </c>
      <c r="AL67" s="75"/>
      <c r="AM67" s="7" t="e">
        <f>AJ67*(#REF!/12)</f>
        <v>#REF!</v>
      </c>
      <c r="AN67" s="7" t="e">
        <f t="shared" si="16"/>
        <v>#REF!</v>
      </c>
      <c r="AO67" s="75" t="e">
        <f t="shared" ref="AO67:AO98" si="35">AK67-AM67</f>
        <v>#REF!</v>
      </c>
      <c r="AP67" s="75" t="e">
        <f t="shared" si="17"/>
        <v>#REF!</v>
      </c>
      <c r="AQ67" s="7" t="e">
        <f t="shared" si="10"/>
        <v>#REF!</v>
      </c>
      <c r="AR67" s="41"/>
    </row>
    <row r="68" spans="10:44" x14ac:dyDescent="0.25">
      <c r="J68" s="5">
        <f t="shared" ref="J68:J131" si="36">K68-1998</f>
        <v>34</v>
      </c>
      <c r="K68" s="5">
        <f t="shared" si="26"/>
        <v>2032</v>
      </c>
      <c r="L68" s="34" t="s">
        <v>42</v>
      </c>
      <c r="M68" s="70">
        <f t="shared" si="11"/>
        <v>9572.1117187500004</v>
      </c>
      <c r="N68" s="70">
        <f t="shared" si="32"/>
        <v>9572.1117187500004</v>
      </c>
      <c r="O68" s="71"/>
      <c r="P68" s="86">
        <v>4</v>
      </c>
      <c r="Q68" s="51">
        <v>4</v>
      </c>
      <c r="R68" s="88">
        <f t="shared" si="12"/>
        <v>1</v>
      </c>
      <c r="S68" s="6">
        <v>0</v>
      </c>
      <c r="T68" s="8">
        <f t="shared" ref="T68:T131" si="37">Q68*N68</f>
        <v>38288.446875000001</v>
      </c>
      <c r="U68" s="8" t="e">
        <f>#REF!</f>
        <v>#REF!</v>
      </c>
      <c r="V68" s="8"/>
      <c r="W68" s="8" t="e">
        <f t="shared" ref="W68:W122" si="38">T68-U68</f>
        <v>#REF!</v>
      </c>
      <c r="X68" s="27"/>
      <c r="Y68" s="26" t="e">
        <f t="shared" si="13"/>
        <v>#REF!</v>
      </c>
      <c r="Z68" s="95"/>
      <c r="AA68" s="95"/>
      <c r="AB68" s="8">
        <f>'Business_172 PH Rd Budget'!$C$25</f>
        <v>2155.2899999999995</v>
      </c>
      <c r="AC68" s="8" t="e">
        <f t="shared" si="14"/>
        <v>#REF!</v>
      </c>
      <c r="AD68" s="8">
        <v>350000</v>
      </c>
      <c r="AE68" s="76" t="e">
        <f t="shared" si="33"/>
        <v>#REF!</v>
      </c>
      <c r="AF68" s="8" t="e">
        <f t="shared" si="34"/>
        <v>#REF!</v>
      </c>
      <c r="AH68" s="7" t="e">
        <f t="shared" ref="AH68:AH99" si="39">AH67*(1+$C$5)</f>
        <v>#REF!</v>
      </c>
      <c r="AI68" s="79" t="e">
        <f t="shared" si="15"/>
        <v>#REF!</v>
      </c>
      <c r="AJ68" s="79" t="e">
        <f t="shared" si="18"/>
        <v>#REF!</v>
      </c>
      <c r="AK68" s="75" t="e">
        <f>PMT(#REF!,#REF!,-#REF!,0,0)</f>
        <v>#REF!</v>
      </c>
      <c r="AL68" s="75"/>
      <c r="AM68" s="7" t="e">
        <f>AJ68*(#REF!/12)</f>
        <v>#REF!</v>
      </c>
      <c r="AN68" s="7" t="e">
        <f t="shared" si="16"/>
        <v>#REF!</v>
      </c>
      <c r="AO68" s="75" t="e">
        <f t="shared" si="35"/>
        <v>#REF!</v>
      </c>
      <c r="AP68" s="75" t="e">
        <f t="shared" si="17"/>
        <v>#REF!</v>
      </c>
      <c r="AQ68" s="7" t="e">
        <f t="shared" ref="AQ68:AQ131" si="40">AJ68-(AO68+AL68)</f>
        <v>#REF!</v>
      </c>
      <c r="AR68" s="41"/>
    </row>
    <row r="69" spans="10:44" x14ac:dyDescent="0.25">
      <c r="J69" s="5">
        <f t="shared" si="36"/>
        <v>34</v>
      </c>
      <c r="K69" s="5">
        <f t="shared" si="26"/>
        <v>2032</v>
      </c>
      <c r="L69" s="34" t="s">
        <v>44</v>
      </c>
      <c r="M69" s="70">
        <f t="shared" ref="M69:M122" si="41">M68*(1+O69)</f>
        <v>9572.1117187500004</v>
      </c>
      <c r="N69" s="70">
        <f t="shared" si="32"/>
        <v>9572.1117187500004</v>
      </c>
      <c r="O69" s="71"/>
      <c r="P69" s="86">
        <v>4</v>
      </c>
      <c r="Q69" s="51">
        <v>4</v>
      </c>
      <c r="R69" s="88">
        <f t="shared" ref="R69:R132" si="42">IFERROR(Q69/P69,"")</f>
        <v>1</v>
      </c>
      <c r="S69" s="6">
        <v>0</v>
      </c>
      <c r="T69" s="8">
        <f t="shared" si="37"/>
        <v>38288.446875000001</v>
      </c>
      <c r="U69" s="8" t="e">
        <f>#REF!</f>
        <v>#REF!</v>
      </c>
      <c r="V69" s="8"/>
      <c r="W69" s="8" t="e">
        <f t="shared" si="38"/>
        <v>#REF!</v>
      </c>
      <c r="X69" s="27"/>
      <c r="Y69" s="26" t="e">
        <f t="shared" ref="Y69:Y132" si="43">(AC68+T69)-U69</f>
        <v>#REF!</v>
      </c>
      <c r="Z69" s="95"/>
      <c r="AA69" s="95"/>
      <c r="AB69" s="8">
        <f>'Business_172 PH Rd Budget'!$C$25</f>
        <v>2155.2899999999995</v>
      </c>
      <c r="AC69" s="8" t="e">
        <f t="shared" ref="AC69:AC132" si="44">(Y69+Z69+AA69)-AB69</f>
        <v>#REF!</v>
      </c>
      <c r="AD69" s="8">
        <v>350000</v>
      </c>
      <c r="AE69" s="76" t="e">
        <f t="shared" si="33"/>
        <v>#REF!</v>
      </c>
      <c r="AF69" s="8" t="e">
        <f t="shared" si="34"/>
        <v>#REF!</v>
      </c>
      <c r="AH69" s="7" t="e">
        <f t="shared" si="39"/>
        <v>#REF!</v>
      </c>
      <c r="AI69" s="79" t="e">
        <f t="shared" ref="AI69:AI132" si="45">AI68+AH70-AH69</f>
        <v>#REF!</v>
      </c>
      <c r="AJ69" s="79" t="e">
        <f t="shared" ref="AJ69:AJ132" si="46">AQ68</f>
        <v>#REF!</v>
      </c>
      <c r="AK69" s="75" t="e">
        <f>PMT(#REF!,#REF!,-#REF!,0,0)</f>
        <v>#REF!</v>
      </c>
      <c r="AL69" s="75"/>
      <c r="AM69" s="7" t="e">
        <f>AJ69*(#REF!/12)</f>
        <v>#REF!</v>
      </c>
      <c r="AN69" s="7" t="e">
        <f t="shared" ref="AN69:AN132" si="47">AN68+AM69</f>
        <v>#REF!</v>
      </c>
      <c r="AO69" s="75" t="e">
        <f t="shared" si="35"/>
        <v>#REF!</v>
      </c>
      <c r="AP69" s="75" t="e">
        <f t="shared" ref="AP69:AP132" si="48">AP68+AO69</f>
        <v>#REF!</v>
      </c>
      <c r="AQ69" s="7" t="e">
        <f t="shared" si="40"/>
        <v>#REF!</v>
      </c>
      <c r="AR69" s="41"/>
    </row>
    <row r="70" spans="10:44" x14ac:dyDescent="0.25">
      <c r="J70" s="5">
        <f t="shared" si="36"/>
        <v>34</v>
      </c>
      <c r="K70" s="5">
        <f t="shared" si="26"/>
        <v>2032</v>
      </c>
      <c r="L70" s="34" t="s">
        <v>47</v>
      </c>
      <c r="M70" s="70">
        <f t="shared" si="41"/>
        <v>9572.1117187500004</v>
      </c>
      <c r="N70" s="70">
        <f t="shared" si="32"/>
        <v>9572.1117187500004</v>
      </c>
      <c r="O70" s="71"/>
      <c r="P70" s="86">
        <v>5</v>
      </c>
      <c r="Q70" s="51">
        <v>4</v>
      </c>
      <c r="R70" s="88">
        <f t="shared" si="42"/>
        <v>0.8</v>
      </c>
      <c r="S70" s="6">
        <v>0</v>
      </c>
      <c r="T70" s="8">
        <f t="shared" si="37"/>
        <v>38288.446875000001</v>
      </c>
      <c r="U70" s="8" t="e">
        <f>#REF!</f>
        <v>#REF!</v>
      </c>
      <c r="V70" s="8"/>
      <c r="W70" s="8" t="e">
        <f t="shared" si="38"/>
        <v>#REF!</v>
      </c>
      <c r="X70" s="27"/>
      <c r="Y70" s="26" t="e">
        <f t="shared" si="43"/>
        <v>#REF!</v>
      </c>
      <c r="Z70" s="95"/>
      <c r="AA70" s="95"/>
      <c r="AB70" s="8">
        <f>'Business_172 PH Rd Budget'!$C$25</f>
        <v>2155.2899999999995</v>
      </c>
      <c r="AC70" s="8" t="e">
        <f t="shared" si="44"/>
        <v>#REF!</v>
      </c>
      <c r="AD70" s="8">
        <v>350000</v>
      </c>
      <c r="AE70" s="76" t="e">
        <f t="shared" si="33"/>
        <v>#REF!</v>
      </c>
      <c r="AF70" s="8" t="e">
        <f t="shared" si="34"/>
        <v>#REF!</v>
      </c>
      <c r="AH70" s="7" t="e">
        <f t="shared" si="39"/>
        <v>#REF!</v>
      </c>
      <c r="AI70" s="79" t="e">
        <f t="shared" si="45"/>
        <v>#REF!</v>
      </c>
      <c r="AJ70" s="79" t="e">
        <f t="shared" si="46"/>
        <v>#REF!</v>
      </c>
      <c r="AK70" s="75" t="e">
        <f>PMT(#REF!,#REF!,-#REF!,0,0)</f>
        <v>#REF!</v>
      </c>
      <c r="AL70" s="75"/>
      <c r="AM70" s="7" t="e">
        <f>AJ70*(#REF!/12)</f>
        <v>#REF!</v>
      </c>
      <c r="AN70" s="7" t="e">
        <f t="shared" si="47"/>
        <v>#REF!</v>
      </c>
      <c r="AO70" s="75" t="e">
        <f t="shared" si="35"/>
        <v>#REF!</v>
      </c>
      <c r="AP70" s="75" t="e">
        <f t="shared" si="48"/>
        <v>#REF!</v>
      </c>
      <c r="AQ70" s="7" t="e">
        <f t="shared" si="40"/>
        <v>#REF!</v>
      </c>
      <c r="AR70" s="41"/>
    </row>
    <row r="71" spans="10:44" x14ac:dyDescent="0.25">
      <c r="J71" s="5">
        <f t="shared" si="36"/>
        <v>34</v>
      </c>
      <c r="K71" s="5">
        <f t="shared" si="26"/>
        <v>2032</v>
      </c>
      <c r="L71" s="34" t="s">
        <v>49</v>
      </c>
      <c r="M71" s="70">
        <f t="shared" si="41"/>
        <v>9572.1117187500004</v>
      </c>
      <c r="N71" s="70">
        <f t="shared" si="32"/>
        <v>9572.1117187500004</v>
      </c>
      <c r="O71" s="71"/>
      <c r="P71" s="86">
        <v>4</v>
      </c>
      <c r="Q71" s="44">
        <v>4</v>
      </c>
      <c r="R71" s="88">
        <f t="shared" si="42"/>
        <v>1</v>
      </c>
      <c r="S71" s="6">
        <v>0</v>
      </c>
      <c r="T71" s="8">
        <f t="shared" si="37"/>
        <v>38288.446875000001</v>
      </c>
      <c r="U71" s="8" t="e">
        <f>#REF!</f>
        <v>#REF!</v>
      </c>
      <c r="V71" s="8"/>
      <c r="W71" s="8" t="e">
        <f t="shared" si="38"/>
        <v>#REF!</v>
      </c>
      <c r="X71" s="27"/>
      <c r="Y71" s="26" t="e">
        <f t="shared" si="43"/>
        <v>#REF!</v>
      </c>
      <c r="Z71" s="95"/>
      <c r="AA71" s="95"/>
      <c r="AB71" s="8">
        <f>'Business_172 PH Rd Budget'!$C$25</f>
        <v>2155.2899999999995</v>
      </c>
      <c r="AC71" s="8" t="e">
        <f t="shared" si="44"/>
        <v>#REF!</v>
      </c>
      <c r="AD71" s="8">
        <v>350000</v>
      </c>
      <c r="AE71" s="76" t="e">
        <f t="shared" si="33"/>
        <v>#REF!</v>
      </c>
      <c r="AF71" s="8" t="e">
        <f t="shared" si="34"/>
        <v>#REF!</v>
      </c>
      <c r="AH71" s="7" t="e">
        <f t="shared" si="39"/>
        <v>#REF!</v>
      </c>
      <c r="AI71" s="79" t="e">
        <f t="shared" si="45"/>
        <v>#REF!</v>
      </c>
      <c r="AJ71" s="79" t="e">
        <f t="shared" si="46"/>
        <v>#REF!</v>
      </c>
      <c r="AK71" s="75" t="e">
        <f>PMT(#REF!,#REF!,-#REF!,0,0)</f>
        <v>#REF!</v>
      </c>
      <c r="AL71" s="75"/>
      <c r="AM71" s="7" t="e">
        <f>AJ71*(#REF!/12)</f>
        <v>#REF!</v>
      </c>
      <c r="AN71" s="7" t="e">
        <f t="shared" si="47"/>
        <v>#REF!</v>
      </c>
      <c r="AO71" s="75" t="e">
        <f t="shared" si="35"/>
        <v>#REF!</v>
      </c>
      <c r="AP71" s="75" t="e">
        <f t="shared" si="48"/>
        <v>#REF!</v>
      </c>
      <c r="AQ71" s="7" t="e">
        <f t="shared" si="40"/>
        <v>#REF!</v>
      </c>
      <c r="AR71" s="41"/>
    </row>
    <row r="72" spans="10:44" x14ac:dyDescent="0.25">
      <c r="J72" s="5">
        <f t="shared" si="36"/>
        <v>34</v>
      </c>
      <c r="K72" s="5">
        <f t="shared" si="26"/>
        <v>2032</v>
      </c>
      <c r="L72" s="34" t="s">
        <v>51</v>
      </c>
      <c r="M72" s="70">
        <f t="shared" si="41"/>
        <v>9572.1117187500004</v>
      </c>
      <c r="N72" s="70">
        <f t="shared" si="32"/>
        <v>9572.1117187500004</v>
      </c>
      <c r="O72" s="71"/>
      <c r="P72" s="86">
        <v>4</v>
      </c>
      <c r="Q72" s="44">
        <v>4</v>
      </c>
      <c r="R72" s="88">
        <f t="shared" si="42"/>
        <v>1</v>
      </c>
      <c r="S72" s="6">
        <v>0</v>
      </c>
      <c r="T72" s="8">
        <f t="shared" si="37"/>
        <v>38288.446875000001</v>
      </c>
      <c r="U72" s="8" t="e">
        <f>#REF!</f>
        <v>#REF!</v>
      </c>
      <c r="V72" s="8"/>
      <c r="W72" s="8" t="e">
        <f t="shared" si="38"/>
        <v>#REF!</v>
      </c>
      <c r="X72" s="27"/>
      <c r="Y72" s="26" t="e">
        <f t="shared" si="43"/>
        <v>#REF!</v>
      </c>
      <c r="Z72" s="95"/>
      <c r="AA72" s="95"/>
      <c r="AB72" s="8">
        <f>'Business_172 PH Rd Budget'!$C$25</f>
        <v>2155.2899999999995</v>
      </c>
      <c r="AC72" s="8" t="e">
        <f t="shared" si="44"/>
        <v>#REF!</v>
      </c>
      <c r="AD72" s="8">
        <v>350000</v>
      </c>
      <c r="AE72" s="76" t="e">
        <f t="shared" si="33"/>
        <v>#REF!</v>
      </c>
      <c r="AF72" s="8" t="e">
        <f t="shared" si="34"/>
        <v>#REF!</v>
      </c>
      <c r="AH72" s="7" t="e">
        <f t="shared" si="39"/>
        <v>#REF!</v>
      </c>
      <c r="AI72" s="79" t="e">
        <f t="shared" si="45"/>
        <v>#REF!</v>
      </c>
      <c r="AJ72" s="79" t="e">
        <f t="shared" si="46"/>
        <v>#REF!</v>
      </c>
      <c r="AK72" s="75" t="e">
        <f>PMT(#REF!,#REF!,-#REF!,0,0)</f>
        <v>#REF!</v>
      </c>
      <c r="AL72" s="75"/>
      <c r="AM72" s="7" t="e">
        <f>AJ72*(#REF!/12)</f>
        <v>#REF!</v>
      </c>
      <c r="AN72" s="7" t="e">
        <f t="shared" si="47"/>
        <v>#REF!</v>
      </c>
      <c r="AO72" s="75" t="e">
        <f t="shared" si="35"/>
        <v>#REF!</v>
      </c>
      <c r="AP72" s="75" t="e">
        <f t="shared" si="48"/>
        <v>#REF!</v>
      </c>
      <c r="AQ72" s="7" t="e">
        <f t="shared" si="40"/>
        <v>#REF!</v>
      </c>
      <c r="AR72" s="41"/>
    </row>
    <row r="73" spans="10:44" x14ac:dyDescent="0.25">
      <c r="J73" s="5">
        <f t="shared" si="36"/>
        <v>34</v>
      </c>
      <c r="K73" s="5">
        <f t="shared" si="26"/>
        <v>2032</v>
      </c>
      <c r="L73" s="34" t="s">
        <v>53</v>
      </c>
      <c r="M73" s="70">
        <f t="shared" si="41"/>
        <v>9572.1117187500004</v>
      </c>
      <c r="N73" s="70">
        <f t="shared" si="32"/>
        <v>8614.9005468750001</v>
      </c>
      <c r="O73" s="71"/>
      <c r="P73" s="86"/>
      <c r="Q73" s="51">
        <v>0</v>
      </c>
      <c r="R73" s="88" t="str">
        <f t="shared" si="42"/>
        <v/>
      </c>
      <c r="S73" s="6">
        <v>0.1</v>
      </c>
      <c r="T73" s="8">
        <f t="shared" si="37"/>
        <v>0</v>
      </c>
      <c r="U73" s="8" t="e">
        <f>#REF!</f>
        <v>#REF!</v>
      </c>
      <c r="V73" s="8"/>
      <c r="W73" s="8" t="e">
        <f t="shared" si="38"/>
        <v>#REF!</v>
      </c>
      <c r="X73" s="27"/>
      <c r="Y73" s="26" t="e">
        <f t="shared" si="43"/>
        <v>#REF!</v>
      </c>
      <c r="Z73" s="95"/>
      <c r="AA73" s="95"/>
      <c r="AB73" s="8">
        <f>'Business_172 PH Rd Budget'!$C$25</f>
        <v>2155.2899999999995</v>
      </c>
      <c r="AC73" s="8" t="e">
        <f t="shared" si="44"/>
        <v>#REF!</v>
      </c>
      <c r="AD73" s="8">
        <v>350000</v>
      </c>
      <c r="AE73" s="76" t="e">
        <f t="shared" si="33"/>
        <v>#REF!</v>
      </c>
      <c r="AF73" s="8" t="e">
        <f t="shared" si="34"/>
        <v>#REF!</v>
      </c>
      <c r="AH73" s="7" t="e">
        <f t="shared" si="39"/>
        <v>#REF!</v>
      </c>
      <c r="AI73" s="79" t="e">
        <f t="shared" si="45"/>
        <v>#REF!</v>
      </c>
      <c r="AJ73" s="79" t="e">
        <f t="shared" si="46"/>
        <v>#REF!</v>
      </c>
      <c r="AK73" s="75" t="e">
        <f>PMT(#REF!,#REF!,-#REF!,0,0)</f>
        <v>#REF!</v>
      </c>
      <c r="AL73" s="75"/>
      <c r="AM73" s="7" t="e">
        <f>AJ73*(#REF!/12)</f>
        <v>#REF!</v>
      </c>
      <c r="AN73" s="7" t="e">
        <f t="shared" si="47"/>
        <v>#REF!</v>
      </c>
      <c r="AO73" s="75" t="e">
        <f t="shared" si="35"/>
        <v>#REF!</v>
      </c>
      <c r="AP73" s="75" t="e">
        <f t="shared" si="48"/>
        <v>#REF!</v>
      </c>
      <c r="AQ73" s="7" t="e">
        <f t="shared" si="40"/>
        <v>#REF!</v>
      </c>
      <c r="AR73" s="41"/>
    </row>
    <row r="74" spans="10:44" x14ac:dyDescent="0.25">
      <c r="J74" s="5">
        <f t="shared" si="36"/>
        <v>34</v>
      </c>
      <c r="K74" s="5">
        <f t="shared" si="26"/>
        <v>2032</v>
      </c>
      <c r="L74" s="34" t="s">
        <v>55</v>
      </c>
      <c r="M74" s="70">
        <f t="shared" si="41"/>
        <v>9572.1117187500004</v>
      </c>
      <c r="N74" s="70">
        <f t="shared" si="32"/>
        <v>7657.6893750000008</v>
      </c>
      <c r="O74" s="71"/>
      <c r="P74" s="86"/>
      <c r="Q74" s="51">
        <v>0</v>
      </c>
      <c r="R74" s="88" t="str">
        <f t="shared" si="42"/>
        <v/>
      </c>
      <c r="S74" s="6">
        <v>0.2</v>
      </c>
      <c r="T74" s="8">
        <f t="shared" si="37"/>
        <v>0</v>
      </c>
      <c r="U74" s="8" t="e">
        <f>#REF!</f>
        <v>#REF!</v>
      </c>
      <c r="V74" s="8"/>
      <c r="W74" s="8" t="e">
        <f t="shared" si="38"/>
        <v>#REF!</v>
      </c>
      <c r="X74" s="27"/>
      <c r="Y74" s="26" t="e">
        <f t="shared" si="43"/>
        <v>#REF!</v>
      </c>
      <c r="Z74" s="95"/>
      <c r="AA74" s="95"/>
      <c r="AB74" s="8">
        <f>'Business_172 PH Rd Budget'!$C$25</f>
        <v>2155.2899999999995</v>
      </c>
      <c r="AC74" s="8" t="e">
        <f t="shared" si="44"/>
        <v>#REF!</v>
      </c>
      <c r="AD74" s="8">
        <v>350000</v>
      </c>
      <c r="AE74" s="76" t="e">
        <f t="shared" si="33"/>
        <v>#REF!</v>
      </c>
      <c r="AF74" s="8" t="e">
        <f t="shared" si="34"/>
        <v>#REF!</v>
      </c>
      <c r="AH74" s="7" t="e">
        <f t="shared" si="39"/>
        <v>#REF!</v>
      </c>
      <c r="AI74" s="79" t="e">
        <f t="shared" si="45"/>
        <v>#REF!</v>
      </c>
      <c r="AJ74" s="79" t="e">
        <f t="shared" si="46"/>
        <v>#REF!</v>
      </c>
      <c r="AK74" s="75" t="e">
        <f>PMT(#REF!,#REF!,-#REF!,0,0)</f>
        <v>#REF!</v>
      </c>
      <c r="AL74" s="75"/>
      <c r="AM74" s="7" t="e">
        <f>AJ74*(#REF!/12)</f>
        <v>#REF!</v>
      </c>
      <c r="AN74" s="7" t="e">
        <f t="shared" si="47"/>
        <v>#REF!</v>
      </c>
      <c r="AO74" s="75" t="e">
        <f t="shared" si="35"/>
        <v>#REF!</v>
      </c>
      <c r="AP74" s="75" t="e">
        <f t="shared" si="48"/>
        <v>#REF!</v>
      </c>
      <c r="AQ74" s="7" t="e">
        <f t="shared" si="40"/>
        <v>#REF!</v>
      </c>
      <c r="AR74" s="41"/>
    </row>
    <row r="75" spans="10:44" x14ac:dyDescent="0.25">
      <c r="J75" s="5">
        <f t="shared" si="36"/>
        <v>35</v>
      </c>
      <c r="K75" s="5">
        <f t="shared" si="26"/>
        <v>2033</v>
      </c>
      <c r="L75" s="34" t="s">
        <v>31</v>
      </c>
      <c r="M75" s="70">
        <f t="shared" si="41"/>
        <v>10050.717304687501</v>
      </c>
      <c r="N75" s="70">
        <f t="shared" si="32"/>
        <v>7538.0379785156256</v>
      </c>
      <c r="O75" s="71">
        <v>0.05</v>
      </c>
      <c r="P75" s="86"/>
      <c r="Q75" s="51">
        <v>0</v>
      </c>
      <c r="R75" s="88" t="str">
        <f t="shared" si="42"/>
        <v/>
      </c>
      <c r="S75" s="6">
        <v>0.25</v>
      </c>
      <c r="T75" s="8">
        <f t="shared" si="37"/>
        <v>0</v>
      </c>
      <c r="U75" s="8" t="e">
        <f>#REF!</f>
        <v>#REF!</v>
      </c>
      <c r="V75" s="8"/>
      <c r="W75" s="8" t="e">
        <f t="shared" si="38"/>
        <v>#REF!</v>
      </c>
      <c r="X75" s="27"/>
      <c r="Y75" s="26" t="e">
        <f t="shared" si="43"/>
        <v>#REF!</v>
      </c>
      <c r="Z75" s="95"/>
      <c r="AA75" s="95"/>
      <c r="AB75" s="8">
        <f>'Business_172 PH Rd Budget'!$C$25</f>
        <v>2155.2899999999995</v>
      </c>
      <c r="AC75" s="8" t="e">
        <f t="shared" si="44"/>
        <v>#REF!</v>
      </c>
      <c r="AD75" s="8">
        <v>350000</v>
      </c>
      <c r="AE75" s="76" t="e">
        <f t="shared" si="33"/>
        <v>#REF!</v>
      </c>
      <c r="AF75" s="8" t="e">
        <f t="shared" si="34"/>
        <v>#REF!</v>
      </c>
      <c r="AH75" s="7" t="e">
        <f t="shared" si="39"/>
        <v>#REF!</v>
      </c>
      <c r="AI75" s="79" t="e">
        <f t="shared" si="45"/>
        <v>#REF!</v>
      </c>
      <c r="AJ75" s="79" t="e">
        <f t="shared" si="46"/>
        <v>#REF!</v>
      </c>
      <c r="AK75" s="75" t="e">
        <f>PMT(#REF!,#REF!,-#REF!,0,0)</f>
        <v>#REF!</v>
      </c>
      <c r="AL75" s="75"/>
      <c r="AM75" s="7" t="e">
        <f>AJ75*(#REF!/12)</f>
        <v>#REF!</v>
      </c>
      <c r="AN75" s="7" t="e">
        <f t="shared" si="47"/>
        <v>#REF!</v>
      </c>
      <c r="AO75" s="75" t="e">
        <f t="shared" si="35"/>
        <v>#REF!</v>
      </c>
      <c r="AP75" s="75" t="e">
        <f t="shared" si="48"/>
        <v>#REF!</v>
      </c>
      <c r="AQ75" s="7" t="e">
        <f t="shared" si="40"/>
        <v>#REF!</v>
      </c>
      <c r="AR75" s="41"/>
    </row>
    <row r="76" spans="10:44" x14ac:dyDescent="0.25">
      <c r="J76" s="5">
        <f t="shared" si="36"/>
        <v>35</v>
      </c>
      <c r="K76" s="5">
        <f t="shared" si="26"/>
        <v>2033</v>
      </c>
      <c r="L76" s="34" t="s">
        <v>33</v>
      </c>
      <c r="M76" s="70">
        <f t="shared" si="41"/>
        <v>10050.717304687501</v>
      </c>
      <c r="N76" s="70">
        <f t="shared" si="32"/>
        <v>7538.0379785156256</v>
      </c>
      <c r="O76" s="71"/>
      <c r="P76" s="86"/>
      <c r="Q76" s="51">
        <v>0</v>
      </c>
      <c r="R76" s="88" t="str">
        <f t="shared" si="42"/>
        <v/>
      </c>
      <c r="S76" s="6">
        <v>0.25</v>
      </c>
      <c r="T76" s="8">
        <f t="shared" si="37"/>
        <v>0</v>
      </c>
      <c r="U76" s="8" t="e">
        <f>#REF!</f>
        <v>#REF!</v>
      </c>
      <c r="V76" s="8"/>
      <c r="W76" s="8" t="e">
        <f t="shared" si="38"/>
        <v>#REF!</v>
      </c>
      <c r="X76" s="27"/>
      <c r="Y76" s="26" t="e">
        <f t="shared" si="43"/>
        <v>#REF!</v>
      </c>
      <c r="Z76" s="95"/>
      <c r="AA76" s="95"/>
      <c r="AB76" s="8">
        <f>'Business_172 PH Rd Budget'!$C$25</f>
        <v>2155.2899999999995</v>
      </c>
      <c r="AC76" s="8" t="e">
        <f t="shared" si="44"/>
        <v>#REF!</v>
      </c>
      <c r="AD76" s="8">
        <v>350000</v>
      </c>
      <c r="AE76" s="76" t="e">
        <f t="shared" si="33"/>
        <v>#REF!</v>
      </c>
      <c r="AF76" s="8" t="e">
        <f t="shared" si="34"/>
        <v>#REF!</v>
      </c>
      <c r="AH76" s="7" t="e">
        <f t="shared" si="39"/>
        <v>#REF!</v>
      </c>
      <c r="AI76" s="79" t="e">
        <f t="shared" si="45"/>
        <v>#REF!</v>
      </c>
      <c r="AJ76" s="79" t="e">
        <f t="shared" si="46"/>
        <v>#REF!</v>
      </c>
      <c r="AK76" s="75" t="e">
        <f>PMT(#REF!,#REF!,-#REF!,0,0)</f>
        <v>#REF!</v>
      </c>
      <c r="AL76" s="75"/>
      <c r="AM76" s="7" t="e">
        <f>AJ76*(#REF!/12)</f>
        <v>#REF!</v>
      </c>
      <c r="AN76" s="7" t="e">
        <f t="shared" si="47"/>
        <v>#REF!</v>
      </c>
      <c r="AO76" s="75" t="e">
        <f t="shared" si="35"/>
        <v>#REF!</v>
      </c>
      <c r="AP76" s="75" t="e">
        <f t="shared" si="48"/>
        <v>#REF!</v>
      </c>
      <c r="AQ76" s="7" t="e">
        <f t="shared" si="40"/>
        <v>#REF!</v>
      </c>
      <c r="AR76" s="41"/>
    </row>
    <row r="77" spans="10:44" x14ac:dyDescent="0.25">
      <c r="J77" s="5">
        <f t="shared" si="36"/>
        <v>35</v>
      </c>
      <c r="K77" s="5">
        <f t="shared" si="26"/>
        <v>2033</v>
      </c>
      <c r="L77" s="34" t="s">
        <v>36</v>
      </c>
      <c r="M77" s="70">
        <f t="shared" si="41"/>
        <v>10050.717304687501</v>
      </c>
      <c r="N77" s="70">
        <f t="shared" si="32"/>
        <v>8040.5738437500013</v>
      </c>
      <c r="O77" s="71"/>
      <c r="P77" s="86"/>
      <c r="Q77" s="51">
        <v>0</v>
      </c>
      <c r="R77" s="88" t="str">
        <f t="shared" si="42"/>
        <v/>
      </c>
      <c r="S77" s="6">
        <v>0.2</v>
      </c>
      <c r="T77" s="8">
        <f t="shared" si="37"/>
        <v>0</v>
      </c>
      <c r="U77" s="8" t="e">
        <f>#REF!</f>
        <v>#REF!</v>
      </c>
      <c r="V77" s="8"/>
      <c r="W77" s="8" t="e">
        <f t="shared" si="38"/>
        <v>#REF!</v>
      </c>
      <c r="X77" s="27"/>
      <c r="Y77" s="26" t="e">
        <f t="shared" si="43"/>
        <v>#REF!</v>
      </c>
      <c r="Z77" s="95"/>
      <c r="AA77" s="95"/>
      <c r="AB77" s="8">
        <f>'Business_172 PH Rd Budget'!$C$25</f>
        <v>2155.2899999999995</v>
      </c>
      <c r="AC77" s="8" t="e">
        <f t="shared" si="44"/>
        <v>#REF!</v>
      </c>
      <c r="AD77" s="8">
        <v>350000</v>
      </c>
      <c r="AE77" s="76" t="e">
        <f t="shared" si="33"/>
        <v>#REF!</v>
      </c>
      <c r="AF77" s="8" t="e">
        <f t="shared" si="34"/>
        <v>#REF!</v>
      </c>
      <c r="AH77" s="7" t="e">
        <f t="shared" si="39"/>
        <v>#REF!</v>
      </c>
      <c r="AI77" s="79" t="e">
        <f t="shared" si="45"/>
        <v>#REF!</v>
      </c>
      <c r="AJ77" s="79" t="e">
        <f t="shared" si="46"/>
        <v>#REF!</v>
      </c>
      <c r="AK77" s="75" t="e">
        <f>PMT(#REF!,#REF!,-#REF!,0,0)</f>
        <v>#REF!</v>
      </c>
      <c r="AL77" s="75"/>
      <c r="AM77" s="7" t="e">
        <f>AJ77*(#REF!/12)</f>
        <v>#REF!</v>
      </c>
      <c r="AN77" s="7" t="e">
        <f t="shared" si="47"/>
        <v>#REF!</v>
      </c>
      <c r="AO77" s="75" t="e">
        <f t="shared" si="35"/>
        <v>#REF!</v>
      </c>
      <c r="AP77" s="75" t="e">
        <f t="shared" si="48"/>
        <v>#REF!</v>
      </c>
      <c r="AQ77" s="7" t="e">
        <f t="shared" si="40"/>
        <v>#REF!</v>
      </c>
      <c r="AR77" s="41"/>
    </row>
    <row r="78" spans="10:44" x14ac:dyDescent="0.25">
      <c r="J78" s="5">
        <f t="shared" si="36"/>
        <v>35</v>
      </c>
      <c r="K78" s="5">
        <f t="shared" si="26"/>
        <v>2033</v>
      </c>
      <c r="L78" s="34" t="s">
        <v>38</v>
      </c>
      <c r="M78" s="70">
        <f t="shared" si="41"/>
        <v>10050.717304687501</v>
      </c>
      <c r="N78" s="70">
        <f t="shared" si="32"/>
        <v>9045.6455742187518</v>
      </c>
      <c r="O78" s="71"/>
      <c r="P78" s="86"/>
      <c r="Q78" s="51">
        <v>0</v>
      </c>
      <c r="R78" s="88" t="str">
        <f t="shared" si="42"/>
        <v/>
      </c>
      <c r="S78" s="6">
        <v>0.1</v>
      </c>
      <c r="T78" s="8">
        <f t="shared" si="37"/>
        <v>0</v>
      </c>
      <c r="U78" s="8" t="e">
        <f>#REF!</f>
        <v>#REF!</v>
      </c>
      <c r="V78" s="8"/>
      <c r="W78" s="8" t="e">
        <f t="shared" si="38"/>
        <v>#REF!</v>
      </c>
      <c r="X78" s="27"/>
      <c r="Y78" s="26" t="e">
        <f t="shared" si="43"/>
        <v>#REF!</v>
      </c>
      <c r="Z78" s="95"/>
      <c r="AA78" s="95"/>
      <c r="AB78" s="8">
        <f>'Business_172 PH Rd Budget'!$C$25</f>
        <v>2155.2899999999995</v>
      </c>
      <c r="AC78" s="8" t="e">
        <f t="shared" si="44"/>
        <v>#REF!</v>
      </c>
      <c r="AD78" s="8">
        <v>350000</v>
      </c>
      <c r="AE78" s="76" t="e">
        <f t="shared" si="33"/>
        <v>#REF!</v>
      </c>
      <c r="AF78" s="8" t="e">
        <f t="shared" si="34"/>
        <v>#REF!</v>
      </c>
      <c r="AH78" s="7" t="e">
        <f t="shared" si="39"/>
        <v>#REF!</v>
      </c>
      <c r="AI78" s="79" t="e">
        <f t="shared" si="45"/>
        <v>#REF!</v>
      </c>
      <c r="AJ78" s="79" t="e">
        <f t="shared" si="46"/>
        <v>#REF!</v>
      </c>
      <c r="AK78" s="75" t="e">
        <f>PMT(#REF!,#REF!,-#REF!,0,0)</f>
        <v>#REF!</v>
      </c>
      <c r="AL78" s="75"/>
      <c r="AM78" s="7" t="e">
        <f>AJ78*(#REF!/12)</f>
        <v>#REF!</v>
      </c>
      <c r="AN78" s="7" t="e">
        <f t="shared" si="47"/>
        <v>#REF!</v>
      </c>
      <c r="AO78" s="75" t="e">
        <f t="shared" si="35"/>
        <v>#REF!</v>
      </c>
      <c r="AP78" s="75" t="e">
        <f t="shared" si="48"/>
        <v>#REF!</v>
      </c>
      <c r="AQ78" s="7" t="e">
        <f t="shared" si="40"/>
        <v>#REF!</v>
      </c>
      <c r="AR78" s="41"/>
    </row>
    <row r="79" spans="10:44" x14ac:dyDescent="0.25">
      <c r="J79" s="5">
        <f t="shared" si="36"/>
        <v>35</v>
      </c>
      <c r="K79" s="5">
        <f t="shared" si="26"/>
        <v>2033</v>
      </c>
      <c r="L79" s="34" t="s">
        <v>40</v>
      </c>
      <c r="M79" s="70">
        <f t="shared" si="41"/>
        <v>10050.717304687501</v>
      </c>
      <c r="N79" s="70">
        <f t="shared" si="32"/>
        <v>10050.717304687501</v>
      </c>
      <c r="O79" s="71"/>
      <c r="P79" s="86">
        <v>5</v>
      </c>
      <c r="Q79" s="51">
        <v>2</v>
      </c>
      <c r="R79" s="88">
        <f t="shared" si="42"/>
        <v>0.4</v>
      </c>
      <c r="S79" s="6">
        <v>0</v>
      </c>
      <c r="T79" s="8">
        <f t="shared" si="37"/>
        <v>20101.434609375003</v>
      </c>
      <c r="U79" s="8" t="e">
        <f>#REF!</f>
        <v>#REF!</v>
      </c>
      <c r="V79" s="8"/>
      <c r="W79" s="8" t="e">
        <f t="shared" si="38"/>
        <v>#REF!</v>
      </c>
      <c r="X79" s="27"/>
      <c r="Y79" s="26" t="e">
        <f t="shared" si="43"/>
        <v>#REF!</v>
      </c>
      <c r="Z79" s="95"/>
      <c r="AA79" s="95"/>
      <c r="AB79" s="8">
        <f>'Business_172 PH Rd Budget'!$C$25</f>
        <v>2155.2899999999995</v>
      </c>
      <c r="AC79" s="8" t="e">
        <f t="shared" si="44"/>
        <v>#REF!</v>
      </c>
      <c r="AD79" s="8">
        <v>350000</v>
      </c>
      <c r="AE79" s="76" t="e">
        <f t="shared" si="33"/>
        <v>#REF!</v>
      </c>
      <c r="AF79" s="8" t="e">
        <f t="shared" si="34"/>
        <v>#REF!</v>
      </c>
      <c r="AH79" s="7" t="e">
        <f t="shared" si="39"/>
        <v>#REF!</v>
      </c>
      <c r="AI79" s="79" t="e">
        <f t="shared" si="45"/>
        <v>#REF!</v>
      </c>
      <c r="AJ79" s="79" t="e">
        <f t="shared" si="46"/>
        <v>#REF!</v>
      </c>
      <c r="AK79" s="75" t="e">
        <f>PMT(#REF!,#REF!,-#REF!,0,0)</f>
        <v>#REF!</v>
      </c>
      <c r="AL79" s="75"/>
      <c r="AM79" s="7" t="e">
        <f>AJ79*(#REF!/12)</f>
        <v>#REF!</v>
      </c>
      <c r="AN79" s="7" t="e">
        <f t="shared" si="47"/>
        <v>#REF!</v>
      </c>
      <c r="AO79" s="75" t="e">
        <f t="shared" si="35"/>
        <v>#REF!</v>
      </c>
      <c r="AP79" s="75" t="e">
        <f t="shared" si="48"/>
        <v>#REF!</v>
      </c>
      <c r="AQ79" s="7" t="e">
        <f t="shared" si="40"/>
        <v>#REF!</v>
      </c>
      <c r="AR79" s="41"/>
    </row>
    <row r="80" spans="10:44" x14ac:dyDescent="0.25">
      <c r="J80" s="5">
        <f t="shared" si="36"/>
        <v>35</v>
      </c>
      <c r="K80" s="5">
        <f t="shared" ref="K80:K143" si="49">K68+1</f>
        <v>2033</v>
      </c>
      <c r="L80" s="34" t="s">
        <v>42</v>
      </c>
      <c r="M80" s="70">
        <f t="shared" si="41"/>
        <v>10050.717304687501</v>
      </c>
      <c r="N80" s="70">
        <f t="shared" si="32"/>
        <v>10050.717304687501</v>
      </c>
      <c r="O80" s="71"/>
      <c r="P80" s="86">
        <v>4</v>
      </c>
      <c r="Q80" s="51">
        <v>4</v>
      </c>
      <c r="R80" s="88">
        <f t="shared" si="42"/>
        <v>1</v>
      </c>
      <c r="S80" s="6">
        <v>0</v>
      </c>
      <c r="T80" s="8">
        <f t="shared" si="37"/>
        <v>40202.869218750006</v>
      </c>
      <c r="U80" s="8" t="e">
        <f>#REF!</f>
        <v>#REF!</v>
      </c>
      <c r="V80" s="8"/>
      <c r="W80" s="8" t="e">
        <f t="shared" si="38"/>
        <v>#REF!</v>
      </c>
      <c r="X80" s="27"/>
      <c r="Y80" s="26" t="e">
        <f t="shared" si="43"/>
        <v>#REF!</v>
      </c>
      <c r="Z80" s="95"/>
      <c r="AA80" s="95"/>
      <c r="AB80" s="8">
        <f>'Business_172 PH Rd Budget'!$C$25</f>
        <v>2155.2899999999995</v>
      </c>
      <c r="AC80" s="8" t="e">
        <f t="shared" si="44"/>
        <v>#REF!</v>
      </c>
      <c r="AD80" s="8">
        <v>350000</v>
      </c>
      <c r="AE80" s="76" t="e">
        <f t="shared" si="33"/>
        <v>#REF!</v>
      </c>
      <c r="AF80" s="8" t="e">
        <f t="shared" si="34"/>
        <v>#REF!</v>
      </c>
      <c r="AH80" s="7" t="e">
        <f t="shared" si="39"/>
        <v>#REF!</v>
      </c>
      <c r="AI80" s="79" t="e">
        <f t="shared" si="45"/>
        <v>#REF!</v>
      </c>
      <c r="AJ80" s="79" t="e">
        <f t="shared" si="46"/>
        <v>#REF!</v>
      </c>
      <c r="AK80" s="75" t="e">
        <f>PMT(#REF!,#REF!,-#REF!,0,0)</f>
        <v>#REF!</v>
      </c>
      <c r="AL80" s="75"/>
      <c r="AM80" s="7" t="e">
        <f>AJ80*(#REF!/12)</f>
        <v>#REF!</v>
      </c>
      <c r="AN80" s="7" t="e">
        <f t="shared" si="47"/>
        <v>#REF!</v>
      </c>
      <c r="AO80" s="75" t="e">
        <f t="shared" si="35"/>
        <v>#REF!</v>
      </c>
      <c r="AP80" s="75" t="e">
        <f t="shared" si="48"/>
        <v>#REF!</v>
      </c>
      <c r="AQ80" s="7" t="e">
        <f t="shared" si="40"/>
        <v>#REF!</v>
      </c>
      <c r="AR80" s="41"/>
    </row>
    <row r="81" spans="10:44" x14ac:dyDescent="0.25">
      <c r="J81" s="5">
        <f t="shared" si="36"/>
        <v>35</v>
      </c>
      <c r="K81" s="5">
        <f t="shared" si="49"/>
        <v>2033</v>
      </c>
      <c r="L81" s="34" t="s">
        <v>44</v>
      </c>
      <c r="M81" s="70">
        <f t="shared" si="41"/>
        <v>10050.717304687501</v>
      </c>
      <c r="N81" s="70">
        <f t="shared" si="32"/>
        <v>10050.717304687501</v>
      </c>
      <c r="O81" s="71"/>
      <c r="P81" s="86">
        <v>5</v>
      </c>
      <c r="Q81" s="51">
        <v>4</v>
      </c>
      <c r="R81" s="88">
        <f t="shared" si="42"/>
        <v>0.8</v>
      </c>
      <c r="S81" s="6">
        <v>0</v>
      </c>
      <c r="T81" s="8">
        <f t="shared" si="37"/>
        <v>40202.869218750006</v>
      </c>
      <c r="U81" s="8" t="e">
        <f>#REF!</f>
        <v>#REF!</v>
      </c>
      <c r="V81" s="8"/>
      <c r="W81" s="8" t="e">
        <f t="shared" si="38"/>
        <v>#REF!</v>
      </c>
      <c r="X81" s="27"/>
      <c r="Y81" s="26" t="e">
        <f t="shared" si="43"/>
        <v>#REF!</v>
      </c>
      <c r="Z81" s="95"/>
      <c r="AA81" s="95"/>
      <c r="AB81" s="8">
        <f>'Business_172 PH Rd Budget'!$C$25</f>
        <v>2155.2899999999995</v>
      </c>
      <c r="AC81" s="8" t="e">
        <f t="shared" si="44"/>
        <v>#REF!</v>
      </c>
      <c r="AD81" s="8">
        <v>350000</v>
      </c>
      <c r="AE81" s="76" t="e">
        <f t="shared" si="33"/>
        <v>#REF!</v>
      </c>
      <c r="AF81" s="8" t="e">
        <f t="shared" si="34"/>
        <v>#REF!</v>
      </c>
      <c r="AH81" s="7" t="e">
        <f t="shared" si="39"/>
        <v>#REF!</v>
      </c>
      <c r="AI81" s="79" t="e">
        <f t="shared" si="45"/>
        <v>#REF!</v>
      </c>
      <c r="AJ81" s="79" t="e">
        <f t="shared" si="46"/>
        <v>#REF!</v>
      </c>
      <c r="AK81" s="75" t="e">
        <f>PMT(#REF!,#REF!,-#REF!,0,0)</f>
        <v>#REF!</v>
      </c>
      <c r="AL81" s="75"/>
      <c r="AM81" s="7" t="e">
        <f>AJ81*(#REF!/12)</f>
        <v>#REF!</v>
      </c>
      <c r="AN81" s="7" t="e">
        <f t="shared" si="47"/>
        <v>#REF!</v>
      </c>
      <c r="AO81" s="75" t="e">
        <f t="shared" si="35"/>
        <v>#REF!</v>
      </c>
      <c r="AP81" s="75" t="e">
        <f t="shared" si="48"/>
        <v>#REF!</v>
      </c>
      <c r="AQ81" s="7" t="e">
        <f t="shared" si="40"/>
        <v>#REF!</v>
      </c>
      <c r="AR81" s="41"/>
    </row>
    <row r="82" spans="10:44" x14ac:dyDescent="0.25">
      <c r="J82" s="5">
        <f t="shared" si="36"/>
        <v>35</v>
      </c>
      <c r="K82" s="5">
        <f t="shared" si="49"/>
        <v>2033</v>
      </c>
      <c r="L82" s="34" t="s">
        <v>47</v>
      </c>
      <c r="M82" s="70">
        <f t="shared" si="41"/>
        <v>10050.717304687501</v>
      </c>
      <c r="N82" s="70">
        <f t="shared" si="32"/>
        <v>10050.717304687501</v>
      </c>
      <c r="O82" s="71"/>
      <c r="P82" s="86">
        <v>4</v>
      </c>
      <c r="Q82" s="51">
        <v>4</v>
      </c>
      <c r="R82" s="88">
        <f t="shared" si="42"/>
        <v>1</v>
      </c>
      <c r="S82" s="6">
        <v>0</v>
      </c>
      <c r="T82" s="8">
        <f t="shared" si="37"/>
        <v>40202.869218750006</v>
      </c>
      <c r="U82" s="8" t="e">
        <f>#REF!</f>
        <v>#REF!</v>
      </c>
      <c r="V82" s="8"/>
      <c r="W82" s="8" t="e">
        <f t="shared" si="38"/>
        <v>#REF!</v>
      </c>
      <c r="X82" s="27"/>
      <c r="Y82" s="26" t="e">
        <f t="shared" si="43"/>
        <v>#REF!</v>
      </c>
      <c r="Z82" s="95"/>
      <c r="AA82" s="95"/>
      <c r="AB82" s="8">
        <f>'Business_172 PH Rd Budget'!$C$25</f>
        <v>2155.2899999999995</v>
      </c>
      <c r="AC82" s="8" t="e">
        <f t="shared" si="44"/>
        <v>#REF!</v>
      </c>
      <c r="AD82" s="8">
        <v>350000</v>
      </c>
      <c r="AE82" s="76" t="e">
        <f t="shared" si="33"/>
        <v>#REF!</v>
      </c>
      <c r="AF82" s="8" t="e">
        <f t="shared" si="34"/>
        <v>#REF!</v>
      </c>
      <c r="AH82" s="7" t="e">
        <f t="shared" si="39"/>
        <v>#REF!</v>
      </c>
      <c r="AI82" s="79" t="e">
        <f t="shared" si="45"/>
        <v>#REF!</v>
      </c>
      <c r="AJ82" s="79" t="e">
        <f t="shared" si="46"/>
        <v>#REF!</v>
      </c>
      <c r="AK82" s="75" t="e">
        <f>PMT(#REF!,#REF!,-#REF!,0,0)</f>
        <v>#REF!</v>
      </c>
      <c r="AL82" s="75"/>
      <c r="AM82" s="7" t="e">
        <f>AJ82*(#REF!/12)</f>
        <v>#REF!</v>
      </c>
      <c r="AN82" s="7" t="e">
        <f t="shared" si="47"/>
        <v>#REF!</v>
      </c>
      <c r="AO82" s="75" t="e">
        <f t="shared" si="35"/>
        <v>#REF!</v>
      </c>
      <c r="AP82" s="75" t="e">
        <f t="shared" si="48"/>
        <v>#REF!</v>
      </c>
      <c r="AQ82" s="7" t="e">
        <f t="shared" si="40"/>
        <v>#REF!</v>
      </c>
      <c r="AR82" s="41"/>
    </row>
    <row r="83" spans="10:44" x14ac:dyDescent="0.25">
      <c r="J83" s="5">
        <f t="shared" si="36"/>
        <v>35</v>
      </c>
      <c r="K83" s="5">
        <f t="shared" si="49"/>
        <v>2033</v>
      </c>
      <c r="L83" s="34" t="s">
        <v>49</v>
      </c>
      <c r="M83" s="70">
        <f t="shared" si="41"/>
        <v>10050.717304687501</v>
      </c>
      <c r="N83" s="70">
        <f t="shared" si="32"/>
        <v>10050.717304687501</v>
      </c>
      <c r="O83" s="71"/>
      <c r="P83" s="86">
        <v>4</v>
      </c>
      <c r="Q83" s="44">
        <v>4</v>
      </c>
      <c r="R83" s="88">
        <f t="shared" si="42"/>
        <v>1</v>
      </c>
      <c r="S83" s="6">
        <v>0</v>
      </c>
      <c r="T83" s="8">
        <f t="shared" si="37"/>
        <v>40202.869218750006</v>
      </c>
      <c r="U83" s="8" t="e">
        <f>#REF!</f>
        <v>#REF!</v>
      </c>
      <c r="V83" s="8"/>
      <c r="W83" s="8" t="e">
        <f t="shared" si="38"/>
        <v>#REF!</v>
      </c>
      <c r="X83" s="27"/>
      <c r="Y83" s="26" t="e">
        <f t="shared" si="43"/>
        <v>#REF!</v>
      </c>
      <c r="Z83" s="95"/>
      <c r="AA83" s="95"/>
      <c r="AB83" s="8">
        <f>'Business_172 PH Rd Budget'!$C$25</f>
        <v>2155.2899999999995</v>
      </c>
      <c r="AC83" s="8" t="e">
        <f t="shared" si="44"/>
        <v>#REF!</v>
      </c>
      <c r="AD83" s="8">
        <v>350000</v>
      </c>
      <c r="AE83" s="76" t="e">
        <f t="shared" si="33"/>
        <v>#REF!</v>
      </c>
      <c r="AF83" s="8" t="e">
        <f t="shared" si="34"/>
        <v>#REF!</v>
      </c>
      <c r="AH83" s="7" t="e">
        <f t="shared" si="39"/>
        <v>#REF!</v>
      </c>
      <c r="AI83" s="79" t="e">
        <f t="shared" si="45"/>
        <v>#REF!</v>
      </c>
      <c r="AJ83" s="79" t="e">
        <f t="shared" si="46"/>
        <v>#REF!</v>
      </c>
      <c r="AK83" s="75" t="e">
        <f>PMT(#REF!,#REF!,-#REF!,0,0)</f>
        <v>#REF!</v>
      </c>
      <c r="AL83" s="75"/>
      <c r="AM83" s="7" t="e">
        <f>AJ83*(#REF!/12)</f>
        <v>#REF!</v>
      </c>
      <c r="AN83" s="7" t="e">
        <f t="shared" si="47"/>
        <v>#REF!</v>
      </c>
      <c r="AO83" s="75" t="e">
        <f t="shared" si="35"/>
        <v>#REF!</v>
      </c>
      <c r="AP83" s="75" t="e">
        <f t="shared" si="48"/>
        <v>#REF!</v>
      </c>
      <c r="AQ83" s="7" t="e">
        <f t="shared" si="40"/>
        <v>#REF!</v>
      </c>
      <c r="AR83" s="41"/>
    </row>
    <row r="84" spans="10:44" x14ac:dyDescent="0.25">
      <c r="J84" s="5">
        <f t="shared" si="36"/>
        <v>35</v>
      </c>
      <c r="K84" s="5">
        <f t="shared" si="49"/>
        <v>2033</v>
      </c>
      <c r="L84" s="34" t="s">
        <v>51</v>
      </c>
      <c r="M84" s="70">
        <f t="shared" si="41"/>
        <v>10050.717304687501</v>
      </c>
      <c r="N84" s="70">
        <f t="shared" si="32"/>
        <v>10050.717304687501</v>
      </c>
      <c r="O84" s="71"/>
      <c r="P84" s="86">
        <v>5</v>
      </c>
      <c r="Q84" s="44">
        <v>4</v>
      </c>
      <c r="R84" s="88">
        <f t="shared" si="42"/>
        <v>0.8</v>
      </c>
      <c r="S84" s="6">
        <v>0</v>
      </c>
      <c r="T84" s="8">
        <f t="shared" si="37"/>
        <v>40202.869218750006</v>
      </c>
      <c r="U84" s="8" t="e">
        <f>#REF!</f>
        <v>#REF!</v>
      </c>
      <c r="V84" s="8"/>
      <c r="W84" s="8" t="e">
        <f t="shared" si="38"/>
        <v>#REF!</v>
      </c>
      <c r="X84" s="27"/>
      <c r="Y84" s="26" t="e">
        <f t="shared" si="43"/>
        <v>#REF!</v>
      </c>
      <c r="Z84" s="95"/>
      <c r="AA84" s="95"/>
      <c r="AB84" s="8">
        <f>'Business_172 PH Rd Budget'!$C$25</f>
        <v>2155.2899999999995</v>
      </c>
      <c r="AC84" s="8" t="e">
        <f t="shared" si="44"/>
        <v>#REF!</v>
      </c>
      <c r="AD84" s="8">
        <v>350000</v>
      </c>
      <c r="AE84" s="76" t="e">
        <f t="shared" si="33"/>
        <v>#REF!</v>
      </c>
      <c r="AF84" s="8" t="e">
        <f t="shared" si="34"/>
        <v>#REF!</v>
      </c>
      <c r="AH84" s="7" t="e">
        <f t="shared" si="39"/>
        <v>#REF!</v>
      </c>
      <c r="AI84" s="79" t="e">
        <f t="shared" si="45"/>
        <v>#REF!</v>
      </c>
      <c r="AJ84" s="79" t="e">
        <f t="shared" si="46"/>
        <v>#REF!</v>
      </c>
      <c r="AK84" s="75" t="e">
        <f>PMT(#REF!,#REF!,-#REF!,0,0)</f>
        <v>#REF!</v>
      </c>
      <c r="AL84" s="75"/>
      <c r="AM84" s="7" t="e">
        <f>AJ84*(#REF!/12)</f>
        <v>#REF!</v>
      </c>
      <c r="AN84" s="7" t="e">
        <f t="shared" si="47"/>
        <v>#REF!</v>
      </c>
      <c r="AO84" s="75" t="e">
        <f t="shared" si="35"/>
        <v>#REF!</v>
      </c>
      <c r="AP84" s="75" t="e">
        <f t="shared" si="48"/>
        <v>#REF!</v>
      </c>
      <c r="AQ84" s="7" t="e">
        <f t="shared" si="40"/>
        <v>#REF!</v>
      </c>
      <c r="AR84" s="41"/>
    </row>
    <row r="85" spans="10:44" x14ac:dyDescent="0.25">
      <c r="J85" s="5">
        <f t="shared" si="36"/>
        <v>35</v>
      </c>
      <c r="K85" s="5">
        <f t="shared" si="49"/>
        <v>2033</v>
      </c>
      <c r="L85" s="34" t="s">
        <v>53</v>
      </c>
      <c r="M85" s="70">
        <f t="shared" si="41"/>
        <v>10050.717304687501</v>
      </c>
      <c r="N85" s="70">
        <f t="shared" si="32"/>
        <v>9045.6455742187518</v>
      </c>
      <c r="O85" s="71"/>
      <c r="P85" s="87"/>
      <c r="Q85" s="68">
        <v>0</v>
      </c>
      <c r="R85" s="88" t="str">
        <f t="shared" si="42"/>
        <v/>
      </c>
      <c r="S85" s="69">
        <v>0.1</v>
      </c>
      <c r="T85" s="8">
        <f t="shared" si="37"/>
        <v>0</v>
      </c>
      <c r="U85" s="8" t="e">
        <f>#REF!</f>
        <v>#REF!</v>
      </c>
      <c r="V85" s="8"/>
      <c r="W85" s="8" t="e">
        <f t="shared" si="38"/>
        <v>#REF!</v>
      </c>
      <c r="X85" s="27"/>
      <c r="Y85" s="26" t="e">
        <f t="shared" si="43"/>
        <v>#REF!</v>
      </c>
      <c r="Z85" s="95"/>
      <c r="AA85" s="95"/>
      <c r="AB85" s="8">
        <f>'Business_172 PH Rd Budget'!$C$25</f>
        <v>2155.2899999999995</v>
      </c>
      <c r="AC85" s="8" t="e">
        <f t="shared" si="44"/>
        <v>#REF!</v>
      </c>
      <c r="AD85" s="8">
        <v>350000</v>
      </c>
      <c r="AE85" s="76" t="e">
        <f t="shared" si="33"/>
        <v>#REF!</v>
      </c>
      <c r="AF85" s="8" t="e">
        <f t="shared" si="34"/>
        <v>#REF!</v>
      </c>
      <c r="AH85" s="7" t="e">
        <f t="shared" si="39"/>
        <v>#REF!</v>
      </c>
      <c r="AI85" s="79" t="e">
        <f t="shared" si="45"/>
        <v>#REF!</v>
      </c>
      <c r="AJ85" s="79" t="e">
        <f t="shared" si="46"/>
        <v>#REF!</v>
      </c>
      <c r="AK85" s="75" t="e">
        <f>PMT(#REF!,#REF!,-#REF!,0,0)</f>
        <v>#REF!</v>
      </c>
      <c r="AL85" s="75"/>
      <c r="AM85" s="7" t="e">
        <f>AJ85*(#REF!/12)</f>
        <v>#REF!</v>
      </c>
      <c r="AN85" s="7" t="e">
        <f t="shared" si="47"/>
        <v>#REF!</v>
      </c>
      <c r="AO85" s="75" t="e">
        <f t="shared" si="35"/>
        <v>#REF!</v>
      </c>
      <c r="AP85" s="75" t="e">
        <f t="shared" si="48"/>
        <v>#REF!</v>
      </c>
      <c r="AQ85" s="7" t="e">
        <f t="shared" si="40"/>
        <v>#REF!</v>
      </c>
      <c r="AR85" s="41"/>
    </row>
    <row r="86" spans="10:44" x14ac:dyDescent="0.25">
      <c r="J86" s="5">
        <f t="shared" si="36"/>
        <v>35</v>
      </c>
      <c r="K86" s="5">
        <f t="shared" si="49"/>
        <v>2033</v>
      </c>
      <c r="L86" s="34" t="s">
        <v>55</v>
      </c>
      <c r="M86" s="70">
        <f t="shared" si="41"/>
        <v>10050.717304687501</v>
      </c>
      <c r="N86" s="70">
        <f t="shared" si="32"/>
        <v>8040.5738437500013</v>
      </c>
      <c r="O86" s="71"/>
      <c r="P86" s="86"/>
      <c r="Q86" s="51">
        <v>0</v>
      </c>
      <c r="R86" s="88" t="str">
        <f t="shared" si="42"/>
        <v/>
      </c>
      <c r="S86" s="6">
        <v>0.2</v>
      </c>
      <c r="T86" s="8">
        <f t="shared" si="37"/>
        <v>0</v>
      </c>
      <c r="U86" s="8" t="e">
        <f>#REF!</f>
        <v>#REF!</v>
      </c>
      <c r="V86" s="8"/>
      <c r="W86" s="8" t="e">
        <f t="shared" si="38"/>
        <v>#REF!</v>
      </c>
      <c r="X86" s="27"/>
      <c r="Y86" s="26" t="e">
        <f t="shared" si="43"/>
        <v>#REF!</v>
      </c>
      <c r="Z86" s="95"/>
      <c r="AA86" s="95"/>
      <c r="AB86" s="8">
        <f>'Business_172 PH Rd Budget'!$C$25</f>
        <v>2155.2899999999995</v>
      </c>
      <c r="AC86" s="8" t="e">
        <f t="shared" si="44"/>
        <v>#REF!</v>
      </c>
      <c r="AD86" s="8">
        <v>350000</v>
      </c>
      <c r="AE86" s="76" t="e">
        <f t="shared" si="33"/>
        <v>#REF!</v>
      </c>
      <c r="AF86" s="8" t="e">
        <f t="shared" si="34"/>
        <v>#REF!</v>
      </c>
      <c r="AH86" s="7" t="e">
        <f t="shared" si="39"/>
        <v>#REF!</v>
      </c>
      <c r="AI86" s="79" t="e">
        <f t="shared" si="45"/>
        <v>#REF!</v>
      </c>
      <c r="AJ86" s="79" t="e">
        <f t="shared" si="46"/>
        <v>#REF!</v>
      </c>
      <c r="AK86" s="75" t="e">
        <f>PMT(#REF!,#REF!,-#REF!,0,0)</f>
        <v>#REF!</v>
      </c>
      <c r="AL86" s="75"/>
      <c r="AM86" s="7" t="e">
        <f>AJ86*(#REF!/12)</f>
        <v>#REF!</v>
      </c>
      <c r="AN86" s="7" t="e">
        <f t="shared" si="47"/>
        <v>#REF!</v>
      </c>
      <c r="AO86" s="75" t="e">
        <f t="shared" si="35"/>
        <v>#REF!</v>
      </c>
      <c r="AP86" s="75" t="e">
        <f t="shared" si="48"/>
        <v>#REF!</v>
      </c>
      <c r="AQ86" s="7" t="e">
        <f t="shared" si="40"/>
        <v>#REF!</v>
      </c>
      <c r="AR86" s="41"/>
    </row>
    <row r="87" spans="10:44" x14ac:dyDescent="0.25">
      <c r="J87" s="5">
        <f t="shared" si="36"/>
        <v>36</v>
      </c>
      <c r="K87" s="5">
        <f t="shared" si="49"/>
        <v>2034</v>
      </c>
      <c r="L87" s="34" t="s">
        <v>31</v>
      </c>
      <c r="M87" s="70">
        <f t="shared" si="41"/>
        <v>10553.253169921876</v>
      </c>
      <c r="N87" s="70">
        <f t="shared" si="32"/>
        <v>7914.9398774414076</v>
      </c>
      <c r="O87" s="71">
        <v>0.05</v>
      </c>
      <c r="P87" s="86"/>
      <c r="Q87" s="51">
        <v>0</v>
      </c>
      <c r="R87" s="88" t="str">
        <f t="shared" si="42"/>
        <v/>
      </c>
      <c r="S87" s="6">
        <v>0.25</v>
      </c>
      <c r="T87" s="8">
        <f t="shared" si="37"/>
        <v>0</v>
      </c>
      <c r="U87" s="8" t="e">
        <f>#REF!</f>
        <v>#REF!</v>
      </c>
      <c r="V87" s="8"/>
      <c r="W87" s="8" t="e">
        <f t="shared" si="38"/>
        <v>#REF!</v>
      </c>
      <c r="X87" s="27"/>
      <c r="Y87" s="26" t="e">
        <f t="shared" si="43"/>
        <v>#REF!</v>
      </c>
      <c r="Z87" s="95"/>
      <c r="AA87" s="95"/>
      <c r="AB87" s="8">
        <f>'Business_172 PH Rd Budget'!$C$25</f>
        <v>2155.2899999999995</v>
      </c>
      <c r="AC87" s="8" t="e">
        <f t="shared" si="44"/>
        <v>#REF!</v>
      </c>
      <c r="AD87" s="8">
        <v>350000</v>
      </c>
      <c r="AE87" s="76" t="e">
        <f t="shared" si="33"/>
        <v>#REF!</v>
      </c>
      <c r="AF87" s="8" t="e">
        <f t="shared" si="34"/>
        <v>#REF!</v>
      </c>
      <c r="AH87" s="7" t="e">
        <f t="shared" si="39"/>
        <v>#REF!</v>
      </c>
      <c r="AI87" s="79" t="e">
        <f t="shared" si="45"/>
        <v>#REF!</v>
      </c>
      <c r="AJ87" s="79" t="e">
        <f t="shared" si="46"/>
        <v>#REF!</v>
      </c>
      <c r="AK87" s="75" t="e">
        <f>PMT(#REF!,#REF!,-#REF!,0,0)</f>
        <v>#REF!</v>
      </c>
      <c r="AL87" s="75"/>
      <c r="AM87" s="7" t="e">
        <f>AJ87*(#REF!/12)</f>
        <v>#REF!</v>
      </c>
      <c r="AN87" s="7" t="e">
        <f t="shared" si="47"/>
        <v>#REF!</v>
      </c>
      <c r="AO87" s="75" t="e">
        <f t="shared" si="35"/>
        <v>#REF!</v>
      </c>
      <c r="AP87" s="75" t="e">
        <f t="shared" si="48"/>
        <v>#REF!</v>
      </c>
      <c r="AQ87" s="7" t="e">
        <f t="shared" si="40"/>
        <v>#REF!</v>
      </c>
      <c r="AR87" s="41"/>
    </row>
    <row r="88" spans="10:44" x14ac:dyDescent="0.25">
      <c r="J88" s="5">
        <f t="shared" si="36"/>
        <v>36</v>
      </c>
      <c r="K88" s="5">
        <f t="shared" si="49"/>
        <v>2034</v>
      </c>
      <c r="L88" s="34" t="s">
        <v>33</v>
      </c>
      <c r="M88" s="70">
        <f t="shared" si="41"/>
        <v>10553.253169921876</v>
      </c>
      <c r="N88" s="70">
        <f t="shared" si="32"/>
        <v>7914.9398774414076</v>
      </c>
      <c r="O88" s="71"/>
      <c r="P88" s="86"/>
      <c r="Q88" s="51">
        <v>0</v>
      </c>
      <c r="R88" s="88" t="str">
        <f t="shared" si="42"/>
        <v/>
      </c>
      <c r="S88" s="6">
        <v>0.25</v>
      </c>
      <c r="T88" s="8">
        <f t="shared" si="37"/>
        <v>0</v>
      </c>
      <c r="U88" s="8" t="e">
        <f>#REF!</f>
        <v>#REF!</v>
      </c>
      <c r="V88" s="8"/>
      <c r="W88" s="8" t="e">
        <f t="shared" si="38"/>
        <v>#REF!</v>
      </c>
      <c r="X88" s="27"/>
      <c r="Y88" s="26" t="e">
        <f t="shared" si="43"/>
        <v>#REF!</v>
      </c>
      <c r="Z88" s="95"/>
      <c r="AA88" s="95"/>
      <c r="AB88" s="8">
        <f>'Business_172 PH Rd Budget'!$C$25</f>
        <v>2155.2899999999995</v>
      </c>
      <c r="AC88" s="8" t="e">
        <f t="shared" si="44"/>
        <v>#REF!</v>
      </c>
      <c r="AD88" s="8">
        <v>350000</v>
      </c>
      <c r="AE88" s="76" t="e">
        <f t="shared" si="33"/>
        <v>#REF!</v>
      </c>
      <c r="AF88" s="8" t="e">
        <f t="shared" si="34"/>
        <v>#REF!</v>
      </c>
      <c r="AH88" s="7" t="e">
        <f t="shared" si="39"/>
        <v>#REF!</v>
      </c>
      <c r="AI88" s="79" t="e">
        <f t="shared" si="45"/>
        <v>#REF!</v>
      </c>
      <c r="AJ88" s="79" t="e">
        <f t="shared" si="46"/>
        <v>#REF!</v>
      </c>
      <c r="AK88" s="75" t="e">
        <f>PMT(#REF!,#REF!,-#REF!,0,0)</f>
        <v>#REF!</v>
      </c>
      <c r="AL88" s="75"/>
      <c r="AM88" s="7" t="e">
        <f>AJ88*(#REF!/12)</f>
        <v>#REF!</v>
      </c>
      <c r="AN88" s="7" t="e">
        <f t="shared" si="47"/>
        <v>#REF!</v>
      </c>
      <c r="AO88" s="75" t="e">
        <f t="shared" si="35"/>
        <v>#REF!</v>
      </c>
      <c r="AP88" s="75" t="e">
        <f t="shared" si="48"/>
        <v>#REF!</v>
      </c>
      <c r="AQ88" s="7" t="e">
        <f t="shared" si="40"/>
        <v>#REF!</v>
      </c>
      <c r="AR88" s="41"/>
    </row>
    <row r="89" spans="10:44" x14ac:dyDescent="0.25">
      <c r="J89" s="5">
        <f t="shared" si="36"/>
        <v>36</v>
      </c>
      <c r="K89" s="5">
        <f t="shared" si="49"/>
        <v>2034</v>
      </c>
      <c r="L89" s="34" t="s">
        <v>36</v>
      </c>
      <c r="M89" s="70">
        <f t="shared" si="41"/>
        <v>10553.253169921876</v>
      </c>
      <c r="N89" s="70">
        <f t="shared" si="32"/>
        <v>8442.6025359375017</v>
      </c>
      <c r="O89" s="71"/>
      <c r="P89" s="86"/>
      <c r="Q89" s="51">
        <v>0</v>
      </c>
      <c r="R89" s="88" t="str">
        <f t="shared" si="42"/>
        <v/>
      </c>
      <c r="S89" s="6">
        <v>0.2</v>
      </c>
      <c r="T89" s="8">
        <f t="shared" si="37"/>
        <v>0</v>
      </c>
      <c r="U89" s="8" t="e">
        <f>#REF!</f>
        <v>#REF!</v>
      </c>
      <c r="V89" s="8"/>
      <c r="W89" s="8" t="e">
        <f t="shared" si="38"/>
        <v>#REF!</v>
      </c>
      <c r="X89" s="27"/>
      <c r="Y89" s="26" t="e">
        <f t="shared" si="43"/>
        <v>#REF!</v>
      </c>
      <c r="Z89" s="95"/>
      <c r="AA89" s="95"/>
      <c r="AB89" s="8">
        <f>'Business_172 PH Rd Budget'!$C$25</f>
        <v>2155.2899999999995</v>
      </c>
      <c r="AC89" s="8" t="e">
        <f t="shared" si="44"/>
        <v>#REF!</v>
      </c>
      <c r="AD89" s="8">
        <v>350000</v>
      </c>
      <c r="AE89" s="76" t="e">
        <f t="shared" si="33"/>
        <v>#REF!</v>
      </c>
      <c r="AF89" s="8" t="e">
        <f t="shared" si="34"/>
        <v>#REF!</v>
      </c>
      <c r="AH89" s="7" t="e">
        <f t="shared" si="39"/>
        <v>#REF!</v>
      </c>
      <c r="AI89" s="79" t="e">
        <f t="shared" si="45"/>
        <v>#REF!</v>
      </c>
      <c r="AJ89" s="79" t="e">
        <f t="shared" si="46"/>
        <v>#REF!</v>
      </c>
      <c r="AK89" s="75" t="e">
        <f>PMT(#REF!,#REF!,-#REF!,0,0)</f>
        <v>#REF!</v>
      </c>
      <c r="AL89" s="75"/>
      <c r="AM89" s="7" t="e">
        <f>AJ89*(#REF!/12)</f>
        <v>#REF!</v>
      </c>
      <c r="AN89" s="7" t="e">
        <f t="shared" si="47"/>
        <v>#REF!</v>
      </c>
      <c r="AO89" s="75" t="e">
        <f t="shared" si="35"/>
        <v>#REF!</v>
      </c>
      <c r="AP89" s="75" t="e">
        <f t="shared" si="48"/>
        <v>#REF!</v>
      </c>
      <c r="AQ89" s="7" t="e">
        <f t="shared" si="40"/>
        <v>#REF!</v>
      </c>
      <c r="AR89" s="41"/>
    </row>
    <row r="90" spans="10:44" x14ac:dyDescent="0.25">
      <c r="J90" s="5">
        <f t="shared" si="36"/>
        <v>36</v>
      </c>
      <c r="K90" s="5">
        <f t="shared" si="49"/>
        <v>2034</v>
      </c>
      <c r="L90" s="34" t="s">
        <v>38</v>
      </c>
      <c r="M90" s="70">
        <f t="shared" si="41"/>
        <v>10553.253169921876</v>
      </c>
      <c r="N90" s="70">
        <f t="shared" si="32"/>
        <v>9497.927852929688</v>
      </c>
      <c r="O90" s="71"/>
      <c r="P90" s="86"/>
      <c r="Q90" s="51">
        <v>0</v>
      </c>
      <c r="R90" s="88" t="str">
        <f t="shared" si="42"/>
        <v/>
      </c>
      <c r="S90" s="6">
        <v>0.1</v>
      </c>
      <c r="T90" s="8">
        <f t="shared" si="37"/>
        <v>0</v>
      </c>
      <c r="U90" s="8" t="e">
        <f>#REF!</f>
        <v>#REF!</v>
      </c>
      <c r="V90" s="8"/>
      <c r="W90" s="8" t="e">
        <f t="shared" si="38"/>
        <v>#REF!</v>
      </c>
      <c r="X90" s="27"/>
      <c r="Y90" s="26" t="e">
        <f t="shared" si="43"/>
        <v>#REF!</v>
      </c>
      <c r="Z90" s="95"/>
      <c r="AA90" s="95"/>
      <c r="AB90" s="8">
        <f>'Business_172 PH Rd Budget'!$C$25</f>
        <v>2155.2899999999995</v>
      </c>
      <c r="AC90" s="8" t="e">
        <f t="shared" si="44"/>
        <v>#REF!</v>
      </c>
      <c r="AD90" s="8">
        <v>350000</v>
      </c>
      <c r="AE90" s="76" t="e">
        <f t="shared" si="33"/>
        <v>#REF!</v>
      </c>
      <c r="AF90" s="8" t="e">
        <f t="shared" si="34"/>
        <v>#REF!</v>
      </c>
      <c r="AH90" s="7" t="e">
        <f t="shared" si="39"/>
        <v>#REF!</v>
      </c>
      <c r="AI90" s="79" t="e">
        <f t="shared" si="45"/>
        <v>#REF!</v>
      </c>
      <c r="AJ90" s="79" t="e">
        <f t="shared" si="46"/>
        <v>#REF!</v>
      </c>
      <c r="AK90" s="75" t="e">
        <f>PMT(#REF!,#REF!,-#REF!,0,0)</f>
        <v>#REF!</v>
      </c>
      <c r="AL90" s="75"/>
      <c r="AM90" s="7" t="e">
        <f>AJ90*(#REF!/12)</f>
        <v>#REF!</v>
      </c>
      <c r="AN90" s="7" t="e">
        <f t="shared" si="47"/>
        <v>#REF!</v>
      </c>
      <c r="AO90" s="75" t="e">
        <f t="shared" si="35"/>
        <v>#REF!</v>
      </c>
      <c r="AP90" s="75" t="e">
        <f t="shared" si="48"/>
        <v>#REF!</v>
      </c>
      <c r="AQ90" s="7" t="e">
        <f t="shared" si="40"/>
        <v>#REF!</v>
      </c>
      <c r="AR90" s="41"/>
    </row>
    <row r="91" spans="10:44" x14ac:dyDescent="0.25">
      <c r="J91" s="5">
        <f t="shared" si="36"/>
        <v>36</v>
      </c>
      <c r="K91" s="5">
        <f t="shared" si="49"/>
        <v>2034</v>
      </c>
      <c r="L91" s="34" t="s">
        <v>40</v>
      </c>
      <c r="M91" s="70">
        <f t="shared" si="41"/>
        <v>10553.253169921876</v>
      </c>
      <c r="N91" s="70">
        <f t="shared" si="32"/>
        <v>10553.253169921876</v>
      </c>
      <c r="O91" s="71"/>
      <c r="P91" s="86">
        <v>4</v>
      </c>
      <c r="Q91" s="51">
        <v>2</v>
      </c>
      <c r="R91" s="88">
        <f t="shared" si="42"/>
        <v>0.5</v>
      </c>
      <c r="S91" s="6">
        <v>0</v>
      </c>
      <c r="T91" s="8">
        <f t="shared" si="37"/>
        <v>21106.506339843752</v>
      </c>
      <c r="U91" s="8" t="e">
        <f>#REF!</f>
        <v>#REF!</v>
      </c>
      <c r="V91" s="8"/>
      <c r="W91" s="8" t="e">
        <f t="shared" si="38"/>
        <v>#REF!</v>
      </c>
      <c r="X91" s="27"/>
      <c r="Y91" s="26" t="e">
        <f t="shared" si="43"/>
        <v>#REF!</v>
      </c>
      <c r="Z91" s="95"/>
      <c r="AA91" s="95"/>
      <c r="AB91" s="8">
        <f>'Business_172 PH Rd Budget'!$C$25</f>
        <v>2155.2899999999995</v>
      </c>
      <c r="AC91" s="8" t="e">
        <f t="shared" si="44"/>
        <v>#REF!</v>
      </c>
      <c r="AD91" s="8">
        <v>350000</v>
      </c>
      <c r="AE91" s="76" t="e">
        <f t="shared" si="33"/>
        <v>#REF!</v>
      </c>
      <c r="AF91" s="8" t="e">
        <f t="shared" si="34"/>
        <v>#REF!</v>
      </c>
      <c r="AH91" s="7" t="e">
        <f t="shared" si="39"/>
        <v>#REF!</v>
      </c>
      <c r="AI91" s="79" t="e">
        <f t="shared" si="45"/>
        <v>#REF!</v>
      </c>
      <c r="AJ91" s="79" t="e">
        <f t="shared" si="46"/>
        <v>#REF!</v>
      </c>
      <c r="AK91" s="75" t="e">
        <f>PMT(#REF!,#REF!,-#REF!,0,0)</f>
        <v>#REF!</v>
      </c>
      <c r="AL91" s="75"/>
      <c r="AM91" s="7" t="e">
        <f>AJ91*(#REF!/12)</f>
        <v>#REF!</v>
      </c>
      <c r="AN91" s="7" t="e">
        <f t="shared" si="47"/>
        <v>#REF!</v>
      </c>
      <c r="AO91" s="75" t="e">
        <f t="shared" si="35"/>
        <v>#REF!</v>
      </c>
      <c r="AP91" s="75" t="e">
        <f t="shared" si="48"/>
        <v>#REF!</v>
      </c>
      <c r="AQ91" s="7" t="e">
        <f t="shared" si="40"/>
        <v>#REF!</v>
      </c>
      <c r="AR91" s="41"/>
    </row>
    <row r="92" spans="10:44" x14ac:dyDescent="0.25">
      <c r="J92" s="5">
        <f t="shared" si="36"/>
        <v>36</v>
      </c>
      <c r="K92" s="5">
        <f t="shared" si="49"/>
        <v>2034</v>
      </c>
      <c r="L92" s="34" t="s">
        <v>42</v>
      </c>
      <c r="M92" s="70">
        <f t="shared" si="41"/>
        <v>10553.253169921876</v>
      </c>
      <c r="N92" s="70">
        <f t="shared" si="32"/>
        <v>10553.253169921876</v>
      </c>
      <c r="O92" s="71"/>
      <c r="P92" s="86">
        <v>4</v>
      </c>
      <c r="Q92" s="51">
        <v>4</v>
      </c>
      <c r="R92" s="88">
        <f t="shared" si="42"/>
        <v>1</v>
      </c>
      <c r="S92" s="6">
        <v>0</v>
      </c>
      <c r="T92" s="8">
        <f t="shared" si="37"/>
        <v>42213.012679687505</v>
      </c>
      <c r="U92" s="8" t="e">
        <f>#REF!</f>
        <v>#REF!</v>
      </c>
      <c r="V92" s="8"/>
      <c r="W92" s="8" t="e">
        <f t="shared" si="38"/>
        <v>#REF!</v>
      </c>
      <c r="X92" s="27"/>
      <c r="Y92" s="26" t="e">
        <f t="shared" si="43"/>
        <v>#REF!</v>
      </c>
      <c r="Z92" s="95"/>
      <c r="AA92" s="95"/>
      <c r="AB92" s="8">
        <f>'Business_172 PH Rd Budget'!$C$25</f>
        <v>2155.2899999999995</v>
      </c>
      <c r="AC92" s="8" t="e">
        <f t="shared" si="44"/>
        <v>#REF!</v>
      </c>
      <c r="AD92" s="8">
        <v>350000</v>
      </c>
      <c r="AE92" s="76" t="e">
        <f t="shared" si="33"/>
        <v>#REF!</v>
      </c>
      <c r="AF92" s="8" t="e">
        <f t="shared" si="34"/>
        <v>#REF!</v>
      </c>
      <c r="AH92" s="7" t="e">
        <f t="shared" si="39"/>
        <v>#REF!</v>
      </c>
      <c r="AI92" s="79" t="e">
        <f t="shared" si="45"/>
        <v>#REF!</v>
      </c>
      <c r="AJ92" s="79" t="e">
        <f t="shared" si="46"/>
        <v>#REF!</v>
      </c>
      <c r="AK92" s="75" t="e">
        <f>PMT(#REF!,#REF!,-#REF!,0,0)</f>
        <v>#REF!</v>
      </c>
      <c r="AL92" s="75"/>
      <c r="AM92" s="7" t="e">
        <f>AJ92*(#REF!/12)</f>
        <v>#REF!</v>
      </c>
      <c r="AN92" s="7" t="e">
        <f t="shared" si="47"/>
        <v>#REF!</v>
      </c>
      <c r="AO92" s="75" t="e">
        <f t="shared" si="35"/>
        <v>#REF!</v>
      </c>
      <c r="AP92" s="75" t="e">
        <f t="shared" si="48"/>
        <v>#REF!</v>
      </c>
      <c r="AQ92" s="7" t="e">
        <f t="shared" si="40"/>
        <v>#REF!</v>
      </c>
      <c r="AR92" s="41"/>
    </row>
    <row r="93" spans="10:44" x14ac:dyDescent="0.25">
      <c r="J93" s="5">
        <f t="shared" si="36"/>
        <v>36</v>
      </c>
      <c r="K93" s="5">
        <f t="shared" si="49"/>
        <v>2034</v>
      </c>
      <c r="L93" s="34" t="s">
        <v>44</v>
      </c>
      <c r="M93" s="70">
        <f t="shared" si="41"/>
        <v>10553.253169921876</v>
      </c>
      <c r="N93" s="70">
        <f t="shared" si="32"/>
        <v>10553.253169921876</v>
      </c>
      <c r="O93" s="71"/>
      <c r="P93" s="86">
        <v>5</v>
      </c>
      <c r="Q93" s="51">
        <v>4</v>
      </c>
      <c r="R93" s="88">
        <f t="shared" si="42"/>
        <v>0.8</v>
      </c>
      <c r="S93" s="6">
        <v>0</v>
      </c>
      <c r="T93" s="8">
        <f t="shared" si="37"/>
        <v>42213.012679687505</v>
      </c>
      <c r="U93" s="8" t="e">
        <f>#REF!</f>
        <v>#REF!</v>
      </c>
      <c r="V93" s="8"/>
      <c r="W93" s="8" t="e">
        <f t="shared" si="38"/>
        <v>#REF!</v>
      </c>
      <c r="X93" s="27"/>
      <c r="Y93" s="26" t="e">
        <f t="shared" si="43"/>
        <v>#REF!</v>
      </c>
      <c r="Z93" s="95"/>
      <c r="AA93" s="95"/>
      <c r="AB93" s="8">
        <f>'Business_172 PH Rd Budget'!$C$25</f>
        <v>2155.2899999999995</v>
      </c>
      <c r="AC93" s="8" t="e">
        <f t="shared" si="44"/>
        <v>#REF!</v>
      </c>
      <c r="AD93" s="8">
        <v>350000</v>
      </c>
      <c r="AE93" s="76" t="e">
        <f t="shared" si="33"/>
        <v>#REF!</v>
      </c>
      <c r="AF93" s="8" t="e">
        <f t="shared" si="34"/>
        <v>#REF!</v>
      </c>
      <c r="AH93" s="7" t="e">
        <f t="shared" si="39"/>
        <v>#REF!</v>
      </c>
      <c r="AI93" s="79" t="e">
        <f t="shared" si="45"/>
        <v>#REF!</v>
      </c>
      <c r="AJ93" s="79" t="e">
        <f t="shared" si="46"/>
        <v>#REF!</v>
      </c>
      <c r="AK93" s="75" t="e">
        <f>PMT(#REF!,#REF!,-#REF!,0,0)</f>
        <v>#REF!</v>
      </c>
      <c r="AL93" s="75"/>
      <c r="AM93" s="7" t="e">
        <f>AJ93*(#REF!/12)</f>
        <v>#REF!</v>
      </c>
      <c r="AN93" s="7" t="e">
        <f t="shared" si="47"/>
        <v>#REF!</v>
      </c>
      <c r="AO93" s="75" t="e">
        <f t="shared" si="35"/>
        <v>#REF!</v>
      </c>
      <c r="AP93" s="75" t="e">
        <f t="shared" si="48"/>
        <v>#REF!</v>
      </c>
      <c r="AQ93" s="7" t="e">
        <f t="shared" si="40"/>
        <v>#REF!</v>
      </c>
      <c r="AR93" s="41"/>
    </row>
    <row r="94" spans="10:44" x14ac:dyDescent="0.25">
      <c r="J94" s="5">
        <f t="shared" si="36"/>
        <v>36</v>
      </c>
      <c r="K94" s="5">
        <f t="shared" si="49"/>
        <v>2034</v>
      </c>
      <c r="L94" s="34" t="s">
        <v>47</v>
      </c>
      <c r="M94" s="70">
        <f t="shared" si="41"/>
        <v>10553.253169921876</v>
      </c>
      <c r="N94" s="70">
        <f t="shared" si="32"/>
        <v>10553.253169921876</v>
      </c>
      <c r="O94" s="71"/>
      <c r="P94" s="86">
        <v>4</v>
      </c>
      <c r="Q94" s="51">
        <v>4</v>
      </c>
      <c r="R94" s="88">
        <f t="shared" si="42"/>
        <v>1</v>
      </c>
      <c r="S94" s="6">
        <v>0</v>
      </c>
      <c r="T94" s="8">
        <f t="shared" si="37"/>
        <v>42213.012679687505</v>
      </c>
      <c r="U94" s="8" t="e">
        <f>#REF!</f>
        <v>#REF!</v>
      </c>
      <c r="V94" s="8"/>
      <c r="W94" s="8" t="e">
        <f t="shared" si="38"/>
        <v>#REF!</v>
      </c>
      <c r="X94" s="27"/>
      <c r="Y94" s="26" t="e">
        <f t="shared" si="43"/>
        <v>#REF!</v>
      </c>
      <c r="Z94" s="95"/>
      <c r="AA94" s="95"/>
      <c r="AB94" s="8">
        <f>'Business_172 PH Rd Budget'!$C$25</f>
        <v>2155.2899999999995</v>
      </c>
      <c r="AC94" s="8" t="e">
        <f t="shared" si="44"/>
        <v>#REF!</v>
      </c>
      <c r="AD94" s="8">
        <v>350000</v>
      </c>
      <c r="AE94" s="76" t="e">
        <f t="shared" si="33"/>
        <v>#REF!</v>
      </c>
      <c r="AF94" s="8" t="e">
        <f t="shared" si="34"/>
        <v>#REF!</v>
      </c>
      <c r="AH94" s="7" t="e">
        <f t="shared" si="39"/>
        <v>#REF!</v>
      </c>
      <c r="AI94" s="79" t="e">
        <f t="shared" si="45"/>
        <v>#REF!</v>
      </c>
      <c r="AJ94" s="79" t="e">
        <f t="shared" si="46"/>
        <v>#REF!</v>
      </c>
      <c r="AK94" s="75" t="e">
        <f>PMT(#REF!,#REF!,-#REF!,0,0)</f>
        <v>#REF!</v>
      </c>
      <c r="AL94" s="75"/>
      <c r="AM94" s="7" t="e">
        <f>AJ94*(#REF!/12)</f>
        <v>#REF!</v>
      </c>
      <c r="AN94" s="7" t="e">
        <f t="shared" si="47"/>
        <v>#REF!</v>
      </c>
      <c r="AO94" s="75" t="e">
        <f t="shared" si="35"/>
        <v>#REF!</v>
      </c>
      <c r="AP94" s="75" t="e">
        <f t="shared" si="48"/>
        <v>#REF!</v>
      </c>
      <c r="AQ94" s="7" t="e">
        <f t="shared" si="40"/>
        <v>#REF!</v>
      </c>
      <c r="AR94" s="41"/>
    </row>
    <row r="95" spans="10:44" x14ac:dyDescent="0.25">
      <c r="J95" s="5">
        <f t="shared" si="36"/>
        <v>36</v>
      </c>
      <c r="K95" s="5">
        <f t="shared" si="49"/>
        <v>2034</v>
      </c>
      <c r="L95" s="34" t="s">
        <v>49</v>
      </c>
      <c r="M95" s="70">
        <f t="shared" si="41"/>
        <v>10553.253169921876</v>
      </c>
      <c r="N95" s="70">
        <f t="shared" si="32"/>
        <v>10553.253169921876</v>
      </c>
      <c r="O95" s="71"/>
      <c r="P95" s="86">
        <v>4</v>
      </c>
      <c r="Q95" s="44">
        <v>4</v>
      </c>
      <c r="R95" s="88">
        <f t="shared" si="42"/>
        <v>1</v>
      </c>
      <c r="S95" s="6">
        <v>0</v>
      </c>
      <c r="T95" s="8">
        <f t="shared" si="37"/>
        <v>42213.012679687505</v>
      </c>
      <c r="U95" s="8" t="e">
        <f>#REF!</f>
        <v>#REF!</v>
      </c>
      <c r="V95" s="8"/>
      <c r="W95" s="8" t="e">
        <f t="shared" si="38"/>
        <v>#REF!</v>
      </c>
      <c r="X95" s="27"/>
      <c r="Y95" s="26" t="e">
        <f t="shared" si="43"/>
        <v>#REF!</v>
      </c>
      <c r="Z95" s="95"/>
      <c r="AA95" s="95"/>
      <c r="AB95" s="8">
        <f>'Business_172 PH Rd Budget'!$C$25</f>
        <v>2155.2899999999995</v>
      </c>
      <c r="AC95" s="8" t="e">
        <f t="shared" si="44"/>
        <v>#REF!</v>
      </c>
      <c r="AD95" s="8">
        <v>350000</v>
      </c>
      <c r="AE95" s="76" t="e">
        <f t="shared" si="33"/>
        <v>#REF!</v>
      </c>
      <c r="AF95" s="8" t="e">
        <f t="shared" si="34"/>
        <v>#REF!</v>
      </c>
      <c r="AH95" s="7" t="e">
        <f t="shared" si="39"/>
        <v>#REF!</v>
      </c>
      <c r="AI95" s="79" t="e">
        <f t="shared" si="45"/>
        <v>#REF!</v>
      </c>
      <c r="AJ95" s="79" t="e">
        <f t="shared" si="46"/>
        <v>#REF!</v>
      </c>
      <c r="AK95" s="75" t="e">
        <f>PMT(#REF!,#REF!,-#REF!,0,0)</f>
        <v>#REF!</v>
      </c>
      <c r="AL95" s="75"/>
      <c r="AM95" s="7" t="e">
        <f>AJ95*(#REF!/12)</f>
        <v>#REF!</v>
      </c>
      <c r="AN95" s="7" t="e">
        <f t="shared" si="47"/>
        <v>#REF!</v>
      </c>
      <c r="AO95" s="75" t="e">
        <f t="shared" si="35"/>
        <v>#REF!</v>
      </c>
      <c r="AP95" s="75" t="e">
        <f t="shared" si="48"/>
        <v>#REF!</v>
      </c>
      <c r="AQ95" s="7" t="e">
        <f t="shared" si="40"/>
        <v>#REF!</v>
      </c>
      <c r="AR95" s="41"/>
    </row>
    <row r="96" spans="10:44" x14ac:dyDescent="0.25">
      <c r="J96" s="5">
        <f t="shared" si="36"/>
        <v>36</v>
      </c>
      <c r="K96" s="5">
        <f t="shared" si="49"/>
        <v>2034</v>
      </c>
      <c r="L96" s="34" t="s">
        <v>51</v>
      </c>
      <c r="M96" s="70">
        <f t="shared" si="41"/>
        <v>10553.253169921876</v>
      </c>
      <c r="N96" s="70">
        <f t="shared" si="32"/>
        <v>10553.253169921876</v>
      </c>
      <c r="O96" s="71"/>
      <c r="P96" s="86">
        <v>5</v>
      </c>
      <c r="Q96" s="44">
        <v>4</v>
      </c>
      <c r="R96" s="88">
        <f t="shared" si="42"/>
        <v>0.8</v>
      </c>
      <c r="S96" s="6">
        <v>0</v>
      </c>
      <c r="T96" s="8">
        <f t="shared" si="37"/>
        <v>42213.012679687505</v>
      </c>
      <c r="U96" s="8" t="e">
        <f>#REF!</f>
        <v>#REF!</v>
      </c>
      <c r="V96" s="8"/>
      <c r="W96" s="8" t="e">
        <f t="shared" si="38"/>
        <v>#REF!</v>
      </c>
      <c r="X96" s="27"/>
      <c r="Y96" s="26" t="e">
        <f t="shared" si="43"/>
        <v>#REF!</v>
      </c>
      <c r="Z96" s="95"/>
      <c r="AA96" s="95"/>
      <c r="AB96" s="8">
        <f>'Business_172 PH Rd Budget'!$C$25</f>
        <v>2155.2899999999995</v>
      </c>
      <c r="AC96" s="8" t="e">
        <f t="shared" si="44"/>
        <v>#REF!</v>
      </c>
      <c r="AD96" s="8">
        <v>350000</v>
      </c>
      <c r="AE96" s="76" t="e">
        <f t="shared" si="33"/>
        <v>#REF!</v>
      </c>
      <c r="AF96" s="8" t="e">
        <f t="shared" si="34"/>
        <v>#REF!</v>
      </c>
      <c r="AH96" s="7" t="e">
        <f t="shared" si="39"/>
        <v>#REF!</v>
      </c>
      <c r="AI96" s="79" t="e">
        <f t="shared" si="45"/>
        <v>#REF!</v>
      </c>
      <c r="AJ96" s="79" t="e">
        <f t="shared" si="46"/>
        <v>#REF!</v>
      </c>
      <c r="AK96" s="75" t="e">
        <f>PMT(#REF!,#REF!,-#REF!,0,0)</f>
        <v>#REF!</v>
      </c>
      <c r="AL96" s="75"/>
      <c r="AM96" s="7" t="e">
        <f>AJ96*(#REF!/12)</f>
        <v>#REF!</v>
      </c>
      <c r="AN96" s="7" t="e">
        <f t="shared" si="47"/>
        <v>#REF!</v>
      </c>
      <c r="AO96" s="75" t="e">
        <f t="shared" si="35"/>
        <v>#REF!</v>
      </c>
      <c r="AP96" s="75" t="e">
        <f t="shared" si="48"/>
        <v>#REF!</v>
      </c>
      <c r="AQ96" s="7" t="e">
        <f t="shared" si="40"/>
        <v>#REF!</v>
      </c>
      <c r="AR96" s="41"/>
    </row>
    <row r="97" spans="10:44" x14ac:dyDescent="0.25">
      <c r="J97" s="5">
        <f t="shared" si="36"/>
        <v>36</v>
      </c>
      <c r="K97" s="5">
        <f t="shared" si="49"/>
        <v>2034</v>
      </c>
      <c r="L97" s="34" t="s">
        <v>53</v>
      </c>
      <c r="M97" s="70">
        <f t="shared" si="41"/>
        <v>10553.253169921876</v>
      </c>
      <c r="N97" s="70">
        <f t="shared" si="32"/>
        <v>9497.927852929688</v>
      </c>
      <c r="O97" s="71"/>
      <c r="P97" s="87"/>
      <c r="Q97" s="68">
        <v>0</v>
      </c>
      <c r="R97" s="88" t="str">
        <f t="shared" si="42"/>
        <v/>
      </c>
      <c r="S97" s="69">
        <v>0.1</v>
      </c>
      <c r="T97" s="8">
        <f t="shared" si="37"/>
        <v>0</v>
      </c>
      <c r="U97" s="8" t="e">
        <f>#REF!</f>
        <v>#REF!</v>
      </c>
      <c r="V97" s="8"/>
      <c r="W97" s="8" t="e">
        <f t="shared" si="38"/>
        <v>#REF!</v>
      </c>
      <c r="X97" s="27"/>
      <c r="Y97" s="26" t="e">
        <f t="shared" si="43"/>
        <v>#REF!</v>
      </c>
      <c r="Z97" s="95"/>
      <c r="AA97" s="95"/>
      <c r="AB97" s="8">
        <f>'Business_172 PH Rd Budget'!$C$25</f>
        <v>2155.2899999999995</v>
      </c>
      <c r="AC97" s="8" t="e">
        <f t="shared" si="44"/>
        <v>#REF!</v>
      </c>
      <c r="AD97" s="8">
        <v>350000</v>
      </c>
      <c r="AE97" s="76" t="e">
        <f t="shared" si="33"/>
        <v>#REF!</v>
      </c>
      <c r="AF97" s="8" t="e">
        <f t="shared" si="34"/>
        <v>#REF!</v>
      </c>
      <c r="AH97" s="7" t="e">
        <f t="shared" si="39"/>
        <v>#REF!</v>
      </c>
      <c r="AI97" s="79" t="e">
        <f t="shared" si="45"/>
        <v>#REF!</v>
      </c>
      <c r="AJ97" s="79" t="e">
        <f t="shared" si="46"/>
        <v>#REF!</v>
      </c>
      <c r="AK97" s="75" t="e">
        <f>PMT(#REF!,#REF!,-#REF!,0,0)</f>
        <v>#REF!</v>
      </c>
      <c r="AL97" s="75"/>
      <c r="AM97" s="7" t="e">
        <f>AJ97*(#REF!/12)</f>
        <v>#REF!</v>
      </c>
      <c r="AN97" s="7" t="e">
        <f t="shared" si="47"/>
        <v>#REF!</v>
      </c>
      <c r="AO97" s="75" t="e">
        <f t="shared" si="35"/>
        <v>#REF!</v>
      </c>
      <c r="AP97" s="75" t="e">
        <f t="shared" si="48"/>
        <v>#REF!</v>
      </c>
      <c r="AQ97" s="7" t="e">
        <f t="shared" si="40"/>
        <v>#REF!</v>
      </c>
      <c r="AR97" s="41"/>
    </row>
    <row r="98" spans="10:44" x14ac:dyDescent="0.25">
      <c r="J98" s="5">
        <f t="shared" si="36"/>
        <v>36</v>
      </c>
      <c r="K98" s="5">
        <f t="shared" si="49"/>
        <v>2034</v>
      </c>
      <c r="L98" s="34" t="s">
        <v>55</v>
      </c>
      <c r="M98" s="70">
        <f t="shared" si="41"/>
        <v>10553.253169921876</v>
      </c>
      <c r="N98" s="70">
        <f t="shared" si="32"/>
        <v>8442.6025359375017</v>
      </c>
      <c r="O98" s="71"/>
      <c r="P98" s="86"/>
      <c r="Q98" s="51">
        <v>0</v>
      </c>
      <c r="R98" s="88" t="str">
        <f t="shared" si="42"/>
        <v/>
      </c>
      <c r="S98" s="6">
        <v>0.2</v>
      </c>
      <c r="T98" s="8">
        <f t="shared" si="37"/>
        <v>0</v>
      </c>
      <c r="U98" s="8" t="e">
        <f>#REF!</f>
        <v>#REF!</v>
      </c>
      <c r="V98" s="8"/>
      <c r="W98" s="8" t="e">
        <f t="shared" si="38"/>
        <v>#REF!</v>
      </c>
      <c r="X98" s="27"/>
      <c r="Y98" s="26" t="e">
        <f t="shared" si="43"/>
        <v>#REF!</v>
      </c>
      <c r="Z98" s="95"/>
      <c r="AA98" s="95"/>
      <c r="AB98" s="8">
        <f>'Business_172 PH Rd Budget'!$C$25</f>
        <v>2155.2899999999995</v>
      </c>
      <c r="AC98" s="8" t="e">
        <f t="shared" si="44"/>
        <v>#REF!</v>
      </c>
      <c r="AD98" s="8">
        <v>350000</v>
      </c>
      <c r="AE98" s="76" t="e">
        <f t="shared" si="33"/>
        <v>#REF!</v>
      </c>
      <c r="AF98" s="8" t="e">
        <f t="shared" si="34"/>
        <v>#REF!</v>
      </c>
      <c r="AH98" s="7" t="e">
        <f t="shared" si="39"/>
        <v>#REF!</v>
      </c>
      <c r="AI98" s="79" t="e">
        <f t="shared" si="45"/>
        <v>#REF!</v>
      </c>
      <c r="AJ98" s="79" t="e">
        <f t="shared" si="46"/>
        <v>#REF!</v>
      </c>
      <c r="AK98" s="75" t="e">
        <f>PMT(#REF!,#REF!,-#REF!,0,0)</f>
        <v>#REF!</v>
      </c>
      <c r="AL98" s="75"/>
      <c r="AM98" s="7" t="e">
        <f>AJ98*(#REF!/12)</f>
        <v>#REF!</v>
      </c>
      <c r="AN98" s="7" t="e">
        <f t="shared" si="47"/>
        <v>#REF!</v>
      </c>
      <c r="AO98" s="75" t="e">
        <f t="shared" si="35"/>
        <v>#REF!</v>
      </c>
      <c r="AP98" s="75" t="e">
        <f t="shared" si="48"/>
        <v>#REF!</v>
      </c>
      <c r="AQ98" s="7" t="e">
        <f t="shared" si="40"/>
        <v>#REF!</v>
      </c>
      <c r="AR98" s="41"/>
    </row>
    <row r="99" spans="10:44" x14ac:dyDescent="0.25">
      <c r="J99" s="5">
        <f t="shared" si="36"/>
        <v>37</v>
      </c>
      <c r="K99" s="5">
        <f t="shared" si="49"/>
        <v>2035</v>
      </c>
      <c r="L99" s="34" t="s">
        <v>31</v>
      </c>
      <c r="M99" s="70">
        <f t="shared" si="41"/>
        <v>11080.91582841797</v>
      </c>
      <c r="N99" s="70">
        <f t="shared" ref="N99:N130" si="50">M99*(1-S99)</f>
        <v>8310.6868713134772</v>
      </c>
      <c r="O99" s="71">
        <v>0.05</v>
      </c>
      <c r="P99" s="86"/>
      <c r="Q99" s="51">
        <v>0</v>
      </c>
      <c r="R99" s="88" t="str">
        <f t="shared" si="42"/>
        <v/>
      </c>
      <c r="S99" s="6">
        <v>0.25</v>
      </c>
      <c r="T99" s="8">
        <f t="shared" si="37"/>
        <v>0</v>
      </c>
      <c r="U99" s="8" t="e">
        <f>#REF!</f>
        <v>#REF!</v>
      </c>
      <c r="V99" s="8"/>
      <c r="W99" s="8" t="e">
        <f t="shared" si="38"/>
        <v>#REF!</v>
      </c>
      <c r="X99" s="27"/>
      <c r="Y99" s="26" t="e">
        <f t="shared" si="43"/>
        <v>#REF!</v>
      </c>
      <c r="Z99" s="95"/>
      <c r="AA99" s="95"/>
      <c r="AB99" s="8">
        <f>'Business_172 PH Rd Budget'!$C$25</f>
        <v>2155.2899999999995</v>
      </c>
      <c r="AC99" s="8" t="e">
        <f t="shared" si="44"/>
        <v>#REF!</v>
      </c>
      <c r="AD99" s="8">
        <v>350000</v>
      </c>
      <c r="AE99" s="76" t="e">
        <f t="shared" ref="AE99:AE130" si="51">IF(AC99&lt;$C$8,0,AC99-AD99)</f>
        <v>#REF!</v>
      </c>
      <c r="AF99" s="8" t="e">
        <f t="shared" ref="AF99:AF130" si="52">AE99*(1+$C$7)-AE99</f>
        <v>#REF!</v>
      </c>
      <c r="AH99" s="7" t="e">
        <f t="shared" si="39"/>
        <v>#REF!</v>
      </c>
      <c r="AI99" s="79" t="e">
        <f t="shared" si="45"/>
        <v>#REF!</v>
      </c>
      <c r="AJ99" s="79" t="e">
        <f t="shared" si="46"/>
        <v>#REF!</v>
      </c>
      <c r="AK99" s="75" t="e">
        <f>PMT(#REF!,#REF!,-#REF!,0,0)</f>
        <v>#REF!</v>
      </c>
      <c r="AL99" s="75"/>
      <c r="AM99" s="7" t="e">
        <f>AJ99*(#REF!/12)</f>
        <v>#REF!</v>
      </c>
      <c r="AN99" s="7" t="e">
        <f t="shared" si="47"/>
        <v>#REF!</v>
      </c>
      <c r="AO99" s="75" t="e">
        <f t="shared" ref="AO99:AO130" si="53">AK99-AM99</f>
        <v>#REF!</v>
      </c>
      <c r="AP99" s="75" t="e">
        <f t="shared" si="48"/>
        <v>#REF!</v>
      </c>
      <c r="AQ99" s="7" t="e">
        <f t="shared" si="40"/>
        <v>#REF!</v>
      </c>
      <c r="AR99" s="41"/>
    </row>
    <row r="100" spans="10:44" x14ac:dyDescent="0.25">
      <c r="J100" s="5">
        <f t="shared" si="36"/>
        <v>37</v>
      </c>
      <c r="K100" s="5">
        <f t="shared" si="49"/>
        <v>2035</v>
      </c>
      <c r="L100" s="34" t="s">
        <v>33</v>
      </c>
      <c r="M100" s="70">
        <f t="shared" si="41"/>
        <v>11080.91582841797</v>
      </c>
      <c r="N100" s="70">
        <f t="shared" si="50"/>
        <v>8310.6868713134772</v>
      </c>
      <c r="O100" s="71"/>
      <c r="P100" s="86"/>
      <c r="Q100" s="51">
        <v>0</v>
      </c>
      <c r="R100" s="88" t="str">
        <f t="shared" si="42"/>
        <v/>
      </c>
      <c r="S100" s="6">
        <v>0.25</v>
      </c>
      <c r="T100" s="8">
        <f t="shared" si="37"/>
        <v>0</v>
      </c>
      <c r="U100" s="8" t="e">
        <f>#REF!</f>
        <v>#REF!</v>
      </c>
      <c r="V100" s="8"/>
      <c r="W100" s="8" t="e">
        <f t="shared" si="38"/>
        <v>#REF!</v>
      </c>
      <c r="X100" s="27"/>
      <c r="Y100" s="26" t="e">
        <f t="shared" si="43"/>
        <v>#REF!</v>
      </c>
      <c r="Z100" s="95"/>
      <c r="AA100" s="95"/>
      <c r="AB100" s="8">
        <f>'Business_172 PH Rd Budget'!$C$25</f>
        <v>2155.2899999999995</v>
      </c>
      <c r="AC100" s="8" t="e">
        <f t="shared" si="44"/>
        <v>#REF!</v>
      </c>
      <c r="AD100" s="8">
        <v>350000</v>
      </c>
      <c r="AE100" s="76" t="e">
        <f t="shared" si="51"/>
        <v>#REF!</v>
      </c>
      <c r="AF100" s="8" t="e">
        <f t="shared" si="52"/>
        <v>#REF!</v>
      </c>
      <c r="AH100" s="7" t="e">
        <f t="shared" ref="AH100:AH131" si="54">AH99*(1+$C$5)</f>
        <v>#REF!</v>
      </c>
      <c r="AI100" s="79" t="e">
        <f t="shared" si="45"/>
        <v>#REF!</v>
      </c>
      <c r="AJ100" s="79" t="e">
        <f t="shared" si="46"/>
        <v>#REF!</v>
      </c>
      <c r="AK100" s="75" t="e">
        <f>PMT(#REF!,#REF!,-#REF!,0,0)</f>
        <v>#REF!</v>
      </c>
      <c r="AL100" s="75"/>
      <c r="AM100" s="7" t="e">
        <f>AJ100*(#REF!/12)</f>
        <v>#REF!</v>
      </c>
      <c r="AN100" s="7" t="e">
        <f t="shared" si="47"/>
        <v>#REF!</v>
      </c>
      <c r="AO100" s="75" t="e">
        <f t="shared" si="53"/>
        <v>#REF!</v>
      </c>
      <c r="AP100" s="75" t="e">
        <f t="shared" si="48"/>
        <v>#REF!</v>
      </c>
      <c r="AQ100" s="7" t="e">
        <f t="shared" si="40"/>
        <v>#REF!</v>
      </c>
      <c r="AR100" s="41"/>
    </row>
    <row r="101" spans="10:44" x14ac:dyDescent="0.25">
      <c r="J101" s="5">
        <f t="shared" si="36"/>
        <v>37</v>
      </c>
      <c r="K101" s="5">
        <f t="shared" si="49"/>
        <v>2035</v>
      </c>
      <c r="L101" s="34" t="s">
        <v>36</v>
      </c>
      <c r="M101" s="70">
        <f t="shared" si="41"/>
        <v>11080.91582841797</v>
      </c>
      <c r="N101" s="70">
        <f t="shared" si="50"/>
        <v>8864.7326627343773</v>
      </c>
      <c r="O101" s="71"/>
      <c r="P101" s="86"/>
      <c r="Q101" s="51">
        <v>0</v>
      </c>
      <c r="R101" s="88" t="str">
        <f t="shared" si="42"/>
        <v/>
      </c>
      <c r="S101" s="6">
        <v>0.2</v>
      </c>
      <c r="T101" s="8">
        <f t="shared" si="37"/>
        <v>0</v>
      </c>
      <c r="U101" s="8" t="e">
        <f>#REF!</f>
        <v>#REF!</v>
      </c>
      <c r="V101" s="8"/>
      <c r="W101" s="8" t="e">
        <f t="shared" si="38"/>
        <v>#REF!</v>
      </c>
      <c r="X101" s="27"/>
      <c r="Y101" s="26" t="e">
        <f t="shared" si="43"/>
        <v>#REF!</v>
      </c>
      <c r="Z101" s="95"/>
      <c r="AA101" s="95"/>
      <c r="AB101" s="8">
        <f>'Business_172 PH Rd Budget'!$C$25</f>
        <v>2155.2899999999995</v>
      </c>
      <c r="AC101" s="8" t="e">
        <f t="shared" si="44"/>
        <v>#REF!</v>
      </c>
      <c r="AD101" s="8">
        <v>350000</v>
      </c>
      <c r="AE101" s="76" t="e">
        <f t="shared" si="51"/>
        <v>#REF!</v>
      </c>
      <c r="AF101" s="8" t="e">
        <f t="shared" si="52"/>
        <v>#REF!</v>
      </c>
      <c r="AH101" s="7" t="e">
        <f t="shared" si="54"/>
        <v>#REF!</v>
      </c>
      <c r="AI101" s="79" t="e">
        <f t="shared" si="45"/>
        <v>#REF!</v>
      </c>
      <c r="AJ101" s="79" t="e">
        <f t="shared" si="46"/>
        <v>#REF!</v>
      </c>
      <c r="AK101" s="75" t="e">
        <f>PMT(#REF!,#REF!,-#REF!,0,0)</f>
        <v>#REF!</v>
      </c>
      <c r="AL101" s="75"/>
      <c r="AM101" s="7" t="e">
        <f>AJ101*(#REF!/12)</f>
        <v>#REF!</v>
      </c>
      <c r="AN101" s="7" t="e">
        <f t="shared" si="47"/>
        <v>#REF!</v>
      </c>
      <c r="AO101" s="75" t="e">
        <f t="shared" si="53"/>
        <v>#REF!</v>
      </c>
      <c r="AP101" s="75" t="e">
        <f t="shared" si="48"/>
        <v>#REF!</v>
      </c>
      <c r="AQ101" s="7" t="e">
        <f t="shared" si="40"/>
        <v>#REF!</v>
      </c>
      <c r="AR101" s="41"/>
    </row>
    <row r="102" spans="10:44" x14ac:dyDescent="0.25">
      <c r="J102" s="5">
        <f t="shared" si="36"/>
        <v>37</v>
      </c>
      <c r="K102" s="5">
        <f t="shared" si="49"/>
        <v>2035</v>
      </c>
      <c r="L102" s="34" t="s">
        <v>38</v>
      </c>
      <c r="M102" s="70">
        <f t="shared" si="41"/>
        <v>11080.91582841797</v>
      </c>
      <c r="N102" s="70">
        <f t="shared" si="50"/>
        <v>9972.8242455761738</v>
      </c>
      <c r="O102" s="71"/>
      <c r="P102" s="86"/>
      <c r="Q102" s="51">
        <v>0</v>
      </c>
      <c r="R102" s="88" t="str">
        <f t="shared" si="42"/>
        <v/>
      </c>
      <c r="S102" s="6">
        <v>0.1</v>
      </c>
      <c r="T102" s="8">
        <f t="shared" si="37"/>
        <v>0</v>
      </c>
      <c r="U102" s="8" t="e">
        <f>#REF!</f>
        <v>#REF!</v>
      </c>
      <c r="V102" s="8"/>
      <c r="W102" s="8" t="e">
        <f t="shared" si="38"/>
        <v>#REF!</v>
      </c>
      <c r="X102" s="27"/>
      <c r="Y102" s="26" t="e">
        <f t="shared" si="43"/>
        <v>#REF!</v>
      </c>
      <c r="Z102" s="95"/>
      <c r="AA102" s="95"/>
      <c r="AB102" s="8">
        <f>'Business_172 PH Rd Budget'!$C$25</f>
        <v>2155.2899999999995</v>
      </c>
      <c r="AC102" s="8" t="e">
        <f t="shared" si="44"/>
        <v>#REF!</v>
      </c>
      <c r="AD102" s="8">
        <v>350000</v>
      </c>
      <c r="AE102" s="76" t="e">
        <f t="shared" si="51"/>
        <v>#REF!</v>
      </c>
      <c r="AF102" s="8" t="e">
        <f t="shared" si="52"/>
        <v>#REF!</v>
      </c>
      <c r="AH102" s="7" t="e">
        <f t="shared" si="54"/>
        <v>#REF!</v>
      </c>
      <c r="AI102" s="79" t="e">
        <f t="shared" si="45"/>
        <v>#REF!</v>
      </c>
      <c r="AJ102" s="79" t="e">
        <f t="shared" si="46"/>
        <v>#REF!</v>
      </c>
      <c r="AK102" s="75" t="e">
        <f>PMT(#REF!,#REF!,-#REF!,0,0)</f>
        <v>#REF!</v>
      </c>
      <c r="AL102" s="75"/>
      <c r="AM102" s="7" t="e">
        <f>AJ102*(#REF!/12)</f>
        <v>#REF!</v>
      </c>
      <c r="AN102" s="7" t="e">
        <f t="shared" si="47"/>
        <v>#REF!</v>
      </c>
      <c r="AO102" s="75" t="e">
        <f t="shared" si="53"/>
        <v>#REF!</v>
      </c>
      <c r="AP102" s="75" t="e">
        <f t="shared" si="48"/>
        <v>#REF!</v>
      </c>
      <c r="AQ102" s="7" t="e">
        <f t="shared" si="40"/>
        <v>#REF!</v>
      </c>
      <c r="AR102" s="41"/>
    </row>
    <row r="103" spans="10:44" x14ac:dyDescent="0.25">
      <c r="J103" s="5">
        <f t="shared" si="36"/>
        <v>37</v>
      </c>
      <c r="K103" s="5">
        <f t="shared" si="49"/>
        <v>2035</v>
      </c>
      <c r="L103" s="34" t="s">
        <v>40</v>
      </c>
      <c r="M103" s="70">
        <f t="shared" si="41"/>
        <v>11080.91582841797</v>
      </c>
      <c r="N103" s="70">
        <f t="shared" si="50"/>
        <v>11080.91582841797</v>
      </c>
      <c r="O103" s="71"/>
      <c r="P103" s="86">
        <v>4</v>
      </c>
      <c r="Q103" s="51">
        <v>2</v>
      </c>
      <c r="R103" s="88">
        <f t="shared" si="42"/>
        <v>0.5</v>
      </c>
      <c r="S103" s="6">
        <v>0</v>
      </c>
      <c r="T103" s="8">
        <f t="shared" si="37"/>
        <v>22161.831656835941</v>
      </c>
      <c r="U103" s="8" t="e">
        <f>#REF!</f>
        <v>#REF!</v>
      </c>
      <c r="V103" s="8"/>
      <c r="W103" s="8" t="e">
        <f t="shared" si="38"/>
        <v>#REF!</v>
      </c>
      <c r="X103" s="27"/>
      <c r="Y103" s="26" t="e">
        <f t="shared" si="43"/>
        <v>#REF!</v>
      </c>
      <c r="Z103" s="95"/>
      <c r="AA103" s="95"/>
      <c r="AB103" s="8">
        <f>'Business_172 PH Rd Budget'!$C$25</f>
        <v>2155.2899999999995</v>
      </c>
      <c r="AC103" s="8" t="e">
        <f t="shared" si="44"/>
        <v>#REF!</v>
      </c>
      <c r="AD103" s="8">
        <v>350000</v>
      </c>
      <c r="AE103" s="76" t="e">
        <f t="shared" si="51"/>
        <v>#REF!</v>
      </c>
      <c r="AF103" s="8" t="e">
        <f t="shared" si="52"/>
        <v>#REF!</v>
      </c>
      <c r="AH103" s="7" t="e">
        <f t="shared" si="54"/>
        <v>#REF!</v>
      </c>
      <c r="AI103" s="79" t="e">
        <f t="shared" si="45"/>
        <v>#REF!</v>
      </c>
      <c r="AJ103" s="79" t="e">
        <f t="shared" si="46"/>
        <v>#REF!</v>
      </c>
      <c r="AK103" s="75" t="e">
        <f>PMT(#REF!,#REF!,-#REF!,0,0)</f>
        <v>#REF!</v>
      </c>
      <c r="AL103" s="75"/>
      <c r="AM103" s="7" t="e">
        <f>AJ103*(#REF!/12)</f>
        <v>#REF!</v>
      </c>
      <c r="AN103" s="7" t="e">
        <f t="shared" si="47"/>
        <v>#REF!</v>
      </c>
      <c r="AO103" s="75" t="e">
        <f t="shared" si="53"/>
        <v>#REF!</v>
      </c>
      <c r="AP103" s="75" t="e">
        <f t="shared" si="48"/>
        <v>#REF!</v>
      </c>
      <c r="AQ103" s="7" t="e">
        <f t="shared" si="40"/>
        <v>#REF!</v>
      </c>
      <c r="AR103" s="41"/>
    </row>
    <row r="104" spans="10:44" x14ac:dyDescent="0.25">
      <c r="J104" s="5">
        <f t="shared" si="36"/>
        <v>37</v>
      </c>
      <c r="K104" s="5">
        <f t="shared" si="49"/>
        <v>2035</v>
      </c>
      <c r="L104" s="34" t="s">
        <v>42</v>
      </c>
      <c r="M104" s="70">
        <f t="shared" si="41"/>
        <v>11080.91582841797</v>
      </c>
      <c r="N104" s="70">
        <f t="shared" si="50"/>
        <v>11080.91582841797</v>
      </c>
      <c r="O104" s="71"/>
      <c r="P104" s="86">
        <v>4</v>
      </c>
      <c r="Q104" s="51">
        <v>4</v>
      </c>
      <c r="R104" s="88">
        <f t="shared" si="42"/>
        <v>1</v>
      </c>
      <c r="S104" s="6">
        <v>0</v>
      </c>
      <c r="T104" s="8">
        <f t="shared" si="37"/>
        <v>44323.663313671881</v>
      </c>
      <c r="U104" s="8" t="e">
        <f>#REF!</f>
        <v>#REF!</v>
      </c>
      <c r="V104" s="8"/>
      <c r="W104" s="8" t="e">
        <f t="shared" si="38"/>
        <v>#REF!</v>
      </c>
      <c r="X104" s="27"/>
      <c r="Y104" s="26" t="e">
        <f t="shared" si="43"/>
        <v>#REF!</v>
      </c>
      <c r="Z104" s="95"/>
      <c r="AA104" s="95"/>
      <c r="AB104" s="8">
        <f>'Business_172 PH Rd Budget'!$C$25</f>
        <v>2155.2899999999995</v>
      </c>
      <c r="AC104" s="8" t="e">
        <f t="shared" si="44"/>
        <v>#REF!</v>
      </c>
      <c r="AD104" s="8">
        <v>350000</v>
      </c>
      <c r="AE104" s="76" t="e">
        <f t="shared" si="51"/>
        <v>#REF!</v>
      </c>
      <c r="AF104" s="8" t="e">
        <f t="shared" si="52"/>
        <v>#REF!</v>
      </c>
      <c r="AH104" s="7" t="e">
        <f t="shared" si="54"/>
        <v>#REF!</v>
      </c>
      <c r="AI104" s="79" t="e">
        <f t="shared" si="45"/>
        <v>#REF!</v>
      </c>
      <c r="AJ104" s="79" t="e">
        <f t="shared" si="46"/>
        <v>#REF!</v>
      </c>
      <c r="AK104" s="75" t="e">
        <f>PMT(#REF!,#REF!,-#REF!,0,0)</f>
        <v>#REF!</v>
      </c>
      <c r="AL104" s="75"/>
      <c r="AM104" s="7" t="e">
        <f>AJ104*(#REF!/12)</f>
        <v>#REF!</v>
      </c>
      <c r="AN104" s="7" t="e">
        <f t="shared" si="47"/>
        <v>#REF!</v>
      </c>
      <c r="AO104" s="75" t="e">
        <f t="shared" si="53"/>
        <v>#REF!</v>
      </c>
      <c r="AP104" s="75" t="e">
        <f t="shared" si="48"/>
        <v>#REF!</v>
      </c>
      <c r="AQ104" s="7" t="e">
        <f t="shared" si="40"/>
        <v>#REF!</v>
      </c>
      <c r="AR104" s="41"/>
    </row>
    <row r="105" spans="10:44" x14ac:dyDescent="0.25">
      <c r="J105" s="5">
        <f t="shared" si="36"/>
        <v>37</v>
      </c>
      <c r="K105" s="5">
        <f t="shared" si="49"/>
        <v>2035</v>
      </c>
      <c r="L105" s="34" t="s">
        <v>44</v>
      </c>
      <c r="M105" s="70">
        <f t="shared" si="41"/>
        <v>11080.91582841797</v>
      </c>
      <c r="N105" s="70">
        <f t="shared" si="50"/>
        <v>11080.91582841797</v>
      </c>
      <c r="O105" s="71"/>
      <c r="P105" s="86">
        <v>5</v>
      </c>
      <c r="Q105" s="51">
        <v>4</v>
      </c>
      <c r="R105" s="88">
        <f t="shared" si="42"/>
        <v>0.8</v>
      </c>
      <c r="S105" s="6">
        <v>0</v>
      </c>
      <c r="T105" s="8">
        <f t="shared" si="37"/>
        <v>44323.663313671881</v>
      </c>
      <c r="U105" s="8" t="e">
        <f>#REF!</f>
        <v>#REF!</v>
      </c>
      <c r="V105" s="8"/>
      <c r="W105" s="8" t="e">
        <f t="shared" si="38"/>
        <v>#REF!</v>
      </c>
      <c r="X105" s="27"/>
      <c r="Y105" s="26" t="e">
        <f t="shared" si="43"/>
        <v>#REF!</v>
      </c>
      <c r="Z105" s="95"/>
      <c r="AA105" s="95"/>
      <c r="AB105" s="8">
        <f>'Business_172 PH Rd Budget'!$C$25</f>
        <v>2155.2899999999995</v>
      </c>
      <c r="AC105" s="8" t="e">
        <f t="shared" si="44"/>
        <v>#REF!</v>
      </c>
      <c r="AD105" s="8">
        <v>350000</v>
      </c>
      <c r="AE105" s="76" t="e">
        <f t="shared" si="51"/>
        <v>#REF!</v>
      </c>
      <c r="AF105" s="8" t="e">
        <f t="shared" si="52"/>
        <v>#REF!</v>
      </c>
      <c r="AH105" s="7" t="e">
        <f t="shared" si="54"/>
        <v>#REF!</v>
      </c>
      <c r="AI105" s="79" t="e">
        <f t="shared" si="45"/>
        <v>#REF!</v>
      </c>
      <c r="AJ105" s="79" t="e">
        <f t="shared" si="46"/>
        <v>#REF!</v>
      </c>
      <c r="AK105" s="75" t="e">
        <f>PMT(#REF!,#REF!,-#REF!,0,0)</f>
        <v>#REF!</v>
      </c>
      <c r="AL105" s="75"/>
      <c r="AM105" s="7" t="e">
        <f>AJ105*(#REF!/12)</f>
        <v>#REF!</v>
      </c>
      <c r="AN105" s="7" t="e">
        <f t="shared" si="47"/>
        <v>#REF!</v>
      </c>
      <c r="AO105" s="75" t="e">
        <f t="shared" si="53"/>
        <v>#REF!</v>
      </c>
      <c r="AP105" s="75" t="e">
        <f t="shared" si="48"/>
        <v>#REF!</v>
      </c>
      <c r="AQ105" s="7" t="e">
        <f t="shared" si="40"/>
        <v>#REF!</v>
      </c>
      <c r="AR105" s="41"/>
    </row>
    <row r="106" spans="10:44" x14ac:dyDescent="0.25">
      <c r="J106" s="5">
        <f t="shared" si="36"/>
        <v>37</v>
      </c>
      <c r="K106" s="5">
        <f t="shared" si="49"/>
        <v>2035</v>
      </c>
      <c r="L106" s="34" t="s">
        <v>47</v>
      </c>
      <c r="M106" s="70">
        <f t="shared" si="41"/>
        <v>11080.91582841797</v>
      </c>
      <c r="N106" s="70">
        <f t="shared" si="50"/>
        <v>11080.91582841797</v>
      </c>
      <c r="O106" s="71"/>
      <c r="P106" s="86">
        <v>4</v>
      </c>
      <c r="Q106" s="51">
        <v>4</v>
      </c>
      <c r="R106" s="88">
        <f t="shared" si="42"/>
        <v>1</v>
      </c>
      <c r="S106" s="6">
        <v>0</v>
      </c>
      <c r="T106" s="8">
        <f t="shared" si="37"/>
        <v>44323.663313671881</v>
      </c>
      <c r="U106" s="8" t="e">
        <f>#REF!</f>
        <v>#REF!</v>
      </c>
      <c r="V106" s="8"/>
      <c r="W106" s="8" t="e">
        <f t="shared" si="38"/>
        <v>#REF!</v>
      </c>
      <c r="X106" s="27"/>
      <c r="Y106" s="26" t="e">
        <f t="shared" si="43"/>
        <v>#REF!</v>
      </c>
      <c r="Z106" s="95"/>
      <c r="AA106" s="95"/>
      <c r="AB106" s="8">
        <f>'Business_172 PH Rd Budget'!$C$25</f>
        <v>2155.2899999999995</v>
      </c>
      <c r="AC106" s="8" t="e">
        <f t="shared" si="44"/>
        <v>#REF!</v>
      </c>
      <c r="AD106" s="8">
        <v>350000</v>
      </c>
      <c r="AE106" s="76" t="e">
        <f t="shared" si="51"/>
        <v>#REF!</v>
      </c>
      <c r="AF106" s="8" t="e">
        <f t="shared" si="52"/>
        <v>#REF!</v>
      </c>
      <c r="AH106" s="7" t="e">
        <f t="shared" si="54"/>
        <v>#REF!</v>
      </c>
      <c r="AI106" s="79" t="e">
        <f t="shared" si="45"/>
        <v>#REF!</v>
      </c>
      <c r="AJ106" s="79" t="e">
        <f t="shared" si="46"/>
        <v>#REF!</v>
      </c>
      <c r="AK106" s="75" t="e">
        <f>PMT(#REF!,#REF!,-#REF!,0,0)</f>
        <v>#REF!</v>
      </c>
      <c r="AL106" s="75"/>
      <c r="AM106" s="7" t="e">
        <f>AJ106*(#REF!/12)</f>
        <v>#REF!</v>
      </c>
      <c r="AN106" s="7" t="e">
        <f t="shared" si="47"/>
        <v>#REF!</v>
      </c>
      <c r="AO106" s="75" t="e">
        <f t="shared" si="53"/>
        <v>#REF!</v>
      </c>
      <c r="AP106" s="75" t="e">
        <f t="shared" si="48"/>
        <v>#REF!</v>
      </c>
      <c r="AQ106" s="7" t="e">
        <f t="shared" si="40"/>
        <v>#REF!</v>
      </c>
      <c r="AR106" s="41"/>
    </row>
    <row r="107" spans="10:44" x14ac:dyDescent="0.25">
      <c r="J107" s="5">
        <f t="shared" si="36"/>
        <v>37</v>
      </c>
      <c r="K107" s="5">
        <f t="shared" si="49"/>
        <v>2035</v>
      </c>
      <c r="L107" s="34" t="s">
        <v>49</v>
      </c>
      <c r="M107" s="70">
        <f t="shared" si="41"/>
        <v>11080.91582841797</v>
      </c>
      <c r="N107" s="70">
        <f t="shared" si="50"/>
        <v>11080.91582841797</v>
      </c>
      <c r="O107" s="71"/>
      <c r="P107" s="86">
        <v>5</v>
      </c>
      <c r="Q107" s="44">
        <v>4</v>
      </c>
      <c r="R107" s="88">
        <f t="shared" si="42"/>
        <v>0.8</v>
      </c>
      <c r="S107" s="6">
        <v>0</v>
      </c>
      <c r="T107" s="8">
        <f t="shared" si="37"/>
        <v>44323.663313671881</v>
      </c>
      <c r="U107" s="8" t="e">
        <f>#REF!</f>
        <v>#REF!</v>
      </c>
      <c r="V107" s="8"/>
      <c r="W107" s="8" t="e">
        <f t="shared" si="38"/>
        <v>#REF!</v>
      </c>
      <c r="X107" s="27"/>
      <c r="Y107" s="26" t="e">
        <f t="shared" si="43"/>
        <v>#REF!</v>
      </c>
      <c r="Z107" s="95"/>
      <c r="AA107" s="95"/>
      <c r="AB107" s="8">
        <f>'Business_172 PH Rd Budget'!$C$25</f>
        <v>2155.2899999999995</v>
      </c>
      <c r="AC107" s="8" t="e">
        <f t="shared" si="44"/>
        <v>#REF!</v>
      </c>
      <c r="AD107" s="8">
        <v>350000</v>
      </c>
      <c r="AE107" s="76" t="e">
        <f t="shared" si="51"/>
        <v>#REF!</v>
      </c>
      <c r="AF107" s="8" t="e">
        <f t="shared" si="52"/>
        <v>#REF!</v>
      </c>
      <c r="AH107" s="7" t="e">
        <f t="shared" si="54"/>
        <v>#REF!</v>
      </c>
      <c r="AI107" s="79" t="e">
        <f t="shared" si="45"/>
        <v>#REF!</v>
      </c>
      <c r="AJ107" s="79" t="e">
        <f t="shared" si="46"/>
        <v>#REF!</v>
      </c>
      <c r="AK107" s="75" t="e">
        <f>PMT(#REF!,#REF!,-#REF!,0,0)</f>
        <v>#REF!</v>
      </c>
      <c r="AL107" s="75"/>
      <c r="AM107" s="7" t="e">
        <f>AJ107*(#REF!/12)</f>
        <v>#REF!</v>
      </c>
      <c r="AN107" s="7" t="e">
        <f t="shared" si="47"/>
        <v>#REF!</v>
      </c>
      <c r="AO107" s="75" t="e">
        <f t="shared" si="53"/>
        <v>#REF!</v>
      </c>
      <c r="AP107" s="75" t="e">
        <f t="shared" si="48"/>
        <v>#REF!</v>
      </c>
      <c r="AQ107" s="7" t="e">
        <f t="shared" si="40"/>
        <v>#REF!</v>
      </c>
      <c r="AR107" s="41"/>
    </row>
    <row r="108" spans="10:44" x14ac:dyDescent="0.25">
      <c r="J108" s="5">
        <f t="shared" si="36"/>
        <v>37</v>
      </c>
      <c r="K108" s="5">
        <f t="shared" si="49"/>
        <v>2035</v>
      </c>
      <c r="L108" s="34" t="s">
        <v>51</v>
      </c>
      <c r="M108" s="70">
        <f t="shared" si="41"/>
        <v>11080.91582841797</v>
      </c>
      <c r="N108" s="70">
        <f t="shared" si="50"/>
        <v>11080.91582841797</v>
      </c>
      <c r="O108" s="71"/>
      <c r="P108" s="86">
        <v>4</v>
      </c>
      <c r="Q108" s="44">
        <v>4</v>
      </c>
      <c r="R108" s="88">
        <f t="shared" si="42"/>
        <v>1</v>
      </c>
      <c r="S108" s="6">
        <v>0</v>
      </c>
      <c r="T108" s="8">
        <f t="shared" si="37"/>
        <v>44323.663313671881</v>
      </c>
      <c r="U108" s="8" t="e">
        <f>#REF!</f>
        <v>#REF!</v>
      </c>
      <c r="V108" s="8"/>
      <c r="W108" s="8" t="e">
        <f t="shared" si="38"/>
        <v>#REF!</v>
      </c>
      <c r="X108" s="27"/>
      <c r="Y108" s="26" t="e">
        <f t="shared" si="43"/>
        <v>#REF!</v>
      </c>
      <c r="Z108" s="95"/>
      <c r="AA108" s="95"/>
      <c r="AB108" s="8">
        <f>'Business_172 PH Rd Budget'!$C$25</f>
        <v>2155.2899999999995</v>
      </c>
      <c r="AC108" s="8" t="e">
        <f t="shared" si="44"/>
        <v>#REF!</v>
      </c>
      <c r="AD108" s="8">
        <v>350000</v>
      </c>
      <c r="AE108" s="76" t="e">
        <f t="shared" si="51"/>
        <v>#REF!</v>
      </c>
      <c r="AF108" s="8" t="e">
        <f t="shared" si="52"/>
        <v>#REF!</v>
      </c>
      <c r="AH108" s="7" t="e">
        <f t="shared" si="54"/>
        <v>#REF!</v>
      </c>
      <c r="AI108" s="79" t="e">
        <f t="shared" si="45"/>
        <v>#REF!</v>
      </c>
      <c r="AJ108" s="79" t="e">
        <f t="shared" si="46"/>
        <v>#REF!</v>
      </c>
      <c r="AK108" s="75" t="e">
        <f>PMT(#REF!,#REF!,-#REF!,0,0)</f>
        <v>#REF!</v>
      </c>
      <c r="AL108" s="75"/>
      <c r="AM108" s="7" t="e">
        <f>AJ108*(#REF!/12)</f>
        <v>#REF!</v>
      </c>
      <c r="AN108" s="7" t="e">
        <f t="shared" si="47"/>
        <v>#REF!</v>
      </c>
      <c r="AO108" s="75" t="e">
        <f t="shared" si="53"/>
        <v>#REF!</v>
      </c>
      <c r="AP108" s="75" t="e">
        <f t="shared" si="48"/>
        <v>#REF!</v>
      </c>
      <c r="AQ108" s="7" t="e">
        <f t="shared" si="40"/>
        <v>#REF!</v>
      </c>
      <c r="AR108" s="41"/>
    </row>
    <row r="109" spans="10:44" x14ac:dyDescent="0.25">
      <c r="J109" s="5">
        <f t="shared" si="36"/>
        <v>37</v>
      </c>
      <c r="K109" s="5">
        <f t="shared" si="49"/>
        <v>2035</v>
      </c>
      <c r="L109" s="34" t="s">
        <v>53</v>
      </c>
      <c r="M109" s="70">
        <f t="shared" si="41"/>
        <v>11080.91582841797</v>
      </c>
      <c r="N109" s="70">
        <f t="shared" si="50"/>
        <v>9972.8242455761738</v>
      </c>
      <c r="O109" s="71"/>
      <c r="P109" s="87"/>
      <c r="Q109" s="68">
        <v>0</v>
      </c>
      <c r="R109" s="88" t="str">
        <f t="shared" si="42"/>
        <v/>
      </c>
      <c r="S109" s="69">
        <v>0.1</v>
      </c>
      <c r="T109" s="8">
        <f t="shared" si="37"/>
        <v>0</v>
      </c>
      <c r="U109" s="8" t="e">
        <f>#REF!</f>
        <v>#REF!</v>
      </c>
      <c r="V109" s="8"/>
      <c r="W109" s="8" t="e">
        <f t="shared" si="38"/>
        <v>#REF!</v>
      </c>
      <c r="X109" s="27"/>
      <c r="Y109" s="26" t="e">
        <f t="shared" si="43"/>
        <v>#REF!</v>
      </c>
      <c r="Z109" s="95"/>
      <c r="AA109" s="95"/>
      <c r="AB109" s="8">
        <f>'Business_172 PH Rd Budget'!$C$25</f>
        <v>2155.2899999999995</v>
      </c>
      <c r="AC109" s="8" t="e">
        <f t="shared" si="44"/>
        <v>#REF!</v>
      </c>
      <c r="AD109" s="8">
        <v>350000</v>
      </c>
      <c r="AE109" s="76" t="e">
        <f t="shared" si="51"/>
        <v>#REF!</v>
      </c>
      <c r="AF109" s="8" t="e">
        <f t="shared" si="52"/>
        <v>#REF!</v>
      </c>
      <c r="AH109" s="7" t="e">
        <f t="shared" si="54"/>
        <v>#REF!</v>
      </c>
      <c r="AI109" s="79" t="e">
        <f t="shared" si="45"/>
        <v>#REF!</v>
      </c>
      <c r="AJ109" s="79" t="e">
        <f t="shared" si="46"/>
        <v>#REF!</v>
      </c>
      <c r="AK109" s="75" t="e">
        <f>PMT(#REF!,#REF!,-#REF!,0,0)</f>
        <v>#REF!</v>
      </c>
      <c r="AL109" s="75"/>
      <c r="AM109" s="7" t="e">
        <f>AJ109*(#REF!/12)</f>
        <v>#REF!</v>
      </c>
      <c r="AN109" s="7" t="e">
        <f t="shared" si="47"/>
        <v>#REF!</v>
      </c>
      <c r="AO109" s="75" t="e">
        <f t="shared" si="53"/>
        <v>#REF!</v>
      </c>
      <c r="AP109" s="75" t="e">
        <f t="shared" si="48"/>
        <v>#REF!</v>
      </c>
      <c r="AQ109" s="7" t="e">
        <f t="shared" si="40"/>
        <v>#REF!</v>
      </c>
      <c r="AR109" s="41"/>
    </row>
    <row r="110" spans="10:44" x14ac:dyDescent="0.25">
      <c r="J110" s="5">
        <f t="shared" si="36"/>
        <v>37</v>
      </c>
      <c r="K110" s="5">
        <f t="shared" si="49"/>
        <v>2035</v>
      </c>
      <c r="L110" s="34" t="s">
        <v>55</v>
      </c>
      <c r="M110" s="70">
        <f t="shared" si="41"/>
        <v>11080.91582841797</v>
      </c>
      <c r="N110" s="70">
        <f t="shared" si="50"/>
        <v>8864.7326627343773</v>
      </c>
      <c r="O110" s="71"/>
      <c r="P110" s="86"/>
      <c r="Q110" s="51">
        <v>0</v>
      </c>
      <c r="R110" s="88" t="str">
        <f t="shared" si="42"/>
        <v/>
      </c>
      <c r="S110" s="6">
        <v>0.2</v>
      </c>
      <c r="T110" s="8">
        <f t="shared" si="37"/>
        <v>0</v>
      </c>
      <c r="U110" s="8" t="e">
        <f>#REF!</f>
        <v>#REF!</v>
      </c>
      <c r="V110" s="8"/>
      <c r="W110" s="8" t="e">
        <f t="shared" si="38"/>
        <v>#REF!</v>
      </c>
      <c r="X110" s="27"/>
      <c r="Y110" s="26" t="e">
        <f t="shared" si="43"/>
        <v>#REF!</v>
      </c>
      <c r="Z110" s="95"/>
      <c r="AA110" s="95"/>
      <c r="AB110" s="8">
        <f>'Business_172 PH Rd Budget'!$C$25</f>
        <v>2155.2899999999995</v>
      </c>
      <c r="AC110" s="8" t="e">
        <f t="shared" si="44"/>
        <v>#REF!</v>
      </c>
      <c r="AD110" s="8">
        <v>350000</v>
      </c>
      <c r="AE110" s="76" t="e">
        <f t="shared" si="51"/>
        <v>#REF!</v>
      </c>
      <c r="AF110" s="8" t="e">
        <f t="shared" si="52"/>
        <v>#REF!</v>
      </c>
      <c r="AH110" s="7" t="e">
        <f t="shared" si="54"/>
        <v>#REF!</v>
      </c>
      <c r="AI110" s="79" t="e">
        <f t="shared" si="45"/>
        <v>#REF!</v>
      </c>
      <c r="AJ110" s="79" t="e">
        <f t="shared" si="46"/>
        <v>#REF!</v>
      </c>
      <c r="AK110" s="75" t="e">
        <f>PMT(#REF!,#REF!,-#REF!,0,0)</f>
        <v>#REF!</v>
      </c>
      <c r="AL110" s="75"/>
      <c r="AM110" s="7" t="e">
        <f>AJ110*(#REF!/12)</f>
        <v>#REF!</v>
      </c>
      <c r="AN110" s="7" t="e">
        <f t="shared" si="47"/>
        <v>#REF!</v>
      </c>
      <c r="AO110" s="75" t="e">
        <f t="shared" si="53"/>
        <v>#REF!</v>
      </c>
      <c r="AP110" s="75" t="e">
        <f t="shared" si="48"/>
        <v>#REF!</v>
      </c>
      <c r="AQ110" s="7" t="e">
        <f t="shared" si="40"/>
        <v>#REF!</v>
      </c>
      <c r="AR110" s="41"/>
    </row>
    <row r="111" spans="10:44" x14ac:dyDescent="0.25">
      <c r="J111" s="5">
        <f t="shared" si="36"/>
        <v>38</v>
      </c>
      <c r="K111" s="5">
        <f t="shared" si="49"/>
        <v>2036</v>
      </c>
      <c r="L111" s="34" t="s">
        <v>31</v>
      </c>
      <c r="M111" s="70">
        <f t="shared" si="41"/>
        <v>11634.961619838869</v>
      </c>
      <c r="N111" s="70">
        <f t="shared" si="50"/>
        <v>8726.2212148791514</v>
      </c>
      <c r="O111" s="71">
        <v>0.05</v>
      </c>
      <c r="P111" s="86"/>
      <c r="Q111" s="51">
        <v>0</v>
      </c>
      <c r="R111" s="88" t="str">
        <f t="shared" si="42"/>
        <v/>
      </c>
      <c r="S111" s="6">
        <v>0.25</v>
      </c>
      <c r="T111" s="8">
        <f t="shared" si="37"/>
        <v>0</v>
      </c>
      <c r="U111" s="8" t="e">
        <f>#REF!</f>
        <v>#REF!</v>
      </c>
      <c r="V111" s="8"/>
      <c r="W111" s="8" t="e">
        <f t="shared" si="38"/>
        <v>#REF!</v>
      </c>
      <c r="X111" s="27"/>
      <c r="Y111" s="26" t="e">
        <f t="shared" si="43"/>
        <v>#REF!</v>
      </c>
      <c r="Z111" s="95"/>
      <c r="AA111" s="95"/>
      <c r="AB111" s="8">
        <f>'Business_172 PH Rd Budget'!$C$25</f>
        <v>2155.2899999999995</v>
      </c>
      <c r="AC111" s="8" t="e">
        <f t="shared" si="44"/>
        <v>#REF!</v>
      </c>
      <c r="AD111" s="8">
        <v>350000</v>
      </c>
      <c r="AE111" s="76" t="e">
        <f t="shared" si="51"/>
        <v>#REF!</v>
      </c>
      <c r="AF111" s="8" t="e">
        <f t="shared" si="52"/>
        <v>#REF!</v>
      </c>
      <c r="AH111" s="7" t="e">
        <f t="shared" si="54"/>
        <v>#REF!</v>
      </c>
      <c r="AI111" s="79" t="e">
        <f t="shared" si="45"/>
        <v>#REF!</v>
      </c>
      <c r="AJ111" s="79" t="e">
        <f t="shared" si="46"/>
        <v>#REF!</v>
      </c>
      <c r="AK111" s="75" t="e">
        <f>PMT(#REF!,#REF!,-#REF!,0,0)</f>
        <v>#REF!</v>
      </c>
      <c r="AL111" s="75"/>
      <c r="AM111" s="7" t="e">
        <f>AJ111*(#REF!/12)</f>
        <v>#REF!</v>
      </c>
      <c r="AN111" s="7" t="e">
        <f t="shared" si="47"/>
        <v>#REF!</v>
      </c>
      <c r="AO111" s="75" t="e">
        <f t="shared" si="53"/>
        <v>#REF!</v>
      </c>
      <c r="AP111" s="75" t="e">
        <f t="shared" si="48"/>
        <v>#REF!</v>
      </c>
      <c r="AQ111" s="7" t="e">
        <f t="shared" si="40"/>
        <v>#REF!</v>
      </c>
      <c r="AR111" s="41"/>
    </row>
    <row r="112" spans="10:44" x14ac:dyDescent="0.25">
      <c r="J112" s="5">
        <f t="shared" si="36"/>
        <v>38</v>
      </c>
      <c r="K112" s="5">
        <f t="shared" si="49"/>
        <v>2036</v>
      </c>
      <c r="L112" s="34" t="s">
        <v>33</v>
      </c>
      <c r="M112" s="70">
        <f t="shared" si="41"/>
        <v>11634.961619838869</v>
      </c>
      <c r="N112" s="70">
        <f t="shared" si="50"/>
        <v>8726.2212148791514</v>
      </c>
      <c r="O112" s="71"/>
      <c r="P112" s="86"/>
      <c r="Q112" s="51">
        <v>0</v>
      </c>
      <c r="R112" s="88" t="str">
        <f t="shared" si="42"/>
        <v/>
      </c>
      <c r="S112" s="6">
        <v>0.25</v>
      </c>
      <c r="T112" s="8">
        <f t="shared" si="37"/>
        <v>0</v>
      </c>
      <c r="U112" s="8" t="e">
        <f>#REF!</f>
        <v>#REF!</v>
      </c>
      <c r="V112" s="8"/>
      <c r="W112" s="8" t="e">
        <f t="shared" si="38"/>
        <v>#REF!</v>
      </c>
      <c r="X112" s="27"/>
      <c r="Y112" s="26" t="e">
        <f t="shared" si="43"/>
        <v>#REF!</v>
      </c>
      <c r="Z112" s="95"/>
      <c r="AA112" s="95"/>
      <c r="AB112" s="8">
        <f>'Business_172 PH Rd Budget'!$C$25</f>
        <v>2155.2899999999995</v>
      </c>
      <c r="AC112" s="8" t="e">
        <f t="shared" si="44"/>
        <v>#REF!</v>
      </c>
      <c r="AD112" s="8">
        <v>350000</v>
      </c>
      <c r="AE112" s="76" t="e">
        <f t="shared" si="51"/>
        <v>#REF!</v>
      </c>
      <c r="AF112" s="8" t="e">
        <f t="shared" si="52"/>
        <v>#REF!</v>
      </c>
      <c r="AH112" s="7" t="e">
        <f t="shared" si="54"/>
        <v>#REF!</v>
      </c>
      <c r="AI112" s="79" t="e">
        <f t="shared" si="45"/>
        <v>#REF!</v>
      </c>
      <c r="AJ112" s="79" t="e">
        <f t="shared" si="46"/>
        <v>#REF!</v>
      </c>
      <c r="AK112" s="75" t="e">
        <f>PMT(#REF!,#REF!,-#REF!,0,0)</f>
        <v>#REF!</v>
      </c>
      <c r="AL112" s="75"/>
      <c r="AM112" s="7" t="e">
        <f>AJ112*(#REF!/12)</f>
        <v>#REF!</v>
      </c>
      <c r="AN112" s="7" t="e">
        <f t="shared" si="47"/>
        <v>#REF!</v>
      </c>
      <c r="AO112" s="75" t="e">
        <f t="shared" si="53"/>
        <v>#REF!</v>
      </c>
      <c r="AP112" s="75" t="e">
        <f t="shared" si="48"/>
        <v>#REF!</v>
      </c>
      <c r="AQ112" s="7" t="e">
        <f t="shared" si="40"/>
        <v>#REF!</v>
      </c>
      <c r="AR112" s="41"/>
    </row>
    <row r="113" spans="10:44" x14ac:dyDescent="0.25">
      <c r="J113" s="5">
        <f t="shared" si="36"/>
        <v>38</v>
      </c>
      <c r="K113" s="5">
        <f t="shared" si="49"/>
        <v>2036</v>
      </c>
      <c r="L113" s="34" t="s">
        <v>36</v>
      </c>
      <c r="M113" s="70">
        <f t="shared" si="41"/>
        <v>11634.961619838869</v>
      </c>
      <c r="N113" s="70">
        <f t="shared" si="50"/>
        <v>9307.9692958710948</v>
      </c>
      <c r="O113" s="71"/>
      <c r="P113" s="86"/>
      <c r="Q113" s="51">
        <v>0</v>
      </c>
      <c r="R113" s="88" t="str">
        <f t="shared" si="42"/>
        <v/>
      </c>
      <c r="S113" s="6">
        <v>0.2</v>
      </c>
      <c r="T113" s="8">
        <f t="shared" si="37"/>
        <v>0</v>
      </c>
      <c r="U113" s="8" t="e">
        <f>#REF!</f>
        <v>#REF!</v>
      </c>
      <c r="V113" s="8"/>
      <c r="W113" s="8" t="e">
        <f t="shared" si="38"/>
        <v>#REF!</v>
      </c>
      <c r="X113" s="27"/>
      <c r="Y113" s="26" t="e">
        <f t="shared" si="43"/>
        <v>#REF!</v>
      </c>
      <c r="Z113" s="95"/>
      <c r="AA113" s="95"/>
      <c r="AB113" s="8">
        <f>'Business_172 PH Rd Budget'!$C$25</f>
        <v>2155.2899999999995</v>
      </c>
      <c r="AC113" s="8" t="e">
        <f t="shared" si="44"/>
        <v>#REF!</v>
      </c>
      <c r="AD113" s="8">
        <v>350000</v>
      </c>
      <c r="AE113" s="76" t="e">
        <f t="shared" si="51"/>
        <v>#REF!</v>
      </c>
      <c r="AF113" s="8" t="e">
        <f t="shared" si="52"/>
        <v>#REF!</v>
      </c>
      <c r="AH113" s="7" t="e">
        <f t="shared" si="54"/>
        <v>#REF!</v>
      </c>
      <c r="AI113" s="79" t="e">
        <f t="shared" si="45"/>
        <v>#REF!</v>
      </c>
      <c r="AJ113" s="79" t="e">
        <f t="shared" si="46"/>
        <v>#REF!</v>
      </c>
      <c r="AK113" s="75" t="e">
        <f>PMT(#REF!,#REF!,-#REF!,0,0)</f>
        <v>#REF!</v>
      </c>
      <c r="AL113" s="75"/>
      <c r="AM113" s="7" t="e">
        <f>AJ113*(#REF!/12)</f>
        <v>#REF!</v>
      </c>
      <c r="AN113" s="7" t="e">
        <f t="shared" si="47"/>
        <v>#REF!</v>
      </c>
      <c r="AO113" s="75" t="e">
        <f t="shared" si="53"/>
        <v>#REF!</v>
      </c>
      <c r="AP113" s="75" t="e">
        <f t="shared" si="48"/>
        <v>#REF!</v>
      </c>
      <c r="AQ113" s="7" t="e">
        <f t="shared" si="40"/>
        <v>#REF!</v>
      </c>
      <c r="AR113" s="41"/>
    </row>
    <row r="114" spans="10:44" x14ac:dyDescent="0.25">
      <c r="J114" s="5">
        <f t="shared" si="36"/>
        <v>38</v>
      </c>
      <c r="K114" s="5">
        <f t="shared" si="49"/>
        <v>2036</v>
      </c>
      <c r="L114" s="34" t="s">
        <v>38</v>
      </c>
      <c r="M114" s="70">
        <f t="shared" si="41"/>
        <v>11634.961619838869</v>
      </c>
      <c r="N114" s="70">
        <f t="shared" si="50"/>
        <v>10471.465457854982</v>
      </c>
      <c r="O114" s="71"/>
      <c r="P114" s="86"/>
      <c r="Q114" s="51"/>
      <c r="R114" s="88" t="str">
        <f t="shared" si="42"/>
        <v/>
      </c>
      <c r="S114" s="6">
        <v>0.1</v>
      </c>
      <c r="T114" s="8">
        <f t="shared" si="37"/>
        <v>0</v>
      </c>
      <c r="U114" s="8" t="e">
        <f>#REF!</f>
        <v>#REF!</v>
      </c>
      <c r="V114" s="8"/>
      <c r="W114" s="8" t="e">
        <f t="shared" si="38"/>
        <v>#REF!</v>
      </c>
      <c r="X114" s="27"/>
      <c r="Y114" s="26" t="e">
        <f t="shared" si="43"/>
        <v>#REF!</v>
      </c>
      <c r="Z114" s="95"/>
      <c r="AA114" s="95"/>
      <c r="AB114" s="8">
        <f>'Business_172 PH Rd Budget'!$C$25</f>
        <v>2155.2899999999995</v>
      </c>
      <c r="AC114" s="8" t="e">
        <f t="shared" si="44"/>
        <v>#REF!</v>
      </c>
      <c r="AD114" s="8">
        <v>350000</v>
      </c>
      <c r="AE114" s="76" t="e">
        <f t="shared" si="51"/>
        <v>#REF!</v>
      </c>
      <c r="AF114" s="8" t="e">
        <f t="shared" si="52"/>
        <v>#REF!</v>
      </c>
      <c r="AH114" s="7" t="e">
        <f t="shared" si="54"/>
        <v>#REF!</v>
      </c>
      <c r="AI114" s="79" t="e">
        <f t="shared" si="45"/>
        <v>#REF!</v>
      </c>
      <c r="AJ114" s="79" t="e">
        <f t="shared" si="46"/>
        <v>#REF!</v>
      </c>
      <c r="AK114" s="75" t="e">
        <f>PMT(#REF!,#REF!,-#REF!,0,0)</f>
        <v>#REF!</v>
      </c>
      <c r="AL114" s="75"/>
      <c r="AM114" s="7" t="e">
        <f>AJ114*(#REF!/12)</f>
        <v>#REF!</v>
      </c>
      <c r="AN114" s="7" t="e">
        <f t="shared" si="47"/>
        <v>#REF!</v>
      </c>
      <c r="AO114" s="75" t="e">
        <f t="shared" si="53"/>
        <v>#REF!</v>
      </c>
      <c r="AP114" s="75" t="e">
        <f t="shared" si="48"/>
        <v>#REF!</v>
      </c>
      <c r="AQ114" s="7" t="e">
        <f t="shared" si="40"/>
        <v>#REF!</v>
      </c>
      <c r="AR114" s="41"/>
    </row>
    <row r="115" spans="10:44" x14ac:dyDescent="0.25">
      <c r="J115" s="5">
        <f t="shared" si="36"/>
        <v>38</v>
      </c>
      <c r="K115" s="5">
        <f t="shared" si="49"/>
        <v>2036</v>
      </c>
      <c r="L115" s="34" t="s">
        <v>40</v>
      </c>
      <c r="M115" s="70">
        <f t="shared" si="41"/>
        <v>11634.961619838869</v>
      </c>
      <c r="N115" s="70">
        <f t="shared" si="50"/>
        <v>11634.961619838869</v>
      </c>
      <c r="O115" s="71"/>
      <c r="P115" s="86"/>
      <c r="Q115" s="51"/>
      <c r="R115" s="88" t="str">
        <f t="shared" si="42"/>
        <v/>
      </c>
      <c r="S115" s="6">
        <v>0</v>
      </c>
      <c r="T115" s="8">
        <f t="shared" si="37"/>
        <v>0</v>
      </c>
      <c r="U115" s="8" t="e">
        <f>#REF!</f>
        <v>#REF!</v>
      </c>
      <c r="V115" s="8"/>
      <c r="W115" s="8" t="e">
        <f t="shared" si="38"/>
        <v>#REF!</v>
      </c>
      <c r="X115" s="27"/>
      <c r="Y115" s="26" t="e">
        <f t="shared" si="43"/>
        <v>#REF!</v>
      </c>
      <c r="Z115" s="95"/>
      <c r="AA115" s="95"/>
      <c r="AB115" s="8">
        <f>'Business_172 PH Rd Budget'!$C$25</f>
        <v>2155.2899999999995</v>
      </c>
      <c r="AC115" s="8" t="e">
        <f t="shared" si="44"/>
        <v>#REF!</v>
      </c>
      <c r="AD115" s="8">
        <v>350000</v>
      </c>
      <c r="AE115" s="76" t="e">
        <f t="shared" si="51"/>
        <v>#REF!</v>
      </c>
      <c r="AF115" s="8" t="e">
        <f t="shared" si="52"/>
        <v>#REF!</v>
      </c>
      <c r="AH115" s="7" t="e">
        <f t="shared" si="54"/>
        <v>#REF!</v>
      </c>
      <c r="AI115" s="79" t="e">
        <f t="shared" si="45"/>
        <v>#REF!</v>
      </c>
      <c r="AJ115" s="79" t="e">
        <f t="shared" si="46"/>
        <v>#REF!</v>
      </c>
      <c r="AK115" s="75" t="e">
        <f>PMT(#REF!,#REF!,-#REF!,0,0)</f>
        <v>#REF!</v>
      </c>
      <c r="AL115" s="75"/>
      <c r="AM115" s="7" t="e">
        <f>AJ115*(#REF!/12)</f>
        <v>#REF!</v>
      </c>
      <c r="AN115" s="7" t="e">
        <f t="shared" si="47"/>
        <v>#REF!</v>
      </c>
      <c r="AO115" s="75" t="e">
        <f t="shared" si="53"/>
        <v>#REF!</v>
      </c>
      <c r="AP115" s="75" t="e">
        <f t="shared" si="48"/>
        <v>#REF!</v>
      </c>
      <c r="AQ115" s="7" t="e">
        <f t="shared" si="40"/>
        <v>#REF!</v>
      </c>
      <c r="AR115" s="41"/>
    </row>
    <row r="116" spans="10:44" x14ac:dyDescent="0.25">
      <c r="J116" s="5">
        <f t="shared" si="36"/>
        <v>38</v>
      </c>
      <c r="K116" s="5">
        <f t="shared" si="49"/>
        <v>2036</v>
      </c>
      <c r="L116" s="34" t="s">
        <v>42</v>
      </c>
      <c r="M116" s="70">
        <f t="shared" si="41"/>
        <v>11634.961619838869</v>
      </c>
      <c r="N116" s="70">
        <f t="shared" si="50"/>
        <v>11634.961619838869</v>
      </c>
      <c r="O116" s="71"/>
      <c r="P116" s="86">
        <v>4</v>
      </c>
      <c r="Q116" s="51">
        <v>2</v>
      </c>
      <c r="R116" s="88">
        <f t="shared" si="42"/>
        <v>0.5</v>
      </c>
      <c r="S116" s="6">
        <v>0</v>
      </c>
      <c r="T116" s="8">
        <f t="shared" si="37"/>
        <v>23269.923239677737</v>
      </c>
      <c r="U116" s="8" t="e">
        <f>#REF!</f>
        <v>#REF!</v>
      </c>
      <c r="V116" s="8"/>
      <c r="W116" s="8" t="e">
        <f t="shared" si="38"/>
        <v>#REF!</v>
      </c>
      <c r="X116" s="27"/>
      <c r="Y116" s="26" t="e">
        <f t="shared" si="43"/>
        <v>#REF!</v>
      </c>
      <c r="Z116" s="95"/>
      <c r="AA116" s="95"/>
      <c r="AB116" s="8">
        <f>'Business_172 PH Rd Budget'!$C$25</f>
        <v>2155.2899999999995</v>
      </c>
      <c r="AC116" s="8" t="e">
        <f t="shared" si="44"/>
        <v>#REF!</v>
      </c>
      <c r="AD116" s="8">
        <v>350000</v>
      </c>
      <c r="AE116" s="76" t="e">
        <f t="shared" si="51"/>
        <v>#REF!</v>
      </c>
      <c r="AF116" s="8" t="e">
        <f t="shared" si="52"/>
        <v>#REF!</v>
      </c>
      <c r="AH116" s="7" t="e">
        <f t="shared" si="54"/>
        <v>#REF!</v>
      </c>
      <c r="AI116" s="79" t="e">
        <f t="shared" si="45"/>
        <v>#REF!</v>
      </c>
      <c r="AJ116" s="79" t="e">
        <f t="shared" si="46"/>
        <v>#REF!</v>
      </c>
      <c r="AK116" s="75" t="e">
        <f>PMT(#REF!,#REF!,-#REF!,0,0)</f>
        <v>#REF!</v>
      </c>
      <c r="AL116" s="75"/>
      <c r="AM116" s="7" t="e">
        <f>AJ116*(#REF!/12)</f>
        <v>#REF!</v>
      </c>
      <c r="AN116" s="7" t="e">
        <f t="shared" si="47"/>
        <v>#REF!</v>
      </c>
      <c r="AO116" s="75" t="e">
        <f t="shared" si="53"/>
        <v>#REF!</v>
      </c>
      <c r="AP116" s="75" t="e">
        <f t="shared" si="48"/>
        <v>#REF!</v>
      </c>
      <c r="AQ116" s="7" t="e">
        <f t="shared" si="40"/>
        <v>#REF!</v>
      </c>
      <c r="AR116" s="41"/>
    </row>
    <row r="117" spans="10:44" x14ac:dyDescent="0.25">
      <c r="J117" s="5">
        <f t="shared" si="36"/>
        <v>38</v>
      </c>
      <c r="K117" s="5">
        <f t="shared" si="49"/>
        <v>2036</v>
      </c>
      <c r="L117" s="34" t="s">
        <v>44</v>
      </c>
      <c r="M117" s="70">
        <f t="shared" si="41"/>
        <v>11634.961619838869</v>
      </c>
      <c r="N117" s="70">
        <f t="shared" si="50"/>
        <v>11634.961619838869</v>
      </c>
      <c r="O117" s="71"/>
      <c r="P117" s="86">
        <v>5</v>
      </c>
      <c r="Q117" s="51">
        <v>4</v>
      </c>
      <c r="R117" s="88">
        <f t="shared" si="42"/>
        <v>0.8</v>
      </c>
      <c r="S117" s="6">
        <v>0</v>
      </c>
      <c r="T117" s="8">
        <f t="shared" si="37"/>
        <v>46539.846479355474</v>
      </c>
      <c r="U117" s="8" t="e">
        <f>#REF!</f>
        <v>#REF!</v>
      </c>
      <c r="V117" s="8"/>
      <c r="W117" s="8" t="e">
        <f t="shared" si="38"/>
        <v>#REF!</v>
      </c>
      <c r="X117" s="27"/>
      <c r="Y117" s="26" t="e">
        <f t="shared" si="43"/>
        <v>#REF!</v>
      </c>
      <c r="Z117" s="95"/>
      <c r="AA117" s="95"/>
      <c r="AB117" s="8">
        <f>'Business_172 PH Rd Budget'!$C$25</f>
        <v>2155.2899999999995</v>
      </c>
      <c r="AC117" s="8" t="e">
        <f t="shared" si="44"/>
        <v>#REF!</v>
      </c>
      <c r="AD117" s="8">
        <v>350000</v>
      </c>
      <c r="AE117" s="76" t="e">
        <f t="shared" si="51"/>
        <v>#REF!</v>
      </c>
      <c r="AF117" s="8" t="e">
        <f t="shared" si="52"/>
        <v>#REF!</v>
      </c>
      <c r="AH117" s="7" t="e">
        <f t="shared" si="54"/>
        <v>#REF!</v>
      </c>
      <c r="AI117" s="79" t="e">
        <f t="shared" si="45"/>
        <v>#REF!</v>
      </c>
      <c r="AJ117" s="79" t="e">
        <f t="shared" si="46"/>
        <v>#REF!</v>
      </c>
      <c r="AK117" s="75" t="e">
        <f>PMT(#REF!,#REF!,-#REF!,0,0)</f>
        <v>#REF!</v>
      </c>
      <c r="AL117" s="75"/>
      <c r="AM117" s="7" t="e">
        <f>AJ117*(#REF!/12)</f>
        <v>#REF!</v>
      </c>
      <c r="AN117" s="7" t="e">
        <f t="shared" si="47"/>
        <v>#REF!</v>
      </c>
      <c r="AO117" s="75" t="e">
        <f t="shared" si="53"/>
        <v>#REF!</v>
      </c>
      <c r="AP117" s="75" t="e">
        <f t="shared" si="48"/>
        <v>#REF!</v>
      </c>
      <c r="AQ117" s="7" t="e">
        <f t="shared" si="40"/>
        <v>#REF!</v>
      </c>
      <c r="AR117" s="41"/>
    </row>
    <row r="118" spans="10:44" x14ac:dyDescent="0.25">
      <c r="J118" s="5">
        <f t="shared" si="36"/>
        <v>38</v>
      </c>
      <c r="K118" s="5">
        <f t="shared" si="49"/>
        <v>2036</v>
      </c>
      <c r="L118" s="34" t="s">
        <v>47</v>
      </c>
      <c r="M118" s="70">
        <f t="shared" si="41"/>
        <v>11634.961619838869</v>
      </c>
      <c r="N118" s="70">
        <f t="shared" si="50"/>
        <v>11634.961619838869</v>
      </c>
      <c r="O118" s="71"/>
      <c r="P118" s="86">
        <v>4</v>
      </c>
      <c r="Q118" s="51">
        <v>4</v>
      </c>
      <c r="R118" s="88">
        <f t="shared" si="42"/>
        <v>1</v>
      </c>
      <c r="S118" s="6">
        <v>0</v>
      </c>
      <c r="T118" s="8">
        <f t="shared" si="37"/>
        <v>46539.846479355474</v>
      </c>
      <c r="U118" s="8" t="e">
        <f>#REF!</f>
        <v>#REF!</v>
      </c>
      <c r="V118" s="8"/>
      <c r="W118" s="8" t="e">
        <f t="shared" si="38"/>
        <v>#REF!</v>
      </c>
      <c r="X118" s="27"/>
      <c r="Y118" s="26" t="e">
        <f t="shared" si="43"/>
        <v>#REF!</v>
      </c>
      <c r="Z118" s="95"/>
      <c r="AA118" s="95"/>
      <c r="AB118" s="8">
        <f>'Business_172 PH Rd Budget'!$C$25</f>
        <v>2155.2899999999995</v>
      </c>
      <c r="AC118" s="8" t="e">
        <f t="shared" si="44"/>
        <v>#REF!</v>
      </c>
      <c r="AD118" s="8">
        <v>350000</v>
      </c>
      <c r="AE118" s="76" t="e">
        <f t="shared" si="51"/>
        <v>#REF!</v>
      </c>
      <c r="AF118" s="8" t="e">
        <f t="shared" si="52"/>
        <v>#REF!</v>
      </c>
      <c r="AH118" s="7" t="e">
        <f t="shared" si="54"/>
        <v>#REF!</v>
      </c>
      <c r="AI118" s="79" t="e">
        <f t="shared" si="45"/>
        <v>#REF!</v>
      </c>
      <c r="AJ118" s="79" t="e">
        <f t="shared" si="46"/>
        <v>#REF!</v>
      </c>
      <c r="AK118" s="75" t="e">
        <f>PMT(#REF!,#REF!,-#REF!,0,0)</f>
        <v>#REF!</v>
      </c>
      <c r="AL118" s="75"/>
      <c r="AM118" s="7" t="e">
        <f>AJ118*(#REF!/12)</f>
        <v>#REF!</v>
      </c>
      <c r="AN118" s="7" t="e">
        <f t="shared" si="47"/>
        <v>#REF!</v>
      </c>
      <c r="AO118" s="75" t="e">
        <f t="shared" si="53"/>
        <v>#REF!</v>
      </c>
      <c r="AP118" s="75" t="e">
        <f t="shared" si="48"/>
        <v>#REF!</v>
      </c>
      <c r="AQ118" s="7" t="e">
        <f t="shared" si="40"/>
        <v>#REF!</v>
      </c>
      <c r="AR118" s="41"/>
    </row>
    <row r="119" spans="10:44" x14ac:dyDescent="0.25">
      <c r="J119" s="5">
        <f t="shared" si="36"/>
        <v>38</v>
      </c>
      <c r="K119" s="5">
        <f t="shared" si="49"/>
        <v>2036</v>
      </c>
      <c r="L119" s="34" t="s">
        <v>49</v>
      </c>
      <c r="M119" s="70">
        <f t="shared" si="41"/>
        <v>11634.961619838869</v>
      </c>
      <c r="N119" s="70">
        <f t="shared" si="50"/>
        <v>11634.961619838869</v>
      </c>
      <c r="O119" s="71"/>
      <c r="P119" s="86">
        <v>4</v>
      </c>
      <c r="Q119" s="51">
        <v>4</v>
      </c>
      <c r="R119" s="88">
        <f t="shared" si="42"/>
        <v>1</v>
      </c>
      <c r="S119" s="6">
        <v>0</v>
      </c>
      <c r="T119" s="8">
        <f t="shared" si="37"/>
        <v>46539.846479355474</v>
      </c>
      <c r="U119" s="8" t="e">
        <f>#REF!</f>
        <v>#REF!</v>
      </c>
      <c r="V119" s="8"/>
      <c r="W119" s="8" t="e">
        <f t="shared" si="38"/>
        <v>#REF!</v>
      </c>
      <c r="X119" s="27"/>
      <c r="Y119" s="26" t="e">
        <f t="shared" si="43"/>
        <v>#REF!</v>
      </c>
      <c r="Z119" s="95"/>
      <c r="AA119" s="95"/>
      <c r="AB119" s="8">
        <f>'Business_172 PH Rd Budget'!$C$25</f>
        <v>2155.2899999999995</v>
      </c>
      <c r="AC119" s="8" t="e">
        <f t="shared" si="44"/>
        <v>#REF!</v>
      </c>
      <c r="AD119" s="8">
        <v>350000</v>
      </c>
      <c r="AE119" s="76" t="e">
        <f t="shared" si="51"/>
        <v>#REF!</v>
      </c>
      <c r="AF119" s="8" t="e">
        <f t="shared" si="52"/>
        <v>#REF!</v>
      </c>
      <c r="AH119" s="7" t="e">
        <f t="shared" si="54"/>
        <v>#REF!</v>
      </c>
      <c r="AI119" s="79" t="e">
        <f t="shared" si="45"/>
        <v>#REF!</v>
      </c>
      <c r="AJ119" s="79" t="e">
        <f t="shared" si="46"/>
        <v>#REF!</v>
      </c>
      <c r="AK119" s="75" t="e">
        <f>PMT(#REF!,#REF!,-#REF!,0,0)</f>
        <v>#REF!</v>
      </c>
      <c r="AL119" s="75"/>
      <c r="AM119" s="7" t="e">
        <f>AJ119*(#REF!/12)</f>
        <v>#REF!</v>
      </c>
      <c r="AN119" s="7" t="e">
        <f t="shared" si="47"/>
        <v>#REF!</v>
      </c>
      <c r="AO119" s="75" t="e">
        <f t="shared" si="53"/>
        <v>#REF!</v>
      </c>
      <c r="AP119" s="75" t="e">
        <f t="shared" si="48"/>
        <v>#REF!</v>
      </c>
      <c r="AQ119" s="7" t="e">
        <f t="shared" si="40"/>
        <v>#REF!</v>
      </c>
      <c r="AR119" s="41"/>
    </row>
    <row r="120" spans="10:44" x14ac:dyDescent="0.25">
      <c r="J120" s="5">
        <f t="shared" si="36"/>
        <v>38</v>
      </c>
      <c r="K120" s="5">
        <f t="shared" si="49"/>
        <v>2036</v>
      </c>
      <c r="L120" s="34" t="s">
        <v>51</v>
      </c>
      <c r="M120" s="70">
        <f t="shared" si="41"/>
        <v>11634.961619838869</v>
      </c>
      <c r="N120" s="70">
        <f t="shared" si="50"/>
        <v>11634.961619838869</v>
      </c>
      <c r="O120" s="71"/>
      <c r="P120" s="86">
        <v>5</v>
      </c>
      <c r="Q120" s="44">
        <v>4</v>
      </c>
      <c r="R120" s="88">
        <f t="shared" si="42"/>
        <v>0.8</v>
      </c>
      <c r="S120" s="6">
        <v>0</v>
      </c>
      <c r="T120" s="8">
        <f t="shared" si="37"/>
        <v>46539.846479355474</v>
      </c>
      <c r="U120" s="8" t="e">
        <f>#REF!</f>
        <v>#REF!</v>
      </c>
      <c r="V120" s="8"/>
      <c r="W120" s="8" t="e">
        <f t="shared" si="38"/>
        <v>#REF!</v>
      </c>
      <c r="X120" s="27"/>
      <c r="Y120" s="26" t="e">
        <f t="shared" si="43"/>
        <v>#REF!</v>
      </c>
      <c r="Z120" s="95"/>
      <c r="AA120" s="95"/>
      <c r="AB120" s="8">
        <f>'Business_172 PH Rd Budget'!$C$25</f>
        <v>2155.2899999999995</v>
      </c>
      <c r="AC120" s="8" t="e">
        <f t="shared" si="44"/>
        <v>#REF!</v>
      </c>
      <c r="AD120" s="8">
        <v>350000</v>
      </c>
      <c r="AE120" s="76" t="e">
        <f t="shared" si="51"/>
        <v>#REF!</v>
      </c>
      <c r="AF120" s="8" t="e">
        <f t="shared" si="52"/>
        <v>#REF!</v>
      </c>
      <c r="AH120" s="7" t="e">
        <f t="shared" si="54"/>
        <v>#REF!</v>
      </c>
      <c r="AI120" s="79" t="e">
        <f t="shared" si="45"/>
        <v>#REF!</v>
      </c>
      <c r="AJ120" s="79" t="e">
        <f t="shared" si="46"/>
        <v>#REF!</v>
      </c>
      <c r="AK120" s="75" t="e">
        <f>PMT(#REF!,#REF!,-#REF!,0,0)</f>
        <v>#REF!</v>
      </c>
      <c r="AL120" s="75"/>
      <c r="AM120" s="7" t="e">
        <f>AJ120*(#REF!/12)</f>
        <v>#REF!</v>
      </c>
      <c r="AN120" s="7" t="e">
        <f t="shared" si="47"/>
        <v>#REF!</v>
      </c>
      <c r="AO120" s="75" t="e">
        <f t="shared" si="53"/>
        <v>#REF!</v>
      </c>
      <c r="AP120" s="75" t="e">
        <f t="shared" si="48"/>
        <v>#REF!</v>
      </c>
      <c r="AQ120" s="7" t="e">
        <f t="shared" si="40"/>
        <v>#REF!</v>
      </c>
      <c r="AR120" s="41"/>
    </row>
    <row r="121" spans="10:44" x14ac:dyDescent="0.25">
      <c r="J121" s="5">
        <f t="shared" si="36"/>
        <v>38</v>
      </c>
      <c r="K121" s="5">
        <f t="shared" si="49"/>
        <v>2036</v>
      </c>
      <c r="L121" s="34" t="s">
        <v>53</v>
      </c>
      <c r="M121" s="70">
        <f t="shared" si="41"/>
        <v>11634.961619838869</v>
      </c>
      <c r="N121" s="70">
        <f t="shared" si="50"/>
        <v>10471.465457854982</v>
      </c>
      <c r="O121" s="71"/>
      <c r="P121" s="86">
        <v>4</v>
      </c>
      <c r="Q121" s="44">
        <v>4</v>
      </c>
      <c r="R121" s="88">
        <f t="shared" si="42"/>
        <v>1</v>
      </c>
      <c r="S121" s="69">
        <v>0.1</v>
      </c>
      <c r="T121" s="8">
        <f t="shared" si="37"/>
        <v>41885.861831419927</v>
      </c>
      <c r="U121" s="8" t="e">
        <f>#REF!</f>
        <v>#REF!</v>
      </c>
      <c r="V121" s="8"/>
      <c r="W121" s="8" t="e">
        <f t="shared" si="38"/>
        <v>#REF!</v>
      </c>
      <c r="X121" s="27"/>
      <c r="Y121" s="26" t="e">
        <f t="shared" si="43"/>
        <v>#REF!</v>
      </c>
      <c r="Z121" s="95"/>
      <c r="AA121" s="95"/>
      <c r="AB121" s="8">
        <f>'Business_172 PH Rd Budget'!$C$25</f>
        <v>2155.2899999999995</v>
      </c>
      <c r="AC121" s="8" t="e">
        <f t="shared" si="44"/>
        <v>#REF!</v>
      </c>
      <c r="AD121" s="8">
        <v>350000</v>
      </c>
      <c r="AE121" s="76" t="e">
        <f t="shared" si="51"/>
        <v>#REF!</v>
      </c>
      <c r="AF121" s="8" t="e">
        <f t="shared" si="52"/>
        <v>#REF!</v>
      </c>
      <c r="AH121" s="7" t="e">
        <f t="shared" si="54"/>
        <v>#REF!</v>
      </c>
      <c r="AI121" s="79" t="e">
        <f t="shared" si="45"/>
        <v>#REF!</v>
      </c>
      <c r="AJ121" s="79" t="e">
        <f t="shared" si="46"/>
        <v>#REF!</v>
      </c>
      <c r="AK121" s="75" t="e">
        <f>PMT(#REF!,#REF!,-#REF!,0,0)</f>
        <v>#REF!</v>
      </c>
      <c r="AL121" s="75"/>
      <c r="AM121" s="7" t="e">
        <f>AJ121*(#REF!/12)</f>
        <v>#REF!</v>
      </c>
      <c r="AN121" s="7" t="e">
        <f t="shared" si="47"/>
        <v>#REF!</v>
      </c>
      <c r="AO121" s="75" t="e">
        <f t="shared" si="53"/>
        <v>#REF!</v>
      </c>
      <c r="AP121" s="75" t="e">
        <f t="shared" si="48"/>
        <v>#REF!</v>
      </c>
      <c r="AQ121" s="7" t="e">
        <f t="shared" si="40"/>
        <v>#REF!</v>
      </c>
      <c r="AR121" s="41"/>
    </row>
    <row r="122" spans="10:44" x14ac:dyDescent="0.25">
      <c r="J122" s="5">
        <f t="shared" si="36"/>
        <v>38</v>
      </c>
      <c r="K122" s="5">
        <f t="shared" si="49"/>
        <v>2036</v>
      </c>
      <c r="L122" s="34" t="s">
        <v>55</v>
      </c>
      <c r="M122" s="70">
        <f t="shared" si="41"/>
        <v>11634.961619838869</v>
      </c>
      <c r="N122" s="70">
        <f t="shared" si="50"/>
        <v>9307.9692958710948</v>
      </c>
      <c r="O122" s="71"/>
      <c r="P122" s="86"/>
      <c r="Q122" s="51">
        <v>0</v>
      </c>
      <c r="R122" s="88" t="str">
        <f t="shared" si="42"/>
        <v/>
      </c>
      <c r="S122" s="6">
        <v>0.2</v>
      </c>
      <c r="T122" s="8">
        <f t="shared" si="37"/>
        <v>0</v>
      </c>
      <c r="U122" s="8" t="e">
        <f>#REF!</f>
        <v>#REF!</v>
      </c>
      <c r="V122" s="8"/>
      <c r="W122" s="8" t="e">
        <f t="shared" si="38"/>
        <v>#REF!</v>
      </c>
      <c r="X122" s="27"/>
      <c r="Y122" s="26" t="e">
        <f t="shared" si="43"/>
        <v>#REF!</v>
      </c>
      <c r="Z122" s="95"/>
      <c r="AA122" s="95"/>
      <c r="AB122" s="8">
        <f>'Business_172 PH Rd Budget'!$C$25</f>
        <v>2155.2899999999995</v>
      </c>
      <c r="AC122" s="8" t="e">
        <f t="shared" si="44"/>
        <v>#REF!</v>
      </c>
      <c r="AD122" s="8">
        <v>350000</v>
      </c>
      <c r="AE122" s="76" t="e">
        <f t="shared" si="51"/>
        <v>#REF!</v>
      </c>
      <c r="AF122" s="8" t="e">
        <f t="shared" si="52"/>
        <v>#REF!</v>
      </c>
      <c r="AH122" s="7" t="e">
        <f t="shared" si="54"/>
        <v>#REF!</v>
      </c>
      <c r="AI122" s="79" t="e">
        <f t="shared" si="45"/>
        <v>#REF!</v>
      </c>
      <c r="AJ122" s="79" t="e">
        <f t="shared" si="46"/>
        <v>#REF!</v>
      </c>
      <c r="AK122" s="75" t="e">
        <f>PMT(#REF!,#REF!,-#REF!,0,0)</f>
        <v>#REF!</v>
      </c>
      <c r="AL122" s="75"/>
      <c r="AM122" s="7" t="e">
        <f>AJ122*(#REF!/12)</f>
        <v>#REF!</v>
      </c>
      <c r="AN122" s="7" t="e">
        <f t="shared" si="47"/>
        <v>#REF!</v>
      </c>
      <c r="AO122" s="75" t="e">
        <f t="shared" si="53"/>
        <v>#REF!</v>
      </c>
      <c r="AP122" s="75" t="e">
        <f t="shared" si="48"/>
        <v>#REF!</v>
      </c>
      <c r="AQ122" s="7" t="e">
        <f t="shared" si="40"/>
        <v>#REF!</v>
      </c>
      <c r="AR122" s="41"/>
    </row>
    <row r="123" spans="10:44" x14ac:dyDescent="0.25">
      <c r="J123" s="5">
        <f t="shared" si="36"/>
        <v>39</v>
      </c>
      <c r="K123" s="5">
        <f t="shared" si="49"/>
        <v>2037</v>
      </c>
      <c r="L123" s="34" t="s">
        <v>31</v>
      </c>
      <c r="M123" s="70">
        <f t="shared" ref="M123:M146" si="55">M122*(1+O123)</f>
        <v>12216.709700830812</v>
      </c>
      <c r="N123" s="70">
        <f t="shared" si="50"/>
        <v>9162.5322756231089</v>
      </c>
      <c r="O123" s="71">
        <v>0.05</v>
      </c>
      <c r="P123" s="86"/>
      <c r="Q123" s="51">
        <v>0</v>
      </c>
      <c r="R123" s="88" t="str">
        <f t="shared" si="42"/>
        <v/>
      </c>
      <c r="S123" s="6">
        <v>0.25</v>
      </c>
      <c r="T123" s="8">
        <f t="shared" si="37"/>
        <v>0</v>
      </c>
      <c r="U123" s="8" t="e">
        <f>#REF!</f>
        <v>#REF!</v>
      </c>
      <c r="V123" s="8"/>
      <c r="W123" s="8" t="e">
        <f t="shared" ref="W123:W146" si="56">T123-U123</f>
        <v>#REF!</v>
      </c>
      <c r="X123" s="27"/>
      <c r="Y123" s="26" t="e">
        <f t="shared" si="43"/>
        <v>#REF!</v>
      </c>
      <c r="Z123" s="95"/>
      <c r="AA123" s="95"/>
      <c r="AB123" s="8">
        <f>'Business_172 PH Rd Budget'!$C$25</f>
        <v>2155.2899999999995</v>
      </c>
      <c r="AC123" s="8" t="e">
        <f t="shared" si="44"/>
        <v>#REF!</v>
      </c>
      <c r="AD123" s="8">
        <v>350000</v>
      </c>
      <c r="AE123" s="76" t="e">
        <f t="shared" si="51"/>
        <v>#REF!</v>
      </c>
      <c r="AF123" s="8" t="e">
        <f t="shared" si="52"/>
        <v>#REF!</v>
      </c>
      <c r="AH123" s="7" t="e">
        <f t="shared" si="54"/>
        <v>#REF!</v>
      </c>
      <c r="AI123" s="79" t="e">
        <f t="shared" si="45"/>
        <v>#REF!</v>
      </c>
      <c r="AJ123" s="79" t="e">
        <f t="shared" si="46"/>
        <v>#REF!</v>
      </c>
      <c r="AK123" s="75" t="e">
        <f>PMT(#REF!,#REF!,-#REF!,0,0)</f>
        <v>#REF!</v>
      </c>
      <c r="AL123" s="75"/>
      <c r="AM123" s="7" t="e">
        <f>AJ123*(#REF!/12)</f>
        <v>#REF!</v>
      </c>
      <c r="AN123" s="7" t="e">
        <f t="shared" si="47"/>
        <v>#REF!</v>
      </c>
      <c r="AO123" s="75" t="e">
        <f t="shared" si="53"/>
        <v>#REF!</v>
      </c>
      <c r="AP123" s="75" t="e">
        <f t="shared" si="48"/>
        <v>#REF!</v>
      </c>
      <c r="AQ123" s="7" t="e">
        <f t="shared" si="40"/>
        <v>#REF!</v>
      </c>
      <c r="AR123" s="41"/>
    </row>
    <row r="124" spans="10:44" x14ac:dyDescent="0.25">
      <c r="J124" s="5">
        <f t="shared" si="36"/>
        <v>39</v>
      </c>
      <c r="K124" s="5">
        <f t="shared" si="49"/>
        <v>2037</v>
      </c>
      <c r="L124" s="34" t="s">
        <v>33</v>
      </c>
      <c r="M124" s="70">
        <f t="shared" si="55"/>
        <v>12216.709700830812</v>
      </c>
      <c r="N124" s="70">
        <f t="shared" si="50"/>
        <v>9162.5322756231089</v>
      </c>
      <c r="O124" s="71"/>
      <c r="P124" s="86"/>
      <c r="Q124" s="51">
        <v>0</v>
      </c>
      <c r="R124" s="88" t="str">
        <f t="shared" si="42"/>
        <v/>
      </c>
      <c r="S124" s="6">
        <v>0.25</v>
      </c>
      <c r="T124" s="8">
        <f t="shared" si="37"/>
        <v>0</v>
      </c>
      <c r="U124" s="8" t="e">
        <f>#REF!</f>
        <v>#REF!</v>
      </c>
      <c r="V124" s="8"/>
      <c r="W124" s="8" t="e">
        <f t="shared" si="56"/>
        <v>#REF!</v>
      </c>
      <c r="X124" s="27"/>
      <c r="Y124" s="26" t="e">
        <f t="shared" si="43"/>
        <v>#REF!</v>
      </c>
      <c r="Z124" s="95"/>
      <c r="AA124" s="95"/>
      <c r="AB124" s="8">
        <f>'Business_172 PH Rd Budget'!$C$25</f>
        <v>2155.2899999999995</v>
      </c>
      <c r="AC124" s="8" t="e">
        <f t="shared" si="44"/>
        <v>#REF!</v>
      </c>
      <c r="AD124" s="8">
        <v>350000</v>
      </c>
      <c r="AE124" s="76" t="e">
        <f t="shared" si="51"/>
        <v>#REF!</v>
      </c>
      <c r="AF124" s="8" t="e">
        <f t="shared" si="52"/>
        <v>#REF!</v>
      </c>
      <c r="AH124" s="7" t="e">
        <f t="shared" si="54"/>
        <v>#REF!</v>
      </c>
      <c r="AI124" s="79" t="e">
        <f t="shared" si="45"/>
        <v>#REF!</v>
      </c>
      <c r="AJ124" s="79" t="e">
        <f t="shared" si="46"/>
        <v>#REF!</v>
      </c>
      <c r="AK124" s="75" t="e">
        <f>PMT(#REF!,#REF!,-#REF!,0,0)</f>
        <v>#REF!</v>
      </c>
      <c r="AL124" s="75"/>
      <c r="AM124" s="7" t="e">
        <f>AJ124*(#REF!/12)</f>
        <v>#REF!</v>
      </c>
      <c r="AN124" s="7" t="e">
        <f t="shared" si="47"/>
        <v>#REF!</v>
      </c>
      <c r="AO124" s="75" t="e">
        <f t="shared" si="53"/>
        <v>#REF!</v>
      </c>
      <c r="AP124" s="75" t="e">
        <f t="shared" si="48"/>
        <v>#REF!</v>
      </c>
      <c r="AQ124" s="7" t="e">
        <f t="shared" si="40"/>
        <v>#REF!</v>
      </c>
      <c r="AR124" s="41"/>
    </row>
    <row r="125" spans="10:44" x14ac:dyDescent="0.25">
      <c r="J125" s="5">
        <f t="shared" si="36"/>
        <v>39</v>
      </c>
      <c r="K125" s="5">
        <f t="shared" si="49"/>
        <v>2037</v>
      </c>
      <c r="L125" s="34" t="s">
        <v>36</v>
      </c>
      <c r="M125" s="70">
        <f t="shared" si="55"/>
        <v>12216.709700830812</v>
      </c>
      <c r="N125" s="70">
        <f t="shared" si="50"/>
        <v>9773.3677606646506</v>
      </c>
      <c r="O125" s="71"/>
      <c r="P125" s="86"/>
      <c r="Q125" s="51">
        <v>0</v>
      </c>
      <c r="R125" s="88" t="str">
        <f t="shared" si="42"/>
        <v/>
      </c>
      <c r="S125" s="6">
        <v>0.2</v>
      </c>
      <c r="T125" s="8">
        <f t="shared" si="37"/>
        <v>0</v>
      </c>
      <c r="U125" s="8" t="e">
        <f>#REF!</f>
        <v>#REF!</v>
      </c>
      <c r="V125" s="8"/>
      <c r="W125" s="8" t="e">
        <f t="shared" si="56"/>
        <v>#REF!</v>
      </c>
      <c r="X125" s="27"/>
      <c r="Y125" s="26" t="e">
        <f t="shared" si="43"/>
        <v>#REF!</v>
      </c>
      <c r="Z125" s="95"/>
      <c r="AA125" s="95"/>
      <c r="AB125" s="8">
        <f>'Business_172 PH Rd Budget'!$C$25</f>
        <v>2155.2899999999995</v>
      </c>
      <c r="AC125" s="8" t="e">
        <f t="shared" si="44"/>
        <v>#REF!</v>
      </c>
      <c r="AD125" s="8">
        <v>350000</v>
      </c>
      <c r="AE125" s="76" t="e">
        <f t="shared" si="51"/>
        <v>#REF!</v>
      </c>
      <c r="AF125" s="8" t="e">
        <f t="shared" si="52"/>
        <v>#REF!</v>
      </c>
      <c r="AH125" s="7" t="e">
        <f t="shared" si="54"/>
        <v>#REF!</v>
      </c>
      <c r="AI125" s="79" t="e">
        <f t="shared" si="45"/>
        <v>#REF!</v>
      </c>
      <c r="AJ125" s="79" t="e">
        <f t="shared" si="46"/>
        <v>#REF!</v>
      </c>
      <c r="AK125" s="75" t="e">
        <f>PMT(#REF!,#REF!,-#REF!,0,0)</f>
        <v>#REF!</v>
      </c>
      <c r="AL125" s="75"/>
      <c r="AM125" s="7" t="e">
        <f>AJ125*(#REF!/12)</f>
        <v>#REF!</v>
      </c>
      <c r="AN125" s="7" t="e">
        <f t="shared" si="47"/>
        <v>#REF!</v>
      </c>
      <c r="AO125" s="75" t="e">
        <f t="shared" si="53"/>
        <v>#REF!</v>
      </c>
      <c r="AP125" s="75" t="e">
        <f t="shared" si="48"/>
        <v>#REF!</v>
      </c>
      <c r="AQ125" s="7" t="e">
        <f t="shared" si="40"/>
        <v>#REF!</v>
      </c>
      <c r="AR125" s="41"/>
    </row>
    <row r="126" spans="10:44" x14ac:dyDescent="0.25">
      <c r="J126" s="5">
        <f t="shared" si="36"/>
        <v>39</v>
      </c>
      <c r="K126" s="5">
        <f t="shared" si="49"/>
        <v>2037</v>
      </c>
      <c r="L126" s="34" t="s">
        <v>38</v>
      </c>
      <c r="M126" s="70">
        <f t="shared" si="55"/>
        <v>12216.709700830812</v>
      </c>
      <c r="N126" s="70">
        <f t="shared" si="50"/>
        <v>10995.03873074773</v>
      </c>
      <c r="O126" s="71"/>
      <c r="P126" s="86"/>
      <c r="Q126" s="51"/>
      <c r="R126" s="88" t="str">
        <f t="shared" si="42"/>
        <v/>
      </c>
      <c r="S126" s="6">
        <v>0.1</v>
      </c>
      <c r="T126" s="8">
        <f t="shared" si="37"/>
        <v>0</v>
      </c>
      <c r="U126" s="8" t="e">
        <f>#REF!</f>
        <v>#REF!</v>
      </c>
      <c r="V126" s="8"/>
      <c r="W126" s="8" t="e">
        <f t="shared" si="56"/>
        <v>#REF!</v>
      </c>
      <c r="X126" s="27"/>
      <c r="Y126" s="26" t="e">
        <f t="shared" si="43"/>
        <v>#REF!</v>
      </c>
      <c r="Z126" s="95"/>
      <c r="AA126" s="95"/>
      <c r="AB126" s="8">
        <f>'Business_172 PH Rd Budget'!$C$25</f>
        <v>2155.2899999999995</v>
      </c>
      <c r="AC126" s="8" t="e">
        <f t="shared" si="44"/>
        <v>#REF!</v>
      </c>
      <c r="AD126" s="8">
        <v>350000</v>
      </c>
      <c r="AE126" s="76" t="e">
        <f t="shared" si="51"/>
        <v>#REF!</v>
      </c>
      <c r="AF126" s="8" t="e">
        <f t="shared" si="52"/>
        <v>#REF!</v>
      </c>
      <c r="AH126" s="7" t="e">
        <f t="shared" si="54"/>
        <v>#REF!</v>
      </c>
      <c r="AI126" s="79" t="e">
        <f t="shared" si="45"/>
        <v>#REF!</v>
      </c>
      <c r="AJ126" s="79" t="e">
        <f t="shared" si="46"/>
        <v>#REF!</v>
      </c>
      <c r="AK126" s="75" t="e">
        <f>PMT(#REF!,#REF!,-#REF!,0,0)</f>
        <v>#REF!</v>
      </c>
      <c r="AL126" s="75"/>
      <c r="AM126" s="7" t="e">
        <f>AJ126*(#REF!/12)</f>
        <v>#REF!</v>
      </c>
      <c r="AN126" s="7" t="e">
        <f t="shared" si="47"/>
        <v>#REF!</v>
      </c>
      <c r="AO126" s="75" t="e">
        <f t="shared" si="53"/>
        <v>#REF!</v>
      </c>
      <c r="AP126" s="75" t="e">
        <f t="shared" si="48"/>
        <v>#REF!</v>
      </c>
      <c r="AQ126" s="7" t="e">
        <f t="shared" si="40"/>
        <v>#REF!</v>
      </c>
      <c r="AR126" s="41"/>
    </row>
    <row r="127" spans="10:44" x14ac:dyDescent="0.25">
      <c r="J127" s="5">
        <f t="shared" si="36"/>
        <v>39</v>
      </c>
      <c r="K127" s="5">
        <f t="shared" si="49"/>
        <v>2037</v>
      </c>
      <c r="L127" s="34" t="s">
        <v>40</v>
      </c>
      <c r="M127" s="70">
        <f t="shared" si="55"/>
        <v>12216.709700830812</v>
      </c>
      <c r="N127" s="70">
        <f t="shared" si="50"/>
        <v>12216.709700830812</v>
      </c>
      <c r="O127" s="71"/>
      <c r="P127" s="86">
        <v>5</v>
      </c>
      <c r="Q127" s="51">
        <v>2</v>
      </c>
      <c r="R127" s="88">
        <f t="shared" si="42"/>
        <v>0.4</v>
      </c>
      <c r="S127" s="6">
        <v>0</v>
      </c>
      <c r="T127" s="8">
        <f t="shared" si="37"/>
        <v>24433.419401661624</v>
      </c>
      <c r="U127" s="8" t="e">
        <f>#REF!</f>
        <v>#REF!</v>
      </c>
      <c r="V127" s="8"/>
      <c r="W127" s="8" t="e">
        <f t="shared" si="56"/>
        <v>#REF!</v>
      </c>
      <c r="X127" s="27"/>
      <c r="Y127" s="26" t="e">
        <f t="shared" si="43"/>
        <v>#REF!</v>
      </c>
      <c r="Z127" s="95"/>
      <c r="AA127" s="95"/>
      <c r="AB127" s="8">
        <f>'Business_172 PH Rd Budget'!$C$25</f>
        <v>2155.2899999999995</v>
      </c>
      <c r="AC127" s="8" t="e">
        <f t="shared" si="44"/>
        <v>#REF!</v>
      </c>
      <c r="AD127" s="8">
        <v>350000</v>
      </c>
      <c r="AE127" s="76" t="e">
        <f t="shared" si="51"/>
        <v>#REF!</v>
      </c>
      <c r="AF127" s="8" t="e">
        <f t="shared" si="52"/>
        <v>#REF!</v>
      </c>
      <c r="AH127" s="7" t="e">
        <f t="shared" si="54"/>
        <v>#REF!</v>
      </c>
      <c r="AI127" s="79" t="e">
        <f t="shared" si="45"/>
        <v>#REF!</v>
      </c>
      <c r="AJ127" s="79" t="e">
        <f t="shared" si="46"/>
        <v>#REF!</v>
      </c>
      <c r="AK127" s="75" t="e">
        <f>PMT(#REF!,#REF!,-#REF!,0,0)</f>
        <v>#REF!</v>
      </c>
      <c r="AL127" s="75"/>
      <c r="AM127" s="7" t="e">
        <f>AJ127*(#REF!/12)</f>
        <v>#REF!</v>
      </c>
      <c r="AN127" s="7" t="e">
        <f t="shared" si="47"/>
        <v>#REF!</v>
      </c>
      <c r="AO127" s="75" t="e">
        <f t="shared" si="53"/>
        <v>#REF!</v>
      </c>
      <c r="AP127" s="75" t="e">
        <f t="shared" si="48"/>
        <v>#REF!</v>
      </c>
      <c r="AQ127" s="7" t="e">
        <f t="shared" si="40"/>
        <v>#REF!</v>
      </c>
      <c r="AR127" s="41"/>
    </row>
    <row r="128" spans="10:44" x14ac:dyDescent="0.25">
      <c r="J128" s="5">
        <f t="shared" si="36"/>
        <v>39</v>
      </c>
      <c r="K128" s="5">
        <f t="shared" si="49"/>
        <v>2037</v>
      </c>
      <c r="L128" s="34" t="s">
        <v>42</v>
      </c>
      <c r="M128" s="70">
        <f t="shared" si="55"/>
        <v>12216.709700830812</v>
      </c>
      <c r="N128" s="70">
        <f t="shared" si="50"/>
        <v>12216.709700830812</v>
      </c>
      <c r="O128" s="71"/>
      <c r="P128" s="86">
        <v>4</v>
      </c>
      <c r="Q128" s="51">
        <v>4</v>
      </c>
      <c r="R128" s="88">
        <f t="shared" si="42"/>
        <v>1</v>
      </c>
      <c r="S128" s="6">
        <v>0</v>
      </c>
      <c r="T128" s="8">
        <f t="shared" si="37"/>
        <v>48866.838803323248</v>
      </c>
      <c r="U128" s="8" t="e">
        <f>#REF!</f>
        <v>#REF!</v>
      </c>
      <c r="V128" s="8"/>
      <c r="W128" s="8" t="e">
        <f t="shared" si="56"/>
        <v>#REF!</v>
      </c>
      <c r="X128" s="27"/>
      <c r="Y128" s="26" t="e">
        <f t="shared" si="43"/>
        <v>#REF!</v>
      </c>
      <c r="Z128" s="95"/>
      <c r="AA128" s="95"/>
      <c r="AB128" s="8">
        <f>'Business_172 PH Rd Budget'!$C$25</f>
        <v>2155.2899999999995</v>
      </c>
      <c r="AC128" s="8" t="e">
        <f t="shared" si="44"/>
        <v>#REF!</v>
      </c>
      <c r="AD128" s="8">
        <v>350000</v>
      </c>
      <c r="AE128" s="76" t="e">
        <f t="shared" si="51"/>
        <v>#REF!</v>
      </c>
      <c r="AF128" s="8" t="e">
        <f t="shared" si="52"/>
        <v>#REF!</v>
      </c>
      <c r="AH128" s="7" t="e">
        <f t="shared" si="54"/>
        <v>#REF!</v>
      </c>
      <c r="AI128" s="79" t="e">
        <f t="shared" si="45"/>
        <v>#REF!</v>
      </c>
      <c r="AJ128" s="79" t="e">
        <f t="shared" si="46"/>
        <v>#REF!</v>
      </c>
      <c r="AK128" s="75" t="e">
        <f>PMT(#REF!,#REF!,-#REF!,0,0)</f>
        <v>#REF!</v>
      </c>
      <c r="AL128" s="75"/>
      <c r="AM128" s="7" t="e">
        <f>AJ128*(#REF!/12)</f>
        <v>#REF!</v>
      </c>
      <c r="AN128" s="7" t="e">
        <f t="shared" si="47"/>
        <v>#REF!</v>
      </c>
      <c r="AO128" s="75" t="e">
        <f t="shared" si="53"/>
        <v>#REF!</v>
      </c>
      <c r="AP128" s="75" t="e">
        <f t="shared" si="48"/>
        <v>#REF!</v>
      </c>
      <c r="AQ128" s="7" t="e">
        <f t="shared" si="40"/>
        <v>#REF!</v>
      </c>
      <c r="AR128" s="41"/>
    </row>
    <row r="129" spans="10:44" x14ac:dyDescent="0.25">
      <c r="J129" s="5">
        <f t="shared" si="36"/>
        <v>39</v>
      </c>
      <c r="K129" s="5">
        <f t="shared" si="49"/>
        <v>2037</v>
      </c>
      <c r="L129" s="34" t="s">
        <v>44</v>
      </c>
      <c r="M129" s="70">
        <f t="shared" si="55"/>
        <v>12216.709700830812</v>
      </c>
      <c r="N129" s="70">
        <f t="shared" si="50"/>
        <v>12216.709700830812</v>
      </c>
      <c r="O129" s="71"/>
      <c r="P129" s="86">
        <v>4</v>
      </c>
      <c r="Q129" s="51">
        <v>4</v>
      </c>
      <c r="R129" s="88">
        <f t="shared" si="42"/>
        <v>1</v>
      </c>
      <c r="S129" s="6">
        <v>0</v>
      </c>
      <c r="T129" s="8">
        <f t="shared" si="37"/>
        <v>48866.838803323248</v>
      </c>
      <c r="U129" s="8" t="e">
        <f>#REF!</f>
        <v>#REF!</v>
      </c>
      <c r="V129" s="8"/>
      <c r="W129" s="8" t="e">
        <f t="shared" si="56"/>
        <v>#REF!</v>
      </c>
      <c r="X129" s="27"/>
      <c r="Y129" s="26" t="e">
        <f t="shared" si="43"/>
        <v>#REF!</v>
      </c>
      <c r="Z129" s="95"/>
      <c r="AA129" s="95"/>
      <c r="AB129" s="8">
        <f>'Business_172 PH Rd Budget'!$C$25</f>
        <v>2155.2899999999995</v>
      </c>
      <c r="AC129" s="8" t="e">
        <f t="shared" si="44"/>
        <v>#REF!</v>
      </c>
      <c r="AD129" s="8">
        <v>350000</v>
      </c>
      <c r="AE129" s="76" t="e">
        <f t="shared" si="51"/>
        <v>#REF!</v>
      </c>
      <c r="AF129" s="8" t="e">
        <f t="shared" si="52"/>
        <v>#REF!</v>
      </c>
      <c r="AH129" s="7" t="e">
        <f t="shared" si="54"/>
        <v>#REF!</v>
      </c>
      <c r="AI129" s="79" t="e">
        <f t="shared" si="45"/>
        <v>#REF!</v>
      </c>
      <c r="AJ129" s="79" t="e">
        <f t="shared" si="46"/>
        <v>#REF!</v>
      </c>
      <c r="AK129" s="75" t="e">
        <f>PMT(#REF!,#REF!,-#REF!,0,0)</f>
        <v>#REF!</v>
      </c>
      <c r="AL129" s="75"/>
      <c r="AM129" s="7" t="e">
        <f>AJ129*(#REF!/12)</f>
        <v>#REF!</v>
      </c>
      <c r="AN129" s="7" t="e">
        <f t="shared" si="47"/>
        <v>#REF!</v>
      </c>
      <c r="AO129" s="75" t="e">
        <f t="shared" si="53"/>
        <v>#REF!</v>
      </c>
      <c r="AP129" s="75" t="e">
        <f t="shared" si="48"/>
        <v>#REF!</v>
      </c>
      <c r="AQ129" s="7" t="e">
        <f t="shared" si="40"/>
        <v>#REF!</v>
      </c>
      <c r="AR129" s="41"/>
    </row>
    <row r="130" spans="10:44" x14ac:dyDescent="0.25">
      <c r="J130" s="5">
        <f t="shared" si="36"/>
        <v>39</v>
      </c>
      <c r="K130" s="5">
        <f t="shared" si="49"/>
        <v>2037</v>
      </c>
      <c r="L130" s="34" t="s">
        <v>47</v>
      </c>
      <c r="M130" s="70">
        <f t="shared" si="55"/>
        <v>12216.709700830812</v>
      </c>
      <c r="N130" s="70">
        <f t="shared" si="50"/>
        <v>12216.709700830812</v>
      </c>
      <c r="O130" s="71"/>
      <c r="P130" s="86">
        <v>5</v>
      </c>
      <c r="Q130" s="51">
        <v>4</v>
      </c>
      <c r="R130" s="88">
        <f t="shared" si="42"/>
        <v>0.8</v>
      </c>
      <c r="S130" s="6">
        <v>0</v>
      </c>
      <c r="T130" s="8">
        <f t="shared" si="37"/>
        <v>48866.838803323248</v>
      </c>
      <c r="U130" s="8" t="e">
        <f>#REF!</f>
        <v>#REF!</v>
      </c>
      <c r="V130" s="8"/>
      <c r="W130" s="8" t="e">
        <f t="shared" si="56"/>
        <v>#REF!</v>
      </c>
      <c r="X130" s="27"/>
      <c r="Y130" s="26" t="e">
        <f t="shared" si="43"/>
        <v>#REF!</v>
      </c>
      <c r="Z130" s="95"/>
      <c r="AA130" s="95"/>
      <c r="AB130" s="8">
        <f>'Business_172 PH Rd Budget'!$C$25</f>
        <v>2155.2899999999995</v>
      </c>
      <c r="AC130" s="8" t="e">
        <f t="shared" si="44"/>
        <v>#REF!</v>
      </c>
      <c r="AD130" s="8">
        <v>350000</v>
      </c>
      <c r="AE130" s="76" t="e">
        <f t="shared" si="51"/>
        <v>#REF!</v>
      </c>
      <c r="AF130" s="8" t="e">
        <f t="shared" si="52"/>
        <v>#REF!</v>
      </c>
      <c r="AH130" s="7" t="e">
        <f t="shared" si="54"/>
        <v>#REF!</v>
      </c>
      <c r="AI130" s="79" t="e">
        <f t="shared" si="45"/>
        <v>#REF!</v>
      </c>
      <c r="AJ130" s="79" t="e">
        <f t="shared" si="46"/>
        <v>#REF!</v>
      </c>
      <c r="AK130" s="75" t="e">
        <f>PMT(#REF!,#REF!,-#REF!,0,0)</f>
        <v>#REF!</v>
      </c>
      <c r="AL130" s="75"/>
      <c r="AM130" s="7" t="e">
        <f>AJ130*(#REF!/12)</f>
        <v>#REF!</v>
      </c>
      <c r="AN130" s="7" t="e">
        <f t="shared" si="47"/>
        <v>#REF!</v>
      </c>
      <c r="AO130" s="75" t="e">
        <f t="shared" si="53"/>
        <v>#REF!</v>
      </c>
      <c r="AP130" s="75" t="e">
        <f t="shared" si="48"/>
        <v>#REF!</v>
      </c>
      <c r="AQ130" s="7" t="e">
        <f t="shared" si="40"/>
        <v>#REF!</v>
      </c>
      <c r="AR130" s="41"/>
    </row>
    <row r="131" spans="10:44" x14ac:dyDescent="0.25">
      <c r="J131" s="5">
        <f t="shared" si="36"/>
        <v>39</v>
      </c>
      <c r="K131" s="5">
        <f t="shared" si="49"/>
        <v>2037</v>
      </c>
      <c r="L131" s="34" t="s">
        <v>49</v>
      </c>
      <c r="M131" s="70">
        <f t="shared" si="55"/>
        <v>12216.709700830812</v>
      </c>
      <c r="N131" s="70">
        <f t="shared" ref="N131:N162" si="57">M131*(1-S131)</f>
        <v>12216.709700830812</v>
      </c>
      <c r="O131" s="71"/>
      <c r="P131" s="86">
        <v>4</v>
      </c>
      <c r="Q131" s="44">
        <v>4</v>
      </c>
      <c r="R131" s="88">
        <f t="shared" si="42"/>
        <v>1</v>
      </c>
      <c r="S131" s="6">
        <v>0</v>
      </c>
      <c r="T131" s="8">
        <f t="shared" si="37"/>
        <v>48866.838803323248</v>
      </c>
      <c r="U131" s="8" t="e">
        <f>#REF!</f>
        <v>#REF!</v>
      </c>
      <c r="V131" s="8"/>
      <c r="W131" s="8" t="e">
        <f t="shared" si="56"/>
        <v>#REF!</v>
      </c>
      <c r="X131" s="27"/>
      <c r="Y131" s="26" t="e">
        <f t="shared" si="43"/>
        <v>#REF!</v>
      </c>
      <c r="Z131" s="95"/>
      <c r="AA131" s="95"/>
      <c r="AB131" s="8">
        <f>'Business_172 PH Rd Budget'!$C$25</f>
        <v>2155.2899999999995</v>
      </c>
      <c r="AC131" s="8" t="e">
        <f t="shared" si="44"/>
        <v>#REF!</v>
      </c>
      <c r="AD131" s="8">
        <v>350000</v>
      </c>
      <c r="AE131" s="76" t="e">
        <f t="shared" ref="AE131:AE162" si="58">IF(AC131&lt;$C$8,0,AC131-AD131)</f>
        <v>#REF!</v>
      </c>
      <c r="AF131" s="8" t="e">
        <f t="shared" ref="AF131:AF162" si="59">AE131*(1+$C$7)-AE131</f>
        <v>#REF!</v>
      </c>
      <c r="AH131" s="7" t="e">
        <f t="shared" si="54"/>
        <v>#REF!</v>
      </c>
      <c r="AI131" s="79" t="e">
        <f t="shared" si="45"/>
        <v>#REF!</v>
      </c>
      <c r="AJ131" s="79" t="e">
        <f t="shared" si="46"/>
        <v>#REF!</v>
      </c>
      <c r="AK131" s="75" t="e">
        <f>PMT(#REF!,#REF!,-#REF!,0,0)</f>
        <v>#REF!</v>
      </c>
      <c r="AL131" s="75"/>
      <c r="AM131" s="7" t="e">
        <f>AJ131*(#REF!/12)</f>
        <v>#REF!</v>
      </c>
      <c r="AN131" s="7" t="e">
        <f t="shared" si="47"/>
        <v>#REF!</v>
      </c>
      <c r="AO131" s="75" t="e">
        <f t="shared" ref="AO131:AO162" si="60">AK131-AM131</f>
        <v>#REF!</v>
      </c>
      <c r="AP131" s="75" t="e">
        <f t="shared" si="48"/>
        <v>#REF!</v>
      </c>
      <c r="AQ131" s="7" t="e">
        <f t="shared" si="40"/>
        <v>#REF!</v>
      </c>
      <c r="AR131" s="41"/>
    </row>
    <row r="132" spans="10:44" x14ac:dyDescent="0.25">
      <c r="J132" s="5">
        <f t="shared" ref="J132:J194" si="61">K132-1998</f>
        <v>39</v>
      </c>
      <c r="K132" s="5">
        <f t="shared" si="49"/>
        <v>2037</v>
      </c>
      <c r="L132" s="34" t="s">
        <v>51</v>
      </c>
      <c r="M132" s="70">
        <f t="shared" si="55"/>
        <v>12216.709700830812</v>
      </c>
      <c r="N132" s="70">
        <f t="shared" si="57"/>
        <v>12216.709700830812</v>
      </c>
      <c r="O132" s="71"/>
      <c r="P132" s="86">
        <v>4</v>
      </c>
      <c r="Q132" s="44">
        <v>4</v>
      </c>
      <c r="R132" s="88">
        <f t="shared" si="42"/>
        <v>1</v>
      </c>
      <c r="S132" s="6">
        <v>0</v>
      </c>
      <c r="T132" s="8">
        <f t="shared" ref="T132:T194" si="62">Q132*N132</f>
        <v>48866.838803323248</v>
      </c>
      <c r="U132" s="8" t="e">
        <f>#REF!</f>
        <v>#REF!</v>
      </c>
      <c r="V132" s="8"/>
      <c r="W132" s="8" t="e">
        <f t="shared" si="56"/>
        <v>#REF!</v>
      </c>
      <c r="X132" s="27"/>
      <c r="Y132" s="26" t="e">
        <f t="shared" si="43"/>
        <v>#REF!</v>
      </c>
      <c r="Z132" s="95"/>
      <c r="AA132" s="95"/>
      <c r="AB132" s="8">
        <f>'Business_172 PH Rd Budget'!$C$25</f>
        <v>2155.2899999999995</v>
      </c>
      <c r="AC132" s="8" t="e">
        <f t="shared" si="44"/>
        <v>#REF!</v>
      </c>
      <c r="AD132" s="8">
        <v>350000</v>
      </c>
      <c r="AE132" s="76" t="e">
        <f t="shared" si="58"/>
        <v>#REF!</v>
      </c>
      <c r="AF132" s="8" t="e">
        <f t="shared" si="59"/>
        <v>#REF!</v>
      </c>
      <c r="AH132" s="7" t="e">
        <f t="shared" ref="AH132:AH163" si="63">AH131*(1+$C$5)</f>
        <v>#REF!</v>
      </c>
      <c r="AI132" s="79" t="e">
        <f t="shared" si="45"/>
        <v>#REF!</v>
      </c>
      <c r="AJ132" s="79" t="e">
        <f t="shared" si="46"/>
        <v>#REF!</v>
      </c>
      <c r="AK132" s="75" t="e">
        <f>PMT(#REF!,#REF!,-#REF!,0,0)</f>
        <v>#REF!</v>
      </c>
      <c r="AL132" s="75"/>
      <c r="AM132" s="7" t="e">
        <f>AJ132*(#REF!/12)</f>
        <v>#REF!</v>
      </c>
      <c r="AN132" s="7" t="e">
        <f t="shared" si="47"/>
        <v>#REF!</v>
      </c>
      <c r="AO132" s="75" t="e">
        <f t="shared" si="60"/>
        <v>#REF!</v>
      </c>
      <c r="AP132" s="75" t="e">
        <f t="shared" si="48"/>
        <v>#REF!</v>
      </c>
      <c r="AQ132" s="7" t="e">
        <f t="shared" ref="AQ132:AQ195" si="64">AJ132-(AO132+AL132)</f>
        <v>#REF!</v>
      </c>
      <c r="AR132" s="41"/>
    </row>
    <row r="133" spans="10:44" x14ac:dyDescent="0.25">
      <c r="J133" s="5">
        <f t="shared" si="61"/>
        <v>39</v>
      </c>
      <c r="K133" s="5">
        <f t="shared" si="49"/>
        <v>2037</v>
      </c>
      <c r="L133" s="34" t="s">
        <v>53</v>
      </c>
      <c r="M133" s="70">
        <f t="shared" si="55"/>
        <v>12216.709700830812</v>
      </c>
      <c r="N133" s="70">
        <f t="shared" si="57"/>
        <v>10995.03873074773</v>
      </c>
      <c r="O133" s="71"/>
      <c r="P133" s="87"/>
      <c r="Q133" s="68">
        <v>0</v>
      </c>
      <c r="R133" s="88" t="str">
        <f t="shared" ref="R133:R194" si="65">IFERROR(Q133/P133,"")</f>
        <v/>
      </c>
      <c r="S133" s="69">
        <v>0.1</v>
      </c>
      <c r="T133" s="8">
        <f t="shared" si="62"/>
        <v>0</v>
      </c>
      <c r="U133" s="8" t="e">
        <f>#REF!</f>
        <v>#REF!</v>
      </c>
      <c r="V133" s="8"/>
      <c r="W133" s="8" t="e">
        <f t="shared" si="56"/>
        <v>#REF!</v>
      </c>
      <c r="X133" s="27"/>
      <c r="Y133" s="26" t="e">
        <f t="shared" ref="Y133:Y194" si="66">(AC132+T133)-U133</f>
        <v>#REF!</v>
      </c>
      <c r="Z133" s="95"/>
      <c r="AA133" s="95"/>
      <c r="AB133" s="8">
        <f>'Business_172 PH Rd Budget'!$C$25</f>
        <v>2155.2899999999995</v>
      </c>
      <c r="AC133" s="8" t="e">
        <f t="shared" ref="AC133:AC194" si="67">(Y133+Z133+AA133)-AB133</f>
        <v>#REF!</v>
      </c>
      <c r="AD133" s="8">
        <v>350000</v>
      </c>
      <c r="AE133" s="76" t="e">
        <f t="shared" si="58"/>
        <v>#REF!</v>
      </c>
      <c r="AF133" s="8" t="e">
        <f t="shared" si="59"/>
        <v>#REF!</v>
      </c>
      <c r="AH133" s="7" t="e">
        <f t="shared" si="63"/>
        <v>#REF!</v>
      </c>
      <c r="AI133" s="79" t="e">
        <f t="shared" ref="AI133:AI191" si="68">AI132+AH134-AH133</f>
        <v>#REF!</v>
      </c>
      <c r="AJ133" s="79" t="e">
        <f t="shared" ref="AJ133:AJ164" si="69">AQ132</f>
        <v>#REF!</v>
      </c>
      <c r="AK133" s="75" t="e">
        <f>PMT(#REF!,#REF!,-#REF!,0,0)</f>
        <v>#REF!</v>
      </c>
      <c r="AL133" s="75"/>
      <c r="AM133" s="7" t="e">
        <f>AJ133*(#REF!/12)</f>
        <v>#REF!</v>
      </c>
      <c r="AN133" s="7" t="e">
        <f t="shared" ref="AN133:AN196" si="70">AN132+AM133</f>
        <v>#REF!</v>
      </c>
      <c r="AO133" s="75" t="e">
        <f t="shared" si="60"/>
        <v>#REF!</v>
      </c>
      <c r="AP133" s="75" t="e">
        <f t="shared" ref="AP133:AP196" si="71">AP132+AO133</f>
        <v>#REF!</v>
      </c>
      <c r="AQ133" s="7" t="e">
        <f t="shared" si="64"/>
        <v>#REF!</v>
      </c>
      <c r="AR133" s="41"/>
    </row>
    <row r="134" spans="10:44" x14ac:dyDescent="0.25">
      <c r="J134" s="5">
        <f t="shared" si="61"/>
        <v>39</v>
      </c>
      <c r="K134" s="5">
        <f t="shared" si="49"/>
        <v>2037</v>
      </c>
      <c r="L134" s="34" t="s">
        <v>55</v>
      </c>
      <c r="M134" s="70">
        <f t="shared" si="55"/>
        <v>12216.709700830812</v>
      </c>
      <c r="N134" s="70">
        <f t="shared" si="57"/>
        <v>9773.3677606646506</v>
      </c>
      <c r="O134" s="71"/>
      <c r="P134" s="86"/>
      <c r="Q134" s="51">
        <v>0</v>
      </c>
      <c r="R134" s="88" t="str">
        <f t="shared" si="65"/>
        <v/>
      </c>
      <c r="S134" s="6">
        <v>0.2</v>
      </c>
      <c r="T134" s="8">
        <f t="shared" si="62"/>
        <v>0</v>
      </c>
      <c r="U134" s="8" t="e">
        <f>#REF!</f>
        <v>#REF!</v>
      </c>
      <c r="V134" s="8"/>
      <c r="W134" s="8" t="e">
        <f t="shared" si="56"/>
        <v>#REF!</v>
      </c>
      <c r="X134" s="27"/>
      <c r="Y134" s="26" t="e">
        <f t="shared" si="66"/>
        <v>#REF!</v>
      </c>
      <c r="Z134" s="95"/>
      <c r="AA134" s="95"/>
      <c r="AB134" s="8">
        <f>'Business_172 PH Rd Budget'!$C$25</f>
        <v>2155.2899999999995</v>
      </c>
      <c r="AC134" s="8" t="e">
        <f t="shared" si="67"/>
        <v>#REF!</v>
      </c>
      <c r="AD134" s="8">
        <v>350000</v>
      </c>
      <c r="AE134" s="76" t="e">
        <f t="shared" si="58"/>
        <v>#REF!</v>
      </c>
      <c r="AF134" s="8" t="e">
        <f t="shared" si="59"/>
        <v>#REF!</v>
      </c>
      <c r="AH134" s="7" t="e">
        <f t="shared" si="63"/>
        <v>#REF!</v>
      </c>
      <c r="AI134" s="79" t="e">
        <f t="shared" si="68"/>
        <v>#REF!</v>
      </c>
      <c r="AJ134" s="79" t="e">
        <f t="shared" si="69"/>
        <v>#REF!</v>
      </c>
      <c r="AK134" s="75" t="e">
        <f>PMT(#REF!,#REF!,-#REF!,0,0)</f>
        <v>#REF!</v>
      </c>
      <c r="AL134" s="75"/>
      <c r="AM134" s="7" t="e">
        <f>AJ134*(#REF!/12)</f>
        <v>#REF!</v>
      </c>
      <c r="AN134" s="7" t="e">
        <f t="shared" si="70"/>
        <v>#REF!</v>
      </c>
      <c r="AO134" s="75" t="e">
        <f t="shared" si="60"/>
        <v>#REF!</v>
      </c>
      <c r="AP134" s="75" t="e">
        <f t="shared" si="71"/>
        <v>#REF!</v>
      </c>
      <c r="AQ134" s="7" t="e">
        <f t="shared" si="64"/>
        <v>#REF!</v>
      </c>
      <c r="AR134" s="41"/>
    </row>
    <row r="135" spans="10:44" x14ac:dyDescent="0.25">
      <c r="J135" s="5">
        <f t="shared" si="61"/>
        <v>40</v>
      </c>
      <c r="K135" s="5">
        <f t="shared" si="49"/>
        <v>2038</v>
      </c>
      <c r="L135" s="34" t="s">
        <v>31</v>
      </c>
      <c r="M135" s="70">
        <f t="shared" si="55"/>
        <v>12827.545185872354</v>
      </c>
      <c r="N135" s="70">
        <f t="shared" si="57"/>
        <v>9620.6588894042652</v>
      </c>
      <c r="O135" s="71">
        <v>0.05</v>
      </c>
      <c r="P135" s="86"/>
      <c r="Q135" s="51">
        <v>0</v>
      </c>
      <c r="R135" s="88" t="str">
        <f t="shared" si="65"/>
        <v/>
      </c>
      <c r="S135" s="6">
        <v>0.25</v>
      </c>
      <c r="T135" s="8">
        <f t="shared" si="62"/>
        <v>0</v>
      </c>
      <c r="U135" s="8" t="e">
        <f>#REF!</f>
        <v>#REF!</v>
      </c>
      <c r="V135" s="8"/>
      <c r="W135" s="8" t="e">
        <f t="shared" si="56"/>
        <v>#REF!</v>
      </c>
      <c r="X135" s="27"/>
      <c r="Y135" s="26" t="e">
        <f t="shared" si="66"/>
        <v>#REF!</v>
      </c>
      <c r="Z135" s="95"/>
      <c r="AA135" s="95"/>
      <c r="AB135" s="8">
        <f>'Business_172 PH Rd Budget'!$C$25</f>
        <v>2155.2899999999995</v>
      </c>
      <c r="AC135" s="8" t="e">
        <f t="shared" si="67"/>
        <v>#REF!</v>
      </c>
      <c r="AD135" s="8">
        <v>350000</v>
      </c>
      <c r="AE135" s="76" t="e">
        <f t="shared" si="58"/>
        <v>#REF!</v>
      </c>
      <c r="AF135" s="8" t="e">
        <f t="shared" si="59"/>
        <v>#REF!</v>
      </c>
      <c r="AH135" s="7" t="e">
        <f t="shared" si="63"/>
        <v>#REF!</v>
      </c>
      <c r="AI135" s="79" t="e">
        <f t="shared" si="68"/>
        <v>#REF!</v>
      </c>
      <c r="AJ135" s="79" t="e">
        <f t="shared" si="69"/>
        <v>#REF!</v>
      </c>
      <c r="AK135" s="75" t="e">
        <f>PMT(#REF!,#REF!,-#REF!,0,0)</f>
        <v>#REF!</v>
      </c>
      <c r="AL135" s="75"/>
      <c r="AM135" s="7" t="e">
        <f>AJ135*(#REF!/12)</f>
        <v>#REF!</v>
      </c>
      <c r="AN135" s="7" t="e">
        <f t="shared" si="70"/>
        <v>#REF!</v>
      </c>
      <c r="AO135" s="75" t="e">
        <f t="shared" si="60"/>
        <v>#REF!</v>
      </c>
      <c r="AP135" s="75" t="e">
        <f t="shared" si="71"/>
        <v>#REF!</v>
      </c>
      <c r="AQ135" s="7" t="e">
        <f t="shared" si="64"/>
        <v>#REF!</v>
      </c>
      <c r="AR135" s="41"/>
    </row>
    <row r="136" spans="10:44" x14ac:dyDescent="0.25">
      <c r="J136" s="5">
        <f t="shared" si="61"/>
        <v>40</v>
      </c>
      <c r="K136" s="5">
        <f t="shared" si="49"/>
        <v>2038</v>
      </c>
      <c r="L136" s="34" t="s">
        <v>33</v>
      </c>
      <c r="M136" s="70">
        <f t="shared" si="55"/>
        <v>12827.545185872354</v>
      </c>
      <c r="N136" s="70">
        <f t="shared" si="57"/>
        <v>9620.6588894042652</v>
      </c>
      <c r="O136" s="71"/>
      <c r="P136" s="86"/>
      <c r="Q136" s="51">
        <v>0</v>
      </c>
      <c r="R136" s="88" t="str">
        <f t="shared" si="65"/>
        <v/>
      </c>
      <c r="S136" s="6">
        <v>0.25</v>
      </c>
      <c r="T136" s="8">
        <f t="shared" si="62"/>
        <v>0</v>
      </c>
      <c r="U136" s="8" t="e">
        <f>#REF!</f>
        <v>#REF!</v>
      </c>
      <c r="V136" s="8"/>
      <c r="W136" s="8" t="e">
        <f t="shared" si="56"/>
        <v>#REF!</v>
      </c>
      <c r="X136" s="27"/>
      <c r="Y136" s="26" t="e">
        <f t="shared" si="66"/>
        <v>#REF!</v>
      </c>
      <c r="Z136" s="95"/>
      <c r="AA136" s="95"/>
      <c r="AB136" s="8">
        <f>'Business_172 PH Rd Budget'!$C$25</f>
        <v>2155.2899999999995</v>
      </c>
      <c r="AC136" s="8" t="e">
        <f t="shared" si="67"/>
        <v>#REF!</v>
      </c>
      <c r="AD136" s="8">
        <v>350000</v>
      </c>
      <c r="AE136" s="76" t="e">
        <f t="shared" si="58"/>
        <v>#REF!</v>
      </c>
      <c r="AF136" s="8" t="e">
        <f t="shared" si="59"/>
        <v>#REF!</v>
      </c>
      <c r="AH136" s="7" t="e">
        <f t="shared" si="63"/>
        <v>#REF!</v>
      </c>
      <c r="AI136" s="79" t="e">
        <f t="shared" si="68"/>
        <v>#REF!</v>
      </c>
      <c r="AJ136" s="79" t="e">
        <f t="shared" si="69"/>
        <v>#REF!</v>
      </c>
      <c r="AK136" s="75" t="e">
        <f>PMT(#REF!,#REF!,-#REF!,0,0)</f>
        <v>#REF!</v>
      </c>
      <c r="AL136" s="75"/>
      <c r="AM136" s="7" t="e">
        <f>AJ136*(#REF!/12)</f>
        <v>#REF!</v>
      </c>
      <c r="AN136" s="7" t="e">
        <f t="shared" si="70"/>
        <v>#REF!</v>
      </c>
      <c r="AO136" s="75" t="e">
        <f t="shared" si="60"/>
        <v>#REF!</v>
      </c>
      <c r="AP136" s="75" t="e">
        <f t="shared" si="71"/>
        <v>#REF!</v>
      </c>
      <c r="AQ136" s="7" t="e">
        <f t="shared" si="64"/>
        <v>#REF!</v>
      </c>
      <c r="AR136" s="41"/>
    </row>
    <row r="137" spans="10:44" x14ac:dyDescent="0.25">
      <c r="J137" s="5">
        <f t="shared" si="61"/>
        <v>40</v>
      </c>
      <c r="K137" s="5">
        <f t="shared" si="49"/>
        <v>2038</v>
      </c>
      <c r="L137" s="34" t="s">
        <v>36</v>
      </c>
      <c r="M137" s="70">
        <f t="shared" si="55"/>
        <v>12827.545185872354</v>
      </c>
      <c r="N137" s="70">
        <f t="shared" si="57"/>
        <v>10262.036148697884</v>
      </c>
      <c r="O137" s="71"/>
      <c r="P137" s="86"/>
      <c r="Q137" s="51">
        <v>0</v>
      </c>
      <c r="R137" s="88" t="str">
        <f t="shared" si="65"/>
        <v/>
      </c>
      <c r="S137" s="6">
        <v>0.2</v>
      </c>
      <c r="T137" s="8">
        <f t="shared" si="62"/>
        <v>0</v>
      </c>
      <c r="U137" s="8" t="e">
        <f>#REF!</f>
        <v>#REF!</v>
      </c>
      <c r="V137" s="8"/>
      <c r="W137" s="8" t="e">
        <f t="shared" si="56"/>
        <v>#REF!</v>
      </c>
      <c r="X137" s="27"/>
      <c r="Y137" s="26" t="e">
        <f t="shared" si="66"/>
        <v>#REF!</v>
      </c>
      <c r="Z137" s="95"/>
      <c r="AA137" s="95"/>
      <c r="AB137" s="8">
        <f>'Business_172 PH Rd Budget'!$C$25</f>
        <v>2155.2899999999995</v>
      </c>
      <c r="AC137" s="8" t="e">
        <f t="shared" si="67"/>
        <v>#REF!</v>
      </c>
      <c r="AD137" s="8">
        <v>350000</v>
      </c>
      <c r="AE137" s="76" t="e">
        <f t="shared" si="58"/>
        <v>#REF!</v>
      </c>
      <c r="AF137" s="8" t="e">
        <f t="shared" si="59"/>
        <v>#REF!</v>
      </c>
      <c r="AH137" s="7" t="e">
        <f t="shared" si="63"/>
        <v>#REF!</v>
      </c>
      <c r="AI137" s="79" t="e">
        <f t="shared" si="68"/>
        <v>#REF!</v>
      </c>
      <c r="AJ137" s="79" t="e">
        <f t="shared" si="69"/>
        <v>#REF!</v>
      </c>
      <c r="AK137" s="75" t="e">
        <f>PMT(#REF!,#REF!,-#REF!,0,0)</f>
        <v>#REF!</v>
      </c>
      <c r="AL137" s="75"/>
      <c r="AM137" s="7" t="e">
        <f>AJ137*(#REF!/12)</f>
        <v>#REF!</v>
      </c>
      <c r="AN137" s="7" t="e">
        <f t="shared" si="70"/>
        <v>#REF!</v>
      </c>
      <c r="AO137" s="75" t="e">
        <f t="shared" si="60"/>
        <v>#REF!</v>
      </c>
      <c r="AP137" s="75" t="e">
        <f t="shared" si="71"/>
        <v>#REF!</v>
      </c>
      <c r="AQ137" s="7" t="e">
        <f t="shared" si="64"/>
        <v>#REF!</v>
      </c>
      <c r="AR137" s="41"/>
    </row>
    <row r="138" spans="10:44" x14ac:dyDescent="0.25">
      <c r="J138" s="5">
        <f t="shared" si="61"/>
        <v>40</v>
      </c>
      <c r="K138" s="5">
        <f t="shared" si="49"/>
        <v>2038</v>
      </c>
      <c r="L138" s="34" t="s">
        <v>38</v>
      </c>
      <c r="M138" s="70">
        <f t="shared" si="55"/>
        <v>12827.545185872354</v>
      </c>
      <c r="N138" s="70">
        <f t="shared" si="57"/>
        <v>11544.790667285119</v>
      </c>
      <c r="O138" s="71"/>
      <c r="P138" s="86"/>
      <c r="Q138" s="51"/>
      <c r="R138" s="88" t="str">
        <f t="shared" si="65"/>
        <v/>
      </c>
      <c r="S138" s="6">
        <v>0.1</v>
      </c>
      <c r="T138" s="8">
        <f t="shared" si="62"/>
        <v>0</v>
      </c>
      <c r="U138" s="8" t="e">
        <f>#REF!</f>
        <v>#REF!</v>
      </c>
      <c r="V138" s="8"/>
      <c r="W138" s="8" t="e">
        <f t="shared" si="56"/>
        <v>#REF!</v>
      </c>
      <c r="X138" s="27"/>
      <c r="Y138" s="26" t="e">
        <f t="shared" si="66"/>
        <v>#REF!</v>
      </c>
      <c r="Z138" s="95"/>
      <c r="AA138" s="95"/>
      <c r="AB138" s="8">
        <f>'Business_172 PH Rd Budget'!$C$25</f>
        <v>2155.2899999999995</v>
      </c>
      <c r="AC138" s="8" t="e">
        <f t="shared" si="67"/>
        <v>#REF!</v>
      </c>
      <c r="AD138" s="8">
        <v>350000</v>
      </c>
      <c r="AE138" s="76" t="e">
        <f t="shared" si="58"/>
        <v>#REF!</v>
      </c>
      <c r="AF138" s="8" t="e">
        <f t="shared" si="59"/>
        <v>#REF!</v>
      </c>
      <c r="AH138" s="7" t="e">
        <f t="shared" si="63"/>
        <v>#REF!</v>
      </c>
      <c r="AI138" s="79" t="e">
        <f t="shared" si="68"/>
        <v>#REF!</v>
      </c>
      <c r="AJ138" s="79" t="e">
        <f t="shared" si="69"/>
        <v>#REF!</v>
      </c>
      <c r="AK138" s="75" t="e">
        <f>PMT(#REF!,#REF!,-#REF!,0,0)</f>
        <v>#REF!</v>
      </c>
      <c r="AL138" s="75"/>
      <c r="AM138" s="7" t="e">
        <f>AJ138*(#REF!/12)</f>
        <v>#REF!</v>
      </c>
      <c r="AN138" s="7" t="e">
        <f t="shared" si="70"/>
        <v>#REF!</v>
      </c>
      <c r="AO138" s="75" t="e">
        <f t="shared" si="60"/>
        <v>#REF!</v>
      </c>
      <c r="AP138" s="75" t="e">
        <f t="shared" si="71"/>
        <v>#REF!</v>
      </c>
      <c r="AQ138" s="7" t="e">
        <f t="shared" si="64"/>
        <v>#REF!</v>
      </c>
      <c r="AR138" s="41"/>
    </row>
    <row r="139" spans="10:44" x14ac:dyDescent="0.25">
      <c r="J139" s="5">
        <f t="shared" si="61"/>
        <v>40</v>
      </c>
      <c r="K139" s="5">
        <f t="shared" si="49"/>
        <v>2038</v>
      </c>
      <c r="L139" s="34" t="s">
        <v>40</v>
      </c>
      <c r="M139" s="70">
        <f t="shared" si="55"/>
        <v>12827.545185872354</v>
      </c>
      <c r="N139" s="70">
        <f t="shared" si="57"/>
        <v>12827.545185872354</v>
      </c>
      <c r="O139" s="71"/>
      <c r="P139" s="86">
        <v>5</v>
      </c>
      <c r="Q139" s="51">
        <v>2</v>
      </c>
      <c r="R139" s="88">
        <f t="shared" si="65"/>
        <v>0.4</v>
      </c>
      <c r="S139" s="6">
        <v>0</v>
      </c>
      <c r="T139" s="8">
        <f t="shared" si="62"/>
        <v>25655.090371744707</v>
      </c>
      <c r="U139" s="8" t="e">
        <f>#REF!</f>
        <v>#REF!</v>
      </c>
      <c r="V139" s="8"/>
      <c r="W139" s="8" t="e">
        <f t="shared" si="56"/>
        <v>#REF!</v>
      </c>
      <c r="X139" s="27"/>
      <c r="Y139" s="26" t="e">
        <f t="shared" si="66"/>
        <v>#REF!</v>
      </c>
      <c r="Z139" s="95"/>
      <c r="AA139" s="95"/>
      <c r="AB139" s="8">
        <f>'Business_172 PH Rd Budget'!$C$25</f>
        <v>2155.2899999999995</v>
      </c>
      <c r="AC139" s="8" t="e">
        <f t="shared" si="67"/>
        <v>#REF!</v>
      </c>
      <c r="AD139" s="8">
        <v>350000</v>
      </c>
      <c r="AE139" s="76" t="e">
        <f t="shared" si="58"/>
        <v>#REF!</v>
      </c>
      <c r="AF139" s="8" t="e">
        <f t="shared" si="59"/>
        <v>#REF!</v>
      </c>
      <c r="AH139" s="7" t="e">
        <f t="shared" si="63"/>
        <v>#REF!</v>
      </c>
      <c r="AI139" s="79" t="e">
        <f t="shared" si="68"/>
        <v>#REF!</v>
      </c>
      <c r="AJ139" s="79" t="e">
        <f t="shared" si="69"/>
        <v>#REF!</v>
      </c>
      <c r="AK139" s="75" t="e">
        <f>PMT(#REF!,#REF!,-#REF!,0,0)</f>
        <v>#REF!</v>
      </c>
      <c r="AL139" s="75"/>
      <c r="AM139" s="7" t="e">
        <f>AJ139*(#REF!/12)</f>
        <v>#REF!</v>
      </c>
      <c r="AN139" s="7" t="e">
        <f t="shared" si="70"/>
        <v>#REF!</v>
      </c>
      <c r="AO139" s="75" t="e">
        <f t="shared" si="60"/>
        <v>#REF!</v>
      </c>
      <c r="AP139" s="75" t="e">
        <f t="shared" si="71"/>
        <v>#REF!</v>
      </c>
      <c r="AQ139" s="7" t="e">
        <f t="shared" si="64"/>
        <v>#REF!</v>
      </c>
      <c r="AR139" s="41"/>
    </row>
    <row r="140" spans="10:44" x14ac:dyDescent="0.25">
      <c r="J140" s="5">
        <f t="shared" si="61"/>
        <v>40</v>
      </c>
      <c r="K140" s="5">
        <f t="shared" si="49"/>
        <v>2038</v>
      </c>
      <c r="L140" s="34" t="s">
        <v>42</v>
      </c>
      <c r="M140" s="70">
        <f t="shared" si="55"/>
        <v>12827.545185872354</v>
      </c>
      <c r="N140" s="70">
        <f t="shared" si="57"/>
        <v>12827.545185872354</v>
      </c>
      <c r="O140" s="71"/>
      <c r="P140" s="86">
        <v>4</v>
      </c>
      <c r="Q140" s="51">
        <v>4</v>
      </c>
      <c r="R140" s="88">
        <f t="shared" si="65"/>
        <v>1</v>
      </c>
      <c r="S140" s="6">
        <v>0</v>
      </c>
      <c r="T140" s="8">
        <f t="shared" si="62"/>
        <v>51310.180743489414</v>
      </c>
      <c r="U140" s="8" t="e">
        <f>#REF!</f>
        <v>#REF!</v>
      </c>
      <c r="V140" s="8"/>
      <c r="W140" s="8" t="e">
        <f t="shared" si="56"/>
        <v>#REF!</v>
      </c>
      <c r="X140" s="27"/>
      <c r="Y140" s="26" t="e">
        <f t="shared" si="66"/>
        <v>#REF!</v>
      </c>
      <c r="Z140" s="95"/>
      <c r="AA140" s="95"/>
      <c r="AB140" s="8">
        <f>'Business_172 PH Rd Budget'!$C$25</f>
        <v>2155.2899999999995</v>
      </c>
      <c r="AC140" s="8" t="e">
        <f t="shared" si="67"/>
        <v>#REF!</v>
      </c>
      <c r="AD140" s="8">
        <v>350000</v>
      </c>
      <c r="AE140" s="76" t="e">
        <f t="shared" si="58"/>
        <v>#REF!</v>
      </c>
      <c r="AF140" s="8" t="e">
        <f t="shared" si="59"/>
        <v>#REF!</v>
      </c>
      <c r="AH140" s="7" t="e">
        <f t="shared" si="63"/>
        <v>#REF!</v>
      </c>
      <c r="AI140" s="79" t="e">
        <f t="shared" si="68"/>
        <v>#REF!</v>
      </c>
      <c r="AJ140" s="79" t="e">
        <f t="shared" si="69"/>
        <v>#REF!</v>
      </c>
      <c r="AK140" s="75" t="e">
        <f>PMT(#REF!,#REF!,-#REF!,0,0)</f>
        <v>#REF!</v>
      </c>
      <c r="AL140" s="75"/>
      <c r="AM140" s="7" t="e">
        <f>AJ140*(#REF!/12)</f>
        <v>#REF!</v>
      </c>
      <c r="AN140" s="7" t="e">
        <f t="shared" si="70"/>
        <v>#REF!</v>
      </c>
      <c r="AO140" s="75" t="e">
        <f t="shared" si="60"/>
        <v>#REF!</v>
      </c>
      <c r="AP140" s="75" t="e">
        <f t="shared" si="71"/>
        <v>#REF!</v>
      </c>
      <c r="AQ140" s="7" t="e">
        <f t="shared" si="64"/>
        <v>#REF!</v>
      </c>
      <c r="AR140" s="41"/>
    </row>
    <row r="141" spans="10:44" x14ac:dyDescent="0.25">
      <c r="J141" s="5">
        <f t="shared" si="61"/>
        <v>40</v>
      </c>
      <c r="K141" s="5">
        <f t="shared" si="49"/>
        <v>2038</v>
      </c>
      <c r="L141" s="34" t="s">
        <v>44</v>
      </c>
      <c r="M141" s="70">
        <f t="shared" si="55"/>
        <v>12827.545185872354</v>
      </c>
      <c r="N141" s="70">
        <f t="shared" si="57"/>
        <v>12827.545185872354</v>
      </c>
      <c r="O141" s="71"/>
      <c r="P141" s="86">
        <v>4</v>
      </c>
      <c r="Q141" s="51">
        <v>4</v>
      </c>
      <c r="R141" s="88">
        <f t="shared" si="65"/>
        <v>1</v>
      </c>
      <c r="S141" s="6">
        <v>0</v>
      </c>
      <c r="T141" s="8">
        <f t="shared" si="62"/>
        <v>51310.180743489414</v>
      </c>
      <c r="U141" s="8" t="e">
        <f>#REF!</f>
        <v>#REF!</v>
      </c>
      <c r="V141" s="8"/>
      <c r="W141" s="8" t="e">
        <f t="shared" si="56"/>
        <v>#REF!</v>
      </c>
      <c r="X141" s="27"/>
      <c r="Y141" s="26" t="e">
        <f t="shared" si="66"/>
        <v>#REF!</v>
      </c>
      <c r="Z141" s="95"/>
      <c r="AA141" s="95"/>
      <c r="AB141" s="8">
        <f>'Business_172 PH Rd Budget'!$C$25</f>
        <v>2155.2899999999995</v>
      </c>
      <c r="AC141" s="8" t="e">
        <f t="shared" si="67"/>
        <v>#REF!</v>
      </c>
      <c r="AD141" s="8">
        <v>350000</v>
      </c>
      <c r="AE141" s="76" t="e">
        <f t="shared" si="58"/>
        <v>#REF!</v>
      </c>
      <c r="AF141" s="8" t="e">
        <f t="shared" si="59"/>
        <v>#REF!</v>
      </c>
      <c r="AH141" s="7" t="e">
        <f t="shared" si="63"/>
        <v>#REF!</v>
      </c>
      <c r="AI141" s="79" t="e">
        <f t="shared" si="68"/>
        <v>#REF!</v>
      </c>
      <c r="AJ141" s="79" t="e">
        <f t="shared" si="69"/>
        <v>#REF!</v>
      </c>
      <c r="AK141" s="75" t="e">
        <f>PMT(#REF!,#REF!,-#REF!,0,0)</f>
        <v>#REF!</v>
      </c>
      <c r="AL141" s="75"/>
      <c r="AM141" s="7" t="e">
        <f>AJ141*(#REF!/12)</f>
        <v>#REF!</v>
      </c>
      <c r="AN141" s="7" t="e">
        <f t="shared" si="70"/>
        <v>#REF!</v>
      </c>
      <c r="AO141" s="75" t="e">
        <f t="shared" si="60"/>
        <v>#REF!</v>
      </c>
      <c r="AP141" s="75" t="e">
        <f t="shared" si="71"/>
        <v>#REF!</v>
      </c>
      <c r="AQ141" s="7" t="e">
        <f t="shared" si="64"/>
        <v>#REF!</v>
      </c>
      <c r="AR141" s="41"/>
    </row>
    <row r="142" spans="10:44" x14ac:dyDescent="0.25">
      <c r="J142" s="5">
        <f t="shared" si="61"/>
        <v>40</v>
      </c>
      <c r="K142" s="5">
        <f t="shared" si="49"/>
        <v>2038</v>
      </c>
      <c r="L142" s="34" t="s">
        <v>47</v>
      </c>
      <c r="M142" s="70">
        <f t="shared" si="55"/>
        <v>12827.545185872354</v>
      </c>
      <c r="N142" s="70">
        <f t="shared" si="57"/>
        <v>12827.545185872354</v>
      </c>
      <c r="O142" s="71"/>
      <c r="P142" s="86">
        <v>5</v>
      </c>
      <c r="Q142" s="51">
        <v>4</v>
      </c>
      <c r="R142" s="88">
        <f t="shared" si="65"/>
        <v>0.8</v>
      </c>
      <c r="S142" s="6">
        <v>0</v>
      </c>
      <c r="T142" s="8">
        <f t="shared" si="62"/>
        <v>51310.180743489414</v>
      </c>
      <c r="U142" s="8" t="e">
        <f>#REF!</f>
        <v>#REF!</v>
      </c>
      <c r="V142" s="8"/>
      <c r="W142" s="8" t="e">
        <f t="shared" si="56"/>
        <v>#REF!</v>
      </c>
      <c r="X142" s="27"/>
      <c r="Y142" s="26" t="e">
        <f t="shared" si="66"/>
        <v>#REF!</v>
      </c>
      <c r="Z142" s="95"/>
      <c r="AA142" s="95"/>
      <c r="AB142" s="8">
        <f>'Business_172 PH Rd Budget'!$C$25</f>
        <v>2155.2899999999995</v>
      </c>
      <c r="AC142" s="8" t="e">
        <f t="shared" si="67"/>
        <v>#REF!</v>
      </c>
      <c r="AD142" s="8">
        <v>350000</v>
      </c>
      <c r="AE142" s="76" t="e">
        <f t="shared" si="58"/>
        <v>#REF!</v>
      </c>
      <c r="AF142" s="8" t="e">
        <f t="shared" si="59"/>
        <v>#REF!</v>
      </c>
      <c r="AH142" s="7" t="e">
        <f t="shared" si="63"/>
        <v>#REF!</v>
      </c>
      <c r="AI142" s="79" t="e">
        <f t="shared" si="68"/>
        <v>#REF!</v>
      </c>
      <c r="AJ142" s="79" t="e">
        <f t="shared" si="69"/>
        <v>#REF!</v>
      </c>
      <c r="AK142" s="75" t="e">
        <f>PMT(#REF!,#REF!,-#REF!,0,0)</f>
        <v>#REF!</v>
      </c>
      <c r="AL142" s="75"/>
      <c r="AM142" s="7" t="e">
        <f>AJ142*(#REF!/12)</f>
        <v>#REF!</v>
      </c>
      <c r="AN142" s="7" t="e">
        <f t="shared" si="70"/>
        <v>#REF!</v>
      </c>
      <c r="AO142" s="75" t="e">
        <f t="shared" si="60"/>
        <v>#REF!</v>
      </c>
      <c r="AP142" s="75" t="e">
        <f t="shared" si="71"/>
        <v>#REF!</v>
      </c>
      <c r="AQ142" s="7" t="e">
        <f t="shared" si="64"/>
        <v>#REF!</v>
      </c>
      <c r="AR142" s="41"/>
    </row>
    <row r="143" spans="10:44" x14ac:dyDescent="0.25">
      <c r="J143" s="5">
        <f t="shared" si="61"/>
        <v>40</v>
      </c>
      <c r="K143" s="5">
        <f t="shared" si="49"/>
        <v>2038</v>
      </c>
      <c r="L143" s="34" t="s">
        <v>49</v>
      </c>
      <c r="M143" s="70">
        <f t="shared" si="55"/>
        <v>12827.545185872354</v>
      </c>
      <c r="N143" s="70">
        <f t="shared" si="57"/>
        <v>12827.545185872354</v>
      </c>
      <c r="O143" s="71"/>
      <c r="P143" s="86">
        <v>4</v>
      </c>
      <c r="Q143" s="44">
        <v>4</v>
      </c>
      <c r="R143" s="88">
        <f t="shared" si="65"/>
        <v>1</v>
      </c>
      <c r="S143" s="6">
        <v>0</v>
      </c>
      <c r="T143" s="8">
        <f t="shared" si="62"/>
        <v>51310.180743489414</v>
      </c>
      <c r="U143" s="8" t="e">
        <f>#REF!</f>
        <v>#REF!</v>
      </c>
      <c r="V143" s="8"/>
      <c r="W143" s="8" t="e">
        <f t="shared" si="56"/>
        <v>#REF!</v>
      </c>
      <c r="X143" s="27"/>
      <c r="Y143" s="26" t="e">
        <f t="shared" si="66"/>
        <v>#REF!</v>
      </c>
      <c r="Z143" s="95"/>
      <c r="AA143" s="95"/>
      <c r="AB143" s="8">
        <f>'Business_172 PH Rd Budget'!$C$25</f>
        <v>2155.2899999999995</v>
      </c>
      <c r="AC143" s="8" t="e">
        <f t="shared" si="67"/>
        <v>#REF!</v>
      </c>
      <c r="AD143" s="8">
        <v>350000</v>
      </c>
      <c r="AE143" s="76" t="e">
        <f t="shared" si="58"/>
        <v>#REF!</v>
      </c>
      <c r="AF143" s="8" t="e">
        <f t="shared" si="59"/>
        <v>#REF!</v>
      </c>
      <c r="AH143" s="7" t="e">
        <f t="shared" si="63"/>
        <v>#REF!</v>
      </c>
      <c r="AI143" s="79" t="e">
        <f t="shared" si="68"/>
        <v>#REF!</v>
      </c>
      <c r="AJ143" s="79" t="e">
        <f t="shared" si="69"/>
        <v>#REF!</v>
      </c>
      <c r="AK143" s="75" t="e">
        <f>PMT(#REF!,#REF!,-#REF!,0,0)</f>
        <v>#REF!</v>
      </c>
      <c r="AL143" s="75"/>
      <c r="AM143" s="7" t="e">
        <f>AJ143*(#REF!/12)</f>
        <v>#REF!</v>
      </c>
      <c r="AN143" s="7" t="e">
        <f t="shared" si="70"/>
        <v>#REF!</v>
      </c>
      <c r="AO143" s="75" t="e">
        <f t="shared" si="60"/>
        <v>#REF!</v>
      </c>
      <c r="AP143" s="75" t="e">
        <f t="shared" si="71"/>
        <v>#REF!</v>
      </c>
      <c r="AQ143" s="7" t="e">
        <f t="shared" si="64"/>
        <v>#REF!</v>
      </c>
      <c r="AR143" s="41"/>
    </row>
    <row r="144" spans="10:44" x14ac:dyDescent="0.25">
      <c r="J144" s="5">
        <f t="shared" si="61"/>
        <v>40</v>
      </c>
      <c r="K144" s="5">
        <f t="shared" ref="K144:K194" si="72">K132+1</f>
        <v>2038</v>
      </c>
      <c r="L144" s="34" t="s">
        <v>51</v>
      </c>
      <c r="M144" s="70">
        <f t="shared" si="55"/>
        <v>12827.545185872354</v>
      </c>
      <c r="N144" s="70">
        <f t="shared" si="57"/>
        <v>12827.545185872354</v>
      </c>
      <c r="O144" s="71"/>
      <c r="P144" s="86">
        <v>5</v>
      </c>
      <c r="Q144" s="44">
        <v>4</v>
      </c>
      <c r="R144" s="88">
        <f t="shared" si="65"/>
        <v>0.8</v>
      </c>
      <c r="S144" s="6">
        <v>0</v>
      </c>
      <c r="T144" s="8">
        <f t="shared" si="62"/>
        <v>51310.180743489414</v>
      </c>
      <c r="U144" s="8" t="e">
        <f>#REF!</f>
        <v>#REF!</v>
      </c>
      <c r="V144" s="8"/>
      <c r="W144" s="8" t="e">
        <f t="shared" si="56"/>
        <v>#REF!</v>
      </c>
      <c r="X144" s="27"/>
      <c r="Y144" s="26" t="e">
        <f t="shared" si="66"/>
        <v>#REF!</v>
      </c>
      <c r="Z144" s="95"/>
      <c r="AA144" s="95"/>
      <c r="AB144" s="8">
        <f>'Business_172 PH Rd Budget'!$C$25</f>
        <v>2155.2899999999995</v>
      </c>
      <c r="AC144" s="8" t="e">
        <f t="shared" si="67"/>
        <v>#REF!</v>
      </c>
      <c r="AD144" s="8">
        <v>350000</v>
      </c>
      <c r="AE144" s="76" t="e">
        <f t="shared" si="58"/>
        <v>#REF!</v>
      </c>
      <c r="AF144" s="8" t="e">
        <f t="shared" si="59"/>
        <v>#REF!</v>
      </c>
      <c r="AH144" s="7" t="e">
        <f t="shared" si="63"/>
        <v>#REF!</v>
      </c>
      <c r="AI144" s="79" t="e">
        <f t="shared" si="68"/>
        <v>#REF!</v>
      </c>
      <c r="AJ144" s="79" t="e">
        <f t="shared" si="69"/>
        <v>#REF!</v>
      </c>
      <c r="AK144" s="75" t="e">
        <f>PMT(#REF!,#REF!,-#REF!,0,0)</f>
        <v>#REF!</v>
      </c>
      <c r="AL144" s="75"/>
      <c r="AM144" s="7" t="e">
        <f>AJ144*(#REF!/12)</f>
        <v>#REF!</v>
      </c>
      <c r="AN144" s="7" t="e">
        <f t="shared" si="70"/>
        <v>#REF!</v>
      </c>
      <c r="AO144" s="75" t="e">
        <f t="shared" si="60"/>
        <v>#REF!</v>
      </c>
      <c r="AP144" s="75" t="e">
        <f t="shared" si="71"/>
        <v>#REF!</v>
      </c>
      <c r="AQ144" s="7" t="e">
        <f t="shared" si="64"/>
        <v>#REF!</v>
      </c>
      <c r="AR144" s="41"/>
    </row>
    <row r="145" spans="10:44" x14ac:dyDescent="0.25">
      <c r="J145" s="5">
        <f t="shared" si="61"/>
        <v>40</v>
      </c>
      <c r="K145" s="5">
        <f t="shared" si="72"/>
        <v>2038</v>
      </c>
      <c r="L145" s="34" t="s">
        <v>53</v>
      </c>
      <c r="M145" s="70">
        <f t="shared" si="55"/>
        <v>12827.545185872354</v>
      </c>
      <c r="N145" s="70">
        <f t="shared" si="57"/>
        <v>11544.790667285119</v>
      </c>
      <c r="O145" s="71"/>
      <c r="P145" s="87"/>
      <c r="Q145" s="68">
        <v>0</v>
      </c>
      <c r="R145" s="88" t="str">
        <f t="shared" si="65"/>
        <v/>
      </c>
      <c r="S145" s="69">
        <v>0.1</v>
      </c>
      <c r="T145" s="8">
        <f t="shared" si="62"/>
        <v>0</v>
      </c>
      <c r="U145" s="8" t="e">
        <f>#REF!</f>
        <v>#REF!</v>
      </c>
      <c r="V145" s="8"/>
      <c r="W145" s="8" t="e">
        <f t="shared" si="56"/>
        <v>#REF!</v>
      </c>
      <c r="X145" s="27"/>
      <c r="Y145" s="26" t="e">
        <f t="shared" si="66"/>
        <v>#REF!</v>
      </c>
      <c r="Z145" s="95"/>
      <c r="AA145" s="95"/>
      <c r="AB145" s="8">
        <f>'Business_172 PH Rd Budget'!$C$25</f>
        <v>2155.2899999999995</v>
      </c>
      <c r="AC145" s="8" t="e">
        <f t="shared" si="67"/>
        <v>#REF!</v>
      </c>
      <c r="AD145" s="8">
        <v>350000</v>
      </c>
      <c r="AE145" s="76" t="e">
        <f t="shared" si="58"/>
        <v>#REF!</v>
      </c>
      <c r="AF145" s="8" t="e">
        <f t="shared" si="59"/>
        <v>#REF!</v>
      </c>
      <c r="AH145" s="7" t="e">
        <f t="shared" si="63"/>
        <v>#REF!</v>
      </c>
      <c r="AI145" s="79" t="e">
        <f t="shared" si="68"/>
        <v>#REF!</v>
      </c>
      <c r="AJ145" s="79" t="e">
        <f t="shared" si="69"/>
        <v>#REF!</v>
      </c>
      <c r="AK145" s="75" t="e">
        <f>PMT(#REF!,#REF!,-#REF!,0,0)</f>
        <v>#REF!</v>
      </c>
      <c r="AL145" s="75"/>
      <c r="AM145" s="7" t="e">
        <f>AJ145*(#REF!/12)</f>
        <v>#REF!</v>
      </c>
      <c r="AN145" s="7" t="e">
        <f t="shared" si="70"/>
        <v>#REF!</v>
      </c>
      <c r="AO145" s="75" t="e">
        <f t="shared" si="60"/>
        <v>#REF!</v>
      </c>
      <c r="AP145" s="75" t="e">
        <f t="shared" si="71"/>
        <v>#REF!</v>
      </c>
      <c r="AQ145" s="7" t="e">
        <f t="shared" si="64"/>
        <v>#REF!</v>
      </c>
      <c r="AR145" s="41"/>
    </row>
    <row r="146" spans="10:44" x14ac:dyDescent="0.25">
      <c r="J146" s="5">
        <f t="shared" si="61"/>
        <v>40</v>
      </c>
      <c r="K146" s="5">
        <f t="shared" si="72"/>
        <v>2038</v>
      </c>
      <c r="L146" s="34" t="s">
        <v>55</v>
      </c>
      <c r="M146" s="70">
        <f t="shared" si="55"/>
        <v>12827.545185872354</v>
      </c>
      <c r="N146" s="70">
        <f t="shared" si="57"/>
        <v>10262.036148697884</v>
      </c>
      <c r="O146" s="71"/>
      <c r="P146" s="86"/>
      <c r="Q146" s="51">
        <v>0</v>
      </c>
      <c r="R146" s="88" t="str">
        <f t="shared" si="65"/>
        <v/>
      </c>
      <c r="S146" s="6">
        <v>0.2</v>
      </c>
      <c r="T146" s="8">
        <f t="shared" si="62"/>
        <v>0</v>
      </c>
      <c r="U146" s="8" t="e">
        <f>#REF!</f>
        <v>#REF!</v>
      </c>
      <c r="V146" s="8"/>
      <c r="W146" s="8" t="e">
        <f t="shared" si="56"/>
        <v>#REF!</v>
      </c>
      <c r="X146" s="27"/>
      <c r="Y146" s="26" t="e">
        <f t="shared" si="66"/>
        <v>#REF!</v>
      </c>
      <c r="Z146" s="95"/>
      <c r="AA146" s="95"/>
      <c r="AB146" s="8">
        <f>'Business_172 PH Rd Budget'!$C$25</f>
        <v>2155.2899999999995</v>
      </c>
      <c r="AC146" s="8" t="e">
        <f t="shared" si="67"/>
        <v>#REF!</v>
      </c>
      <c r="AD146" s="8">
        <v>350000</v>
      </c>
      <c r="AE146" s="76" t="e">
        <f t="shared" si="58"/>
        <v>#REF!</v>
      </c>
      <c r="AF146" s="8" t="e">
        <f t="shared" si="59"/>
        <v>#REF!</v>
      </c>
      <c r="AH146" s="7" t="e">
        <f t="shared" si="63"/>
        <v>#REF!</v>
      </c>
      <c r="AI146" s="79" t="e">
        <f t="shared" si="68"/>
        <v>#REF!</v>
      </c>
      <c r="AJ146" s="79" t="e">
        <f t="shared" si="69"/>
        <v>#REF!</v>
      </c>
      <c r="AK146" s="75" t="e">
        <f>PMT(#REF!,#REF!,-#REF!,0,0)</f>
        <v>#REF!</v>
      </c>
      <c r="AL146" s="75"/>
      <c r="AM146" s="7" t="e">
        <f>AJ146*(#REF!/12)</f>
        <v>#REF!</v>
      </c>
      <c r="AN146" s="7" t="e">
        <f t="shared" si="70"/>
        <v>#REF!</v>
      </c>
      <c r="AO146" s="75" t="e">
        <f t="shared" si="60"/>
        <v>#REF!</v>
      </c>
      <c r="AP146" s="75" t="e">
        <f t="shared" si="71"/>
        <v>#REF!</v>
      </c>
      <c r="AQ146" s="7" t="e">
        <f t="shared" si="64"/>
        <v>#REF!</v>
      </c>
      <c r="AR146" s="41"/>
    </row>
    <row r="147" spans="10:44" x14ac:dyDescent="0.25">
      <c r="J147" s="5">
        <f t="shared" si="61"/>
        <v>41</v>
      </c>
      <c r="K147" s="5">
        <f t="shared" si="72"/>
        <v>2039</v>
      </c>
      <c r="L147" s="34" t="s">
        <v>31</v>
      </c>
      <c r="M147" s="70">
        <f t="shared" ref="M147:M170" si="73">M146*(1+O147)</f>
        <v>13468.922445165972</v>
      </c>
      <c r="N147" s="70">
        <f t="shared" si="57"/>
        <v>10101.69183387448</v>
      </c>
      <c r="O147" s="71">
        <v>0.05</v>
      </c>
      <c r="P147" s="86"/>
      <c r="Q147" s="51">
        <v>0</v>
      </c>
      <c r="R147" s="88" t="str">
        <f t="shared" si="65"/>
        <v/>
      </c>
      <c r="S147" s="6">
        <v>0.25</v>
      </c>
      <c r="T147" s="8">
        <f t="shared" si="62"/>
        <v>0</v>
      </c>
      <c r="U147" s="8" t="e">
        <f>#REF!</f>
        <v>#REF!</v>
      </c>
      <c r="V147" s="8"/>
      <c r="W147" s="8" t="e">
        <f t="shared" ref="W147:W170" si="74">T147-U147</f>
        <v>#REF!</v>
      </c>
      <c r="X147" s="27"/>
      <c r="Y147" s="26" t="e">
        <f t="shared" si="66"/>
        <v>#REF!</v>
      </c>
      <c r="Z147" s="95"/>
      <c r="AA147" s="95"/>
      <c r="AB147" s="8">
        <f>'Business_172 PH Rd Budget'!$C$25</f>
        <v>2155.2899999999995</v>
      </c>
      <c r="AC147" s="8" t="e">
        <f t="shared" si="67"/>
        <v>#REF!</v>
      </c>
      <c r="AD147" s="8">
        <v>350000</v>
      </c>
      <c r="AE147" s="76" t="e">
        <f t="shared" si="58"/>
        <v>#REF!</v>
      </c>
      <c r="AF147" s="8" t="e">
        <f t="shared" si="59"/>
        <v>#REF!</v>
      </c>
      <c r="AH147" s="7" t="e">
        <f t="shared" si="63"/>
        <v>#REF!</v>
      </c>
      <c r="AI147" s="79" t="e">
        <f t="shared" si="68"/>
        <v>#REF!</v>
      </c>
      <c r="AJ147" s="79" t="e">
        <f t="shared" si="69"/>
        <v>#REF!</v>
      </c>
      <c r="AK147" s="75" t="e">
        <f>PMT(#REF!,#REF!,-#REF!,0,0)</f>
        <v>#REF!</v>
      </c>
      <c r="AL147" s="75"/>
      <c r="AM147" s="7" t="e">
        <f>AJ147*(#REF!/12)</f>
        <v>#REF!</v>
      </c>
      <c r="AN147" s="7" t="e">
        <f t="shared" si="70"/>
        <v>#REF!</v>
      </c>
      <c r="AO147" s="75" t="e">
        <f t="shared" si="60"/>
        <v>#REF!</v>
      </c>
      <c r="AP147" s="75" t="e">
        <f t="shared" si="71"/>
        <v>#REF!</v>
      </c>
      <c r="AQ147" s="7" t="e">
        <f t="shared" si="64"/>
        <v>#REF!</v>
      </c>
      <c r="AR147" s="41"/>
    </row>
    <row r="148" spans="10:44" x14ac:dyDescent="0.25">
      <c r="J148" s="5">
        <f t="shared" si="61"/>
        <v>41</v>
      </c>
      <c r="K148" s="5">
        <f t="shared" si="72"/>
        <v>2039</v>
      </c>
      <c r="L148" s="34" t="s">
        <v>33</v>
      </c>
      <c r="M148" s="70">
        <f t="shared" si="73"/>
        <v>13468.922445165972</v>
      </c>
      <c r="N148" s="70">
        <f t="shared" si="57"/>
        <v>10101.69183387448</v>
      </c>
      <c r="O148" s="71"/>
      <c r="P148" s="86"/>
      <c r="Q148" s="51">
        <v>0</v>
      </c>
      <c r="R148" s="88" t="str">
        <f t="shared" si="65"/>
        <v/>
      </c>
      <c r="S148" s="6">
        <v>0.25</v>
      </c>
      <c r="T148" s="8">
        <f t="shared" si="62"/>
        <v>0</v>
      </c>
      <c r="U148" s="8" t="e">
        <f>#REF!</f>
        <v>#REF!</v>
      </c>
      <c r="V148" s="8"/>
      <c r="W148" s="8" t="e">
        <f t="shared" si="74"/>
        <v>#REF!</v>
      </c>
      <c r="X148" s="27"/>
      <c r="Y148" s="26" t="e">
        <f t="shared" si="66"/>
        <v>#REF!</v>
      </c>
      <c r="Z148" s="95"/>
      <c r="AA148" s="95"/>
      <c r="AB148" s="8">
        <f>'Business_172 PH Rd Budget'!$C$25</f>
        <v>2155.2899999999995</v>
      </c>
      <c r="AC148" s="8" t="e">
        <f t="shared" si="67"/>
        <v>#REF!</v>
      </c>
      <c r="AD148" s="8">
        <v>350000</v>
      </c>
      <c r="AE148" s="76" t="e">
        <f t="shared" si="58"/>
        <v>#REF!</v>
      </c>
      <c r="AF148" s="8" t="e">
        <f t="shared" si="59"/>
        <v>#REF!</v>
      </c>
      <c r="AH148" s="7" t="e">
        <f t="shared" si="63"/>
        <v>#REF!</v>
      </c>
      <c r="AI148" s="79" t="e">
        <f t="shared" si="68"/>
        <v>#REF!</v>
      </c>
      <c r="AJ148" s="79" t="e">
        <f t="shared" si="69"/>
        <v>#REF!</v>
      </c>
      <c r="AK148" s="75" t="e">
        <f>PMT(#REF!,#REF!,-#REF!,0,0)</f>
        <v>#REF!</v>
      </c>
      <c r="AL148" s="75"/>
      <c r="AM148" s="7" t="e">
        <f>AJ148*(#REF!/12)</f>
        <v>#REF!</v>
      </c>
      <c r="AN148" s="7" t="e">
        <f t="shared" si="70"/>
        <v>#REF!</v>
      </c>
      <c r="AO148" s="75" t="e">
        <f t="shared" si="60"/>
        <v>#REF!</v>
      </c>
      <c r="AP148" s="75" t="e">
        <f t="shared" si="71"/>
        <v>#REF!</v>
      </c>
      <c r="AQ148" s="7" t="e">
        <f t="shared" si="64"/>
        <v>#REF!</v>
      </c>
      <c r="AR148" s="41"/>
    </row>
    <row r="149" spans="10:44" x14ac:dyDescent="0.25">
      <c r="J149" s="5">
        <f t="shared" si="61"/>
        <v>41</v>
      </c>
      <c r="K149" s="5">
        <f t="shared" si="72"/>
        <v>2039</v>
      </c>
      <c r="L149" s="34" t="s">
        <v>36</v>
      </c>
      <c r="M149" s="70">
        <f t="shared" si="73"/>
        <v>13468.922445165972</v>
      </c>
      <c r="N149" s="70">
        <f t="shared" si="57"/>
        <v>10775.137956132778</v>
      </c>
      <c r="O149" s="71"/>
      <c r="P149" s="86"/>
      <c r="Q149" s="51">
        <v>0</v>
      </c>
      <c r="R149" s="88" t="str">
        <f t="shared" si="65"/>
        <v/>
      </c>
      <c r="S149" s="6">
        <v>0.2</v>
      </c>
      <c r="T149" s="8">
        <f t="shared" si="62"/>
        <v>0</v>
      </c>
      <c r="U149" s="8" t="e">
        <f>#REF!</f>
        <v>#REF!</v>
      </c>
      <c r="V149" s="8"/>
      <c r="W149" s="8" t="e">
        <f t="shared" si="74"/>
        <v>#REF!</v>
      </c>
      <c r="X149" s="27"/>
      <c r="Y149" s="26" t="e">
        <f t="shared" si="66"/>
        <v>#REF!</v>
      </c>
      <c r="Z149" s="95"/>
      <c r="AA149" s="95"/>
      <c r="AB149" s="8">
        <f>'Business_172 PH Rd Budget'!$C$25</f>
        <v>2155.2899999999995</v>
      </c>
      <c r="AC149" s="8" t="e">
        <f t="shared" si="67"/>
        <v>#REF!</v>
      </c>
      <c r="AD149" s="8">
        <v>350000</v>
      </c>
      <c r="AE149" s="76" t="e">
        <f t="shared" si="58"/>
        <v>#REF!</v>
      </c>
      <c r="AF149" s="8" t="e">
        <f t="shared" si="59"/>
        <v>#REF!</v>
      </c>
      <c r="AH149" s="7" t="e">
        <f t="shared" si="63"/>
        <v>#REF!</v>
      </c>
      <c r="AI149" s="79" t="e">
        <f t="shared" si="68"/>
        <v>#REF!</v>
      </c>
      <c r="AJ149" s="79" t="e">
        <f t="shared" si="69"/>
        <v>#REF!</v>
      </c>
      <c r="AK149" s="75" t="e">
        <f>PMT(#REF!,#REF!,-#REF!,0,0)</f>
        <v>#REF!</v>
      </c>
      <c r="AL149" s="75"/>
      <c r="AM149" s="7" t="e">
        <f>AJ149*(#REF!/12)</f>
        <v>#REF!</v>
      </c>
      <c r="AN149" s="7" t="e">
        <f t="shared" si="70"/>
        <v>#REF!</v>
      </c>
      <c r="AO149" s="75" t="e">
        <f t="shared" si="60"/>
        <v>#REF!</v>
      </c>
      <c r="AP149" s="75" t="e">
        <f t="shared" si="71"/>
        <v>#REF!</v>
      </c>
      <c r="AQ149" s="7" t="e">
        <f t="shared" si="64"/>
        <v>#REF!</v>
      </c>
      <c r="AR149" s="41"/>
    </row>
    <row r="150" spans="10:44" x14ac:dyDescent="0.25">
      <c r="J150" s="5">
        <f t="shared" si="61"/>
        <v>41</v>
      </c>
      <c r="K150" s="5">
        <f t="shared" si="72"/>
        <v>2039</v>
      </c>
      <c r="L150" s="34" t="s">
        <v>38</v>
      </c>
      <c r="M150" s="70">
        <f t="shared" si="73"/>
        <v>13468.922445165972</v>
      </c>
      <c r="N150" s="70">
        <f t="shared" si="57"/>
        <v>12122.030200649375</v>
      </c>
      <c r="O150" s="71"/>
      <c r="P150" s="86"/>
      <c r="Q150" s="51"/>
      <c r="R150" s="88" t="str">
        <f t="shared" si="65"/>
        <v/>
      </c>
      <c r="S150" s="6">
        <v>0.1</v>
      </c>
      <c r="T150" s="8">
        <f t="shared" si="62"/>
        <v>0</v>
      </c>
      <c r="U150" s="8" t="e">
        <f>#REF!</f>
        <v>#REF!</v>
      </c>
      <c r="V150" s="8"/>
      <c r="W150" s="8" t="e">
        <f t="shared" si="74"/>
        <v>#REF!</v>
      </c>
      <c r="X150" s="27"/>
      <c r="Y150" s="26" t="e">
        <f t="shared" si="66"/>
        <v>#REF!</v>
      </c>
      <c r="Z150" s="95"/>
      <c r="AA150" s="95"/>
      <c r="AB150" s="8">
        <f>'Business_172 PH Rd Budget'!$C$25</f>
        <v>2155.2899999999995</v>
      </c>
      <c r="AC150" s="8" t="e">
        <f t="shared" si="67"/>
        <v>#REF!</v>
      </c>
      <c r="AD150" s="8">
        <v>350000</v>
      </c>
      <c r="AE150" s="76" t="e">
        <f t="shared" si="58"/>
        <v>#REF!</v>
      </c>
      <c r="AF150" s="8" t="e">
        <f t="shared" si="59"/>
        <v>#REF!</v>
      </c>
      <c r="AH150" s="7" t="e">
        <f t="shared" si="63"/>
        <v>#REF!</v>
      </c>
      <c r="AI150" s="79" t="e">
        <f t="shared" si="68"/>
        <v>#REF!</v>
      </c>
      <c r="AJ150" s="79" t="e">
        <f t="shared" si="69"/>
        <v>#REF!</v>
      </c>
      <c r="AK150" s="75" t="e">
        <f>PMT(#REF!,#REF!,-#REF!,0,0)</f>
        <v>#REF!</v>
      </c>
      <c r="AL150" s="75"/>
      <c r="AM150" s="7" t="e">
        <f>AJ150*(#REF!/12)</f>
        <v>#REF!</v>
      </c>
      <c r="AN150" s="7" t="e">
        <f t="shared" si="70"/>
        <v>#REF!</v>
      </c>
      <c r="AO150" s="75" t="e">
        <f t="shared" si="60"/>
        <v>#REF!</v>
      </c>
      <c r="AP150" s="75" t="e">
        <f t="shared" si="71"/>
        <v>#REF!</v>
      </c>
      <c r="AQ150" s="7" t="e">
        <f t="shared" si="64"/>
        <v>#REF!</v>
      </c>
      <c r="AR150" s="41"/>
    </row>
    <row r="151" spans="10:44" x14ac:dyDescent="0.25">
      <c r="J151" s="5">
        <f t="shared" si="61"/>
        <v>41</v>
      </c>
      <c r="K151" s="5">
        <f t="shared" si="72"/>
        <v>2039</v>
      </c>
      <c r="L151" s="34" t="s">
        <v>40</v>
      </c>
      <c r="M151" s="70">
        <f t="shared" si="73"/>
        <v>13468.922445165972</v>
      </c>
      <c r="N151" s="70">
        <f t="shared" si="57"/>
        <v>13468.922445165972</v>
      </c>
      <c r="O151" s="71"/>
      <c r="P151" s="86">
        <v>5</v>
      </c>
      <c r="Q151" s="51">
        <v>2</v>
      </c>
      <c r="R151" s="88">
        <f t="shared" si="65"/>
        <v>0.4</v>
      </c>
      <c r="S151" s="6">
        <v>0</v>
      </c>
      <c r="T151" s="8">
        <f t="shared" si="62"/>
        <v>26937.844890331944</v>
      </c>
      <c r="U151" s="8" t="e">
        <f>#REF!</f>
        <v>#REF!</v>
      </c>
      <c r="V151" s="8"/>
      <c r="W151" s="8" t="e">
        <f t="shared" si="74"/>
        <v>#REF!</v>
      </c>
      <c r="X151" s="27"/>
      <c r="Y151" s="26" t="e">
        <f t="shared" si="66"/>
        <v>#REF!</v>
      </c>
      <c r="Z151" s="95"/>
      <c r="AA151" s="95"/>
      <c r="AB151" s="8">
        <f>'Business_172 PH Rd Budget'!$C$25</f>
        <v>2155.2899999999995</v>
      </c>
      <c r="AC151" s="8" t="e">
        <f t="shared" si="67"/>
        <v>#REF!</v>
      </c>
      <c r="AD151" s="8">
        <v>350000</v>
      </c>
      <c r="AE151" s="76" t="e">
        <f t="shared" si="58"/>
        <v>#REF!</v>
      </c>
      <c r="AF151" s="8" t="e">
        <f t="shared" si="59"/>
        <v>#REF!</v>
      </c>
      <c r="AH151" s="7" t="e">
        <f t="shared" si="63"/>
        <v>#REF!</v>
      </c>
      <c r="AI151" s="79" t="e">
        <f t="shared" si="68"/>
        <v>#REF!</v>
      </c>
      <c r="AJ151" s="79" t="e">
        <f t="shared" si="69"/>
        <v>#REF!</v>
      </c>
      <c r="AK151" s="75" t="e">
        <f>PMT(#REF!,#REF!,-#REF!,0,0)</f>
        <v>#REF!</v>
      </c>
      <c r="AL151" s="75"/>
      <c r="AM151" s="7" t="e">
        <f>AJ151*(#REF!/12)</f>
        <v>#REF!</v>
      </c>
      <c r="AN151" s="7" t="e">
        <f t="shared" si="70"/>
        <v>#REF!</v>
      </c>
      <c r="AO151" s="75" t="e">
        <f t="shared" si="60"/>
        <v>#REF!</v>
      </c>
      <c r="AP151" s="75" t="e">
        <f t="shared" si="71"/>
        <v>#REF!</v>
      </c>
      <c r="AQ151" s="7" t="e">
        <f t="shared" si="64"/>
        <v>#REF!</v>
      </c>
      <c r="AR151" s="41"/>
    </row>
    <row r="152" spans="10:44" x14ac:dyDescent="0.25">
      <c r="J152" s="5">
        <f t="shared" si="61"/>
        <v>41</v>
      </c>
      <c r="K152" s="5">
        <f t="shared" si="72"/>
        <v>2039</v>
      </c>
      <c r="L152" s="34" t="s">
        <v>42</v>
      </c>
      <c r="M152" s="70">
        <f t="shared" si="73"/>
        <v>13468.922445165972</v>
      </c>
      <c r="N152" s="70">
        <f t="shared" si="57"/>
        <v>13468.922445165972</v>
      </c>
      <c r="O152" s="71"/>
      <c r="P152" s="86">
        <v>4</v>
      </c>
      <c r="Q152" s="51">
        <v>4</v>
      </c>
      <c r="R152" s="88">
        <f t="shared" si="65"/>
        <v>1</v>
      </c>
      <c r="S152" s="6">
        <v>0</v>
      </c>
      <c r="T152" s="8">
        <f t="shared" si="62"/>
        <v>53875.689780663888</v>
      </c>
      <c r="U152" s="8" t="e">
        <f>#REF!</f>
        <v>#REF!</v>
      </c>
      <c r="V152" s="8"/>
      <c r="W152" s="8" t="e">
        <f t="shared" si="74"/>
        <v>#REF!</v>
      </c>
      <c r="X152" s="27"/>
      <c r="Y152" s="26" t="e">
        <f t="shared" si="66"/>
        <v>#REF!</v>
      </c>
      <c r="Z152" s="95"/>
      <c r="AA152" s="95"/>
      <c r="AB152" s="8">
        <f>'Business_172 PH Rd Budget'!$C$25</f>
        <v>2155.2899999999995</v>
      </c>
      <c r="AC152" s="8" t="e">
        <f t="shared" si="67"/>
        <v>#REF!</v>
      </c>
      <c r="AD152" s="8">
        <v>350000</v>
      </c>
      <c r="AE152" s="76" t="e">
        <f t="shared" si="58"/>
        <v>#REF!</v>
      </c>
      <c r="AF152" s="8" t="e">
        <f t="shared" si="59"/>
        <v>#REF!</v>
      </c>
      <c r="AH152" s="7" t="e">
        <f t="shared" si="63"/>
        <v>#REF!</v>
      </c>
      <c r="AI152" s="79" t="e">
        <f t="shared" si="68"/>
        <v>#REF!</v>
      </c>
      <c r="AJ152" s="79" t="e">
        <f t="shared" si="69"/>
        <v>#REF!</v>
      </c>
      <c r="AK152" s="75" t="e">
        <f>PMT(#REF!,#REF!,-#REF!,0,0)</f>
        <v>#REF!</v>
      </c>
      <c r="AL152" s="75"/>
      <c r="AM152" s="7" t="e">
        <f>AJ152*(#REF!/12)</f>
        <v>#REF!</v>
      </c>
      <c r="AN152" s="7" t="e">
        <f t="shared" si="70"/>
        <v>#REF!</v>
      </c>
      <c r="AO152" s="75" t="e">
        <f t="shared" si="60"/>
        <v>#REF!</v>
      </c>
      <c r="AP152" s="75" t="e">
        <f t="shared" si="71"/>
        <v>#REF!</v>
      </c>
      <c r="AQ152" s="7" t="e">
        <f t="shared" si="64"/>
        <v>#REF!</v>
      </c>
      <c r="AR152" s="41"/>
    </row>
    <row r="153" spans="10:44" x14ac:dyDescent="0.25">
      <c r="J153" s="5">
        <f t="shared" si="61"/>
        <v>41</v>
      </c>
      <c r="K153" s="5">
        <f t="shared" si="72"/>
        <v>2039</v>
      </c>
      <c r="L153" s="34" t="s">
        <v>44</v>
      </c>
      <c r="M153" s="70">
        <f t="shared" si="73"/>
        <v>13468.922445165972</v>
      </c>
      <c r="N153" s="70">
        <f t="shared" si="57"/>
        <v>13468.922445165972</v>
      </c>
      <c r="O153" s="71"/>
      <c r="P153" s="86">
        <v>5</v>
      </c>
      <c r="Q153" s="51">
        <v>4</v>
      </c>
      <c r="R153" s="88">
        <f t="shared" si="65"/>
        <v>0.8</v>
      </c>
      <c r="S153" s="6">
        <v>0</v>
      </c>
      <c r="T153" s="8">
        <f t="shared" si="62"/>
        <v>53875.689780663888</v>
      </c>
      <c r="U153" s="8" t="e">
        <f>#REF!</f>
        <v>#REF!</v>
      </c>
      <c r="V153" s="8"/>
      <c r="W153" s="8" t="e">
        <f t="shared" si="74"/>
        <v>#REF!</v>
      </c>
      <c r="X153" s="27"/>
      <c r="Y153" s="26" t="e">
        <f t="shared" si="66"/>
        <v>#REF!</v>
      </c>
      <c r="Z153" s="95"/>
      <c r="AA153" s="95"/>
      <c r="AB153" s="8">
        <f>'Business_172 PH Rd Budget'!$C$25</f>
        <v>2155.2899999999995</v>
      </c>
      <c r="AC153" s="8" t="e">
        <f t="shared" si="67"/>
        <v>#REF!</v>
      </c>
      <c r="AD153" s="8">
        <v>350000</v>
      </c>
      <c r="AE153" s="76" t="e">
        <f t="shared" si="58"/>
        <v>#REF!</v>
      </c>
      <c r="AF153" s="8" t="e">
        <f t="shared" si="59"/>
        <v>#REF!</v>
      </c>
      <c r="AH153" s="7" t="e">
        <f t="shared" si="63"/>
        <v>#REF!</v>
      </c>
      <c r="AI153" s="79" t="e">
        <f t="shared" si="68"/>
        <v>#REF!</v>
      </c>
      <c r="AJ153" s="79" t="e">
        <f t="shared" si="69"/>
        <v>#REF!</v>
      </c>
      <c r="AK153" s="75" t="e">
        <f>PMT(#REF!,#REF!,-#REF!,0,0)</f>
        <v>#REF!</v>
      </c>
      <c r="AL153" s="75"/>
      <c r="AM153" s="7" t="e">
        <f>AJ153*(#REF!/12)</f>
        <v>#REF!</v>
      </c>
      <c r="AN153" s="7" t="e">
        <f t="shared" si="70"/>
        <v>#REF!</v>
      </c>
      <c r="AO153" s="75" t="e">
        <f t="shared" si="60"/>
        <v>#REF!</v>
      </c>
      <c r="AP153" s="75" t="e">
        <f t="shared" si="71"/>
        <v>#REF!</v>
      </c>
      <c r="AQ153" s="7" t="e">
        <f t="shared" si="64"/>
        <v>#REF!</v>
      </c>
      <c r="AR153" s="41"/>
    </row>
    <row r="154" spans="10:44" x14ac:dyDescent="0.25">
      <c r="J154" s="5">
        <f t="shared" si="61"/>
        <v>41</v>
      </c>
      <c r="K154" s="5">
        <f t="shared" si="72"/>
        <v>2039</v>
      </c>
      <c r="L154" s="34" t="s">
        <v>47</v>
      </c>
      <c r="M154" s="70">
        <f t="shared" si="73"/>
        <v>13468.922445165972</v>
      </c>
      <c r="N154" s="70">
        <f t="shared" si="57"/>
        <v>13468.922445165972</v>
      </c>
      <c r="O154" s="71"/>
      <c r="P154" s="86">
        <v>4</v>
      </c>
      <c r="Q154" s="51">
        <v>4</v>
      </c>
      <c r="R154" s="88">
        <f t="shared" si="65"/>
        <v>1</v>
      </c>
      <c r="S154" s="6">
        <v>0</v>
      </c>
      <c r="T154" s="8">
        <f t="shared" si="62"/>
        <v>53875.689780663888</v>
      </c>
      <c r="U154" s="8" t="e">
        <f>#REF!</f>
        <v>#REF!</v>
      </c>
      <c r="V154" s="8"/>
      <c r="W154" s="8" t="e">
        <f t="shared" si="74"/>
        <v>#REF!</v>
      </c>
      <c r="X154" s="27"/>
      <c r="Y154" s="26" t="e">
        <f t="shared" si="66"/>
        <v>#REF!</v>
      </c>
      <c r="Z154" s="95"/>
      <c r="AA154" s="95"/>
      <c r="AB154" s="8">
        <f>'Business_172 PH Rd Budget'!$C$25</f>
        <v>2155.2899999999995</v>
      </c>
      <c r="AC154" s="8" t="e">
        <f t="shared" si="67"/>
        <v>#REF!</v>
      </c>
      <c r="AD154" s="8">
        <v>350000</v>
      </c>
      <c r="AE154" s="76" t="e">
        <f t="shared" si="58"/>
        <v>#REF!</v>
      </c>
      <c r="AF154" s="8" t="e">
        <f t="shared" si="59"/>
        <v>#REF!</v>
      </c>
      <c r="AH154" s="7" t="e">
        <f t="shared" si="63"/>
        <v>#REF!</v>
      </c>
      <c r="AI154" s="79" t="e">
        <f t="shared" si="68"/>
        <v>#REF!</v>
      </c>
      <c r="AJ154" s="79" t="e">
        <f t="shared" si="69"/>
        <v>#REF!</v>
      </c>
      <c r="AK154" s="75" t="e">
        <f>PMT(#REF!,#REF!,-#REF!,0,0)</f>
        <v>#REF!</v>
      </c>
      <c r="AL154" s="75"/>
      <c r="AM154" s="7" t="e">
        <f>AJ154*(#REF!/12)</f>
        <v>#REF!</v>
      </c>
      <c r="AN154" s="7" t="e">
        <f t="shared" si="70"/>
        <v>#REF!</v>
      </c>
      <c r="AO154" s="75" t="e">
        <f t="shared" si="60"/>
        <v>#REF!</v>
      </c>
      <c r="AP154" s="75" t="e">
        <f t="shared" si="71"/>
        <v>#REF!</v>
      </c>
      <c r="AQ154" s="7" t="e">
        <f t="shared" si="64"/>
        <v>#REF!</v>
      </c>
      <c r="AR154" s="41"/>
    </row>
    <row r="155" spans="10:44" x14ac:dyDescent="0.25">
      <c r="J155" s="5">
        <f t="shared" si="61"/>
        <v>41</v>
      </c>
      <c r="K155" s="5">
        <f t="shared" si="72"/>
        <v>2039</v>
      </c>
      <c r="L155" s="34" t="s">
        <v>49</v>
      </c>
      <c r="M155" s="70">
        <f t="shared" si="73"/>
        <v>13468.922445165972</v>
      </c>
      <c r="N155" s="70">
        <f t="shared" si="57"/>
        <v>13468.922445165972</v>
      </c>
      <c r="O155" s="71"/>
      <c r="P155" s="86">
        <v>4</v>
      </c>
      <c r="Q155" s="44">
        <v>4</v>
      </c>
      <c r="R155" s="88">
        <f t="shared" si="65"/>
        <v>1</v>
      </c>
      <c r="S155" s="6">
        <v>0</v>
      </c>
      <c r="T155" s="8">
        <f t="shared" si="62"/>
        <v>53875.689780663888</v>
      </c>
      <c r="U155" s="8" t="e">
        <f>#REF!</f>
        <v>#REF!</v>
      </c>
      <c r="V155" s="8"/>
      <c r="W155" s="8" t="e">
        <f t="shared" si="74"/>
        <v>#REF!</v>
      </c>
      <c r="X155" s="27"/>
      <c r="Y155" s="26" t="e">
        <f t="shared" si="66"/>
        <v>#REF!</v>
      </c>
      <c r="Z155" s="95"/>
      <c r="AA155" s="95"/>
      <c r="AB155" s="8">
        <f>'Business_172 PH Rd Budget'!$C$25</f>
        <v>2155.2899999999995</v>
      </c>
      <c r="AC155" s="8" t="e">
        <f t="shared" si="67"/>
        <v>#REF!</v>
      </c>
      <c r="AD155" s="8">
        <v>350000</v>
      </c>
      <c r="AE155" s="76" t="e">
        <f t="shared" si="58"/>
        <v>#REF!</v>
      </c>
      <c r="AF155" s="8" t="e">
        <f t="shared" si="59"/>
        <v>#REF!</v>
      </c>
      <c r="AH155" s="7" t="e">
        <f t="shared" si="63"/>
        <v>#REF!</v>
      </c>
      <c r="AI155" s="79" t="e">
        <f t="shared" si="68"/>
        <v>#REF!</v>
      </c>
      <c r="AJ155" s="79" t="e">
        <f t="shared" si="69"/>
        <v>#REF!</v>
      </c>
      <c r="AK155" s="75" t="e">
        <f>PMT(#REF!,#REF!,-#REF!,0,0)</f>
        <v>#REF!</v>
      </c>
      <c r="AL155" s="75"/>
      <c r="AM155" s="7" t="e">
        <f>AJ155*(#REF!/12)</f>
        <v>#REF!</v>
      </c>
      <c r="AN155" s="7" t="e">
        <f t="shared" si="70"/>
        <v>#REF!</v>
      </c>
      <c r="AO155" s="75" t="e">
        <f t="shared" si="60"/>
        <v>#REF!</v>
      </c>
      <c r="AP155" s="75" t="e">
        <f t="shared" si="71"/>
        <v>#REF!</v>
      </c>
      <c r="AQ155" s="7" t="e">
        <f t="shared" si="64"/>
        <v>#REF!</v>
      </c>
      <c r="AR155" s="41"/>
    </row>
    <row r="156" spans="10:44" x14ac:dyDescent="0.25">
      <c r="J156" s="5">
        <f t="shared" si="61"/>
        <v>41</v>
      </c>
      <c r="K156" s="5">
        <f t="shared" si="72"/>
        <v>2039</v>
      </c>
      <c r="L156" s="34" t="s">
        <v>51</v>
      </c>
      <c r="M156" s="70">
        <f t="shared" si="73"/>
        <v>13468.922445165972</v>
      </c>
      <c r="N156" s="70">
        <f t="shared" si="57"/>
        <v>13468.922445165972</v>
      </c>
      <c r="O156" s="71"/>
      <c r="P156" s="86">
        <v>5</v>
      </c>
      <c r="Q156" s="44">
        <v>4</v>
      </c>
      <c r="R156" s="88">
        <f t="shared" si="65"/>
        <v>0.8</v>
      </c>
      <c r="S156" s="6">
        <v>0</v>
      </c>
      <c r="T156" s="8">
        <f t="shared" si="62"/>
        <v>53875.689780663888</v>
      </c>
      <c r="U156" s="8" t="e">
        <f>#REF!</f>
        <v>#REF!</v>
      </c>
      <c r="V156" s="8"/>
      <c r="W156" s="8" t="e">
        <f t="shared" si="74"/>
        <v>#REF!</v>
      </c>
      <c r="X156" s="27"/>
      <c r="Y156" s="26" t="e">
        <f t="shared" si="66"/>
        <v>#REF!</v>
      </c>
      <c r="Z156" s="95"/>
      <c r="AA156" s="95"/>
      <c r="AB156" s="8">
        <f>'Business_172 PH Rd Budget'!$C$25</f>
        <v>2155.2899999999995</v>
      </c>
      <c r="AC156" s="8" t="e">
        <f t="shared" si="67"/>
        <v>#REF!</v>
      </c>
      <c r="AD156" s="8">
        <v>350000</v>
      </c>
      <c r="AE156" s="76" t="e">
        <f t="shared" si="58"/>
        <v>#REF!</v>
      </c>
      <c r="AF156" s="8" t="e">
        <f t="shared" si="59"/>
        <v>#REF!</v>
      </c>
      <c r="AH156" s="7" t="e">
        <f t="shared" si="63"/>
        <v>#REF!</v>
      </c>
      <c r="AI156" s="79" t="e">
        <f t="shared" si="68"/>
        <v>#REF!</v>
      </c>
      <c r="AJ156" s="79" t="e">
        <f t="shared" si="69"/>
        <v>#REF!</v>
      </c>
      <c r="AK156" s="75" t="e">
        <f>PMT(#REF!,#REF!,-#REF!,0,0)</f>
        <v>#REF!</v>
      </c>
      <c r="AL156" s="75"/>
      <c r="AM156" s="7" t="e">
        <f>AJ156*(#REF!/12)</f>
        <v>#REF!</v>
      </c>
      <c r="AN156" s="7" t="e">
        <f t="shared" si="70"/>
        <v>#REF!</v>
      </c>
      <c r="AO156" s="75" t="e">
        <f t="shared" si="60"/>
        <v>#REF!</v>
      </c>
      <c r="AP156" s="75" t="e">
        <f t="shared" si="71"/>
        <v>#REF!</v>
      </c>
      <c r="AQ156" s="7" t="e">
        <f t="shared" si="64"/>
        <v>#REF!</v>
      </c>
      <c r="AR156" s="41"/>
    </row>
    <row r="157" spans="10:44" x14ac:dyDescent="0.25">
      <c r="J157" s="5">
        <f t="shared" si="61"/>
        <v>41</v>
      </c>
      <c r="K157" s="5">
        <f t="shared" si="72"/>
        <v>2039</v>
      </c>
      <c r="L157" s="34" t="s">
        <v>53</v>
      </c>
      <c r="M157" s="70">
        <f t="shared" si="73"/>
        <v>13468.922445165972</v>
      </c>
      <c r="N157" s="70">
        <f t="shared" si="57"/>
        <v>12122.030200649375</v>
      </c>
      <c r="O157" s="71"/>
      <c r="P157" s="87"/>
      <c r="Q157" s="68">
        <v>0</v>
      </c>
      <c r="R157" s="88" t="str">
        <f t="shared" si="65"/>
        <v/>
      </c>
      <c r="S157" s="69">
        <v>0.1</v>
      </c>
      <c r="T157" s="8">
        <f t="shared" si="62"/>
        <v>0</v>
      </c>
      <c r="U157" s="8" t="e">
        <f>#REF!</f>
        <v>#REF!</v>
      </c>
      <c r="V157" s="8"/>
      <c r="W157" s="8" t="e">
        <f t="shared" si="74"/>
        <v>#REF!</v>
      </c>
      <c r="X157" s="27"/>
      <c r="Y157" s="26" t="e">
        <f t="shared" si="66"/>
        <v>#REF!</v>
      </c>
      <c r="Z157" s="95"/>
      <c r="AA157" s="95"/>
      <c r="AB157" s="8">
        <f>'Business_172 PH Rd Budget'!$C$25</f>
        <v>2155.2899999999995</v>
      </c>
      <c r="AC157" s="8" t="e">
        <f t="shared" si="67"/>
        <v>#REF!</v>
      </c>
      <c r="AD157" s="8">
        <v>350000</v>
      </c>
      <c r="AE157" s="76" t="e">
        <f t="shared" si="58"/>
        <v>#REF!</v>
      </c>
      <c r="AF157" s="8" t="e">
        <f t="shared" si="59"/>
        <v>#REF!</v>
      </c>
      <c r="AH157" s="7" t="e">
        <f t="shared" si="63"/>
        <v>#REF!</v>
      </c>
      <c r="AI157" s="79" t="e">
        <f t="shared" si="68"/>
        <v>#REF!</v>
      </c>
      <c r="AJ157" s="79" t="e">
        <f t="shared" si="69"/>
        <v>#REF!</v>
      </c>
      <c r="AK157" s="75" t="e">
        <f>PMT(#REF!,#REF!,-#REF!,0,0)</f>
        <v>#REF!</v>
      </c>
      <c r="AL157" s="75"/>
      <c r="AM157" s="7" t="e">
        <f>AJ157*(#REF!/12)</f>
        <v>#REF!</v>
      </c>
      <c r="AN157" s="7" t="e">
        <f t="shared" si="70"/>
        <v>#REF!</v>
      </c>
      <c r="AO157" s="75" t="e">
        <f t="shared" si="60"/>
        <v>#REF!</v>
      </c>
      <c r="AP157" s="75" t="e">
        <f t="shared" si="71"/>
        <v>#REF!</v>
      </c>
      <c r="AQ157" s="7" t="e">
        <f t="shared" si="64"/>
        <v>#REF!</v>
      </c>
      <c r="AR157" s="41"/>
    </row>
    <row r="158" spans="10:44" x14ac:dyDescent="0.25">
      <c r="J158" s="5">
        <f t="shared" si="61"/>
        <v>41</v>
      </c>
      <c r="K158" s="5">
        <f t="shared" si="72"/>
        <v>2039</v>
      </c>
      <c r="L158" s="34" t="s">
        <v>55</v>
      </c>
      <c r="M158" s="70">
        <f t="shared" si="73"/>
        <v>13468.922445165972</v>
      </c>
      <c r="N158" s="70">
        <f t="shared" si="57"/>
        <v>10775.137956132778</v>
      </c>
      <c r="O158" s="71"/>
      <c r="P158" s="86"/>
      <c r="Q158" s="51">
        <v>0</v>
      </c>
      <c r="R158" s="88" t="str">
        <f t="shared" si="65"/>
        <v/>
      </c>
      <c r="S158" s="6">
        <v>0.2</v>
      </c>
      <c r="T158" s="8">
        <f t="shared" si="62"/>
        <v>0</v>
      </c>
      <c r="U158" s="8" t="e">
        <f>#REF!</f>
        <v>#REF!</v>
      </c>
      <c r="V158" s="8"/>
      <c r="W158" s="8" t="e">
        <f t="shared" si="74"/>
        <v>#REF!</v>
      </c>
      <c r="X158" s="27"/>
      <c r="Y158" s="26" t="e">
        <f t="shared" si="66"/>
        <v>#REF!</v>
      </c>
      <c r="Z158" s="95"/>
      <c r="AA158" s="95"/>
      <c r="AB158" s="8">
        <f>'Business_172 PH Rd Budget'!$C$25</f>
        <v>2155.2899999999995</v>
      </c>
      <c r="AC158" s="8" t="e">
        <f t="shared" si="67"/>
        <v>#REF!</v>
      </c>
      <c r="AD158" s="8">
        <v>350000</v>
      </c>
      <c r="AE158" s="76" t="e">
        <f t="shared" si="58"/>
        <v>#REF!</v>
      </c>
      <c r="AF158" s="8" t="e">
        <f t="shared" si="59"/>
        <v>#REF!</v>
      </c>
      <c r="AH158" s="7" t="e">
        <f t="shared" si="63"/>
        <v>#REF!</v>
      </c>
      <c r="AI158" s="79" t="e">
        <f t="shared" si="68"/>
        <v>#REF!</v>
      </c>
      <c r="AJ158" s="79" t="e">
        <f t="shared" si="69"/>
        <v>#REF!</v>
      </c>
      <c r="AK158" s="75" t="e">
        <f>PMT(#REF!,#REF!,-#REF!,0,0)</f>
        <v>#REF!</v>
      </c>
      <c r="AL158" s="75"/>
      <c r="AM158" s="7" t="e">
        <f>AJ158*(#REF!/12)</f>
        <v>#REF!</v>
      </c>
      <c r="AN158" s="7" t="e">
        <f t="shared" si="70"/>
        <v>#REF!</v>
      </c>
      <c r="AO158" s="75" t="e">
        <f t="shared" si="60"/>
        <v>#REF!</v>
      </c>
      <c r="AP158" s="75" t="e">
        <f t="shared" si="71"/>
        <v>#REF!</v>
      </c>
      <c r="AQ158" s="7" t="e">
        <f t="shared" si="64"/>
        <v>#REF!</v>
      </c>
      <c r="AR158" s="41"/>
    </row>
    <row r="159" spans="10:44" x14ac:dyDescent="0.25">
      <c r="J159" s="5">
        <f t="shared" si="61"/>
        <v>42</v>
      </c>
      <c r="K159" s="5">
        <f t="shared" si="72"/>
        <v>2040</v>
      </c>
      <c r="L159" s="34" t="s">
        <v>31</v>
      </c>
      <c r="M159" s="70">
        <f t="shared" si="73"/>
        <v>14142.368567424272</v>
      </c>
      <c r="N159" s="70">
        <f t="shared" si="57"/>
        <v>10606.776425568203</v>
      </c>
      <c r="O159" s="71">
        <v>0.05</v>
      </c>
      <c r="P159" s="86"/>
      <c r="Q159" s="51">
        <v>0</v>
      </c>
      <c r="R159" s="88" t="str">
        <f t="shared" si="65"/>
        <v/>
      </c>
      <c r="S159" s="6">
        <v>0.25</v>
      </c>
      <c r="T159" s="8">
        <f t="shared" si="62"/>
        <v>0</v>
      </c>
      <c r="U159" s="8" t="e">
        <f>#REF!</f>
        <v>#REF!</v>
      </c>
      <c r="V159" s="8"/>
      <c r="W159" s="8" t="e">
        <f t="shared" si="74"/>
        <v>#REF!</v>
      </c>
      <c r="X159" s="27"/>
      <c r="Y159" s="26" t="e">
        <f t="shared" si="66"/>
        <v>#REF!</v>
      </c>
      <c r="Z159" s="95"/>
      <c r="AA159" s="95"/>
      <c r="AB159" s="8">
        <f>'Business_172 PH Rd Budget'!$C$25</f>
        <v>2155.2899999999995</v>
      </c>
      <c r="AC159" s="8" t="e">
        <f t="shared" si="67"/>
        <v>#REF!</v>
      </c>
      <c r="AD159" s="8">
        <v>350000</v>
      </c>
      <c r="AE159" s="76" t="e">
        <f t="shared" si="58"/>
        <v>#REF!</v>
      </c>
      <c r="AF159" s="8" t="e">
        <f t="shared" si="59"/>
        <v>#REF!</v>
      </c>
      <c r="AH159" s="7" t="e">
        <f t="shared" si="63"/>
        <v>#REF!</v>
      </c>
      <c r="AI159" s="79" t="e">
        <f t="shared" si="68"/>
        <v>#REF!</v>
      </c>
      <c r="AJ159" s="79" t="e">
        <f t="shared" si="69"/>
        <v>#REF!</v>
      </c>
      <c r="AK159" s="75" t="e">
        <f>PMT(#REF!,#REF!,-#REF!,0,0)</f>
        <v>#REF!</v>
      </c>
      <c r="AL159" s="75"/>
      <c r="AM159" s="7" t="e">
        <f>AJ159*(#REF!/12)</f>
        <v>#REF!</v>
      </c>
      <c r="AN159" s="7" t="e">
        <f t="shared" si="70"/>
        <v>#REF!</v>
      </c>
      <c r="AO159" s="75" t="e">
        <f t="shared" si="60"/>
        <v>#REF!</v>
      </c>
      <c r="AP159" s="75" t="e">
        <f t="shared" si="71"/>
        <v>#REF!</v>
      </c>
      <c r="AQ159" s="7" t="e">
        <f t="shared" si="64"/>
        <v>#REF!</v>
      </c>
      <c r="AR159" s="41"/>
    </row>
    <row r="160" spans="10:44" x14ac:dyDescent="0.25">
      <c r="J160" s="5">
        <f t="shared" si="61"/>
        <v>42</v>
      </c>
      <c r="K160" s="5">
        <f t="shared" si="72"/>
        <v>2040</v>
      </c>
      <c r="L160" s="34" t="s">
        <v>33</v>
      </c>
      <c r="M160" s="70">
        <f t="shared" si="73"/>
        <v>14142.368567424272</v>
      </c>
      <c r="N160" s="70">
        <f t="shared" si="57"/>
        <v>10606.776425568203</v>
      </c>
      <c r="O160" s="71"/>
      <c r="P160" s="86"/>
      <c r="Q160" s="51">
        <v>0</v>
      </c>
      <c r="R160" s="88" t="str">
        <f t="shared" si="65"/>
        <v/>
      </c>
      <c r="S160" s="6">
        <v>0.25</v>
      </c>
      <c r="T160" s="8">
        <f t="shared" si="62"/>
        <v>0</v>
      </c>
      <c r="U160" s="8" t="e">
        <f>#REF!</f>
        <v>#REF!</v>
      </c>
      <c r="V160" s="8"/>
      <c r="W160" s="8" t="e">
        <f t="shared" si="74"/>
        <v>#REF!</v>
      </c>
      <c r="X160" s="27"/>
      <c r="Y160" s="26" t="e">
        <f t="shared" si="66"/>
        <v>#REF!</v>
      </c>
      <c r="Z160" s="95"/>
      <c r="AA160" s="95"/>
      <c r="AB160" s="8">
        <f>'Business_172 PH Rd Budget'!$C$25</f>
        <v>2155.2899999999995</v>
      </c>
      <c r="AC160" s="8" t="e">
        <f t="shared" si="67"/>
        <v>#REF!</v>
      </c>
      <c r="AD160" s="8">
        <v>350000</v>
      </c>
      <c r="AE160" s="76" t="e">
        <f t="shared" si="58"/>
        <v>#REF!</v>
      </c>
      <c r="AF160" s="8" t="e">
        <f t="shared" si="59"/>
        <v>#REF!</v>
      </c>
      <c r="AH160" s="7" t="e">
        <f t="shared" si="63"/>
        <v>#REF!</v>
      </c>
      <c r="AI160" s="79" t="e">
        <f t="shared" si="68"/>
        <v>#REF!</v>
      </c>
      <c r="AJ160" s="79" t="e">
        <f t="shared" si="69"/>
        <v>#REF!</v>
      </c>
      <c r="AK160" s="75" t="e">
        <f>PMT(#REF!,#REF!,-#REF!,0,0)</f>
        <v>#REF!</v>
      </c>
      <c r="AL160" s="75"/>
      <c r="AM160" s="7" t="e">
        <f>AJ160*(#REF!/12)</f>
        <v>#REF!</v>
      </c>
      <c r="AN160" s="7" t="e">
        <f t="shared" si="70"/>
        <v>#REF!</v>
      </c>
      <c r="AO160" s="75" t="e">
        <f t="shared" si="60"/>
        <v>#REF!</v>
      </c>
      <c r="AP160" s="75" t="e">
        <f t="shared" si="71"/>
        <v>#REF!</v>
      </c>
      <c r="AQ160" s="7" t="e">
        <f t="shared" si="64"/>
        <v>#REF!</v>
      </c>
      <c r="AR160" s="41"/>
    </row>
    <row r="161" spans="10:44" x14ac:dyDescent="0.25">
      <c r="J161" s="5">
        <f t="shared" si="61"/>
        <v>42</v>
      </c>
      <c r="K161" s="5">
        <f t="shared" si="72"/>
        <v>2040</v>
      </c>
      <c r="L161" s="34" t="s">
        <v>36</v>
      </c>
      <c r="M161" s="70">
        <f t="shared" si="73"/>
        <v>14142.368567424272</v>
      </c>
      <c r="N161" s="70">
        <f t="shared" si="57"/>
        <v>11313.894853939419</v>
      </c>
      <c r="O161" s="71"/>
      <c r="P161" s="86"/>
      <c r="Q161" s="51">
        <v>0</v>
      </c>
      <c r="R161" s="88" t="str">
        <f t="shared" si="65"/>
        <v/>
      </c>
      <c r="S161" s="6">
        <v>0.2</v>
      </c>
      <c r="T161" s="8">
        <f t="shared" si="62"/>
        <v>0</v>
      </c>
      <c r="U161" s="8" t="e">
        <f>#REF!</f>
        <v>#REF!</v>
      </c>
      <c r="V161" s="8"/>
      <c r="W161" s="8" t="e">
        <f t="shared" si="74"/>
        <v>#REF!</v>
      </c>
      <c r="X161" s="27"/>
      <c r="Y161" s="26" t="e">
        <f t="shared" si="66"/>
        <v>#REF!</v>
      </c>
      <c r="Z161" s="95"/>
      <c r="AA161" s="95"/>
      <c r="AB161" s="8">
        <f>'Business_172 PH Rd Budget'!$C$25</f>
        <v>2155.2899999999995</v>
      </c>
      <c r="AC161" s="8" t="e">
        <f t="shared" si="67"/>
        <v>#REF!</v>
      </c>
      <c r="AD161" s="8">
        <v>350000</v>
      </c>
      <c r="AE161" s="76" t="e">
        <f t="shared" si="58"/>
        <v>#REF!</v>
      </c>
      <c r="AF161" s="8" t="e">
        <f t="shared" si="59"/>
        <v>#REF!</v>
      </c>
      <c r="AH161" s="7" t="e">
        <f t="shared" si="63"/>
        <v>#REF!</v>
      </c>
      <c r="AI161" s="79" t="e">
        <f t="shared" si="68"/>
        <v>#REF!</v>
      </c>
      <c r="AJ161" s="79" t="e">
        <f t="shared" si="69"/>
        <v>#REF!</v>
      </c>
      <c r="AK161" s="75" t="e">
        <f>PMT(#REF!,#REF!,-#REF!,0,0)</f>
        <v>#REF!</v>
      </c>
      <c r="AL161" s="75"/>
      <c r="AM161" s="7" t="e">
        <f>AJ161*(#REF!/12)</f>
        <v>#REF!</v>
      </c>
      <c r="AN161" s="7" t="e">
        <f t="shared" si="70"/>
        <v>#REF!</v>
      </c>
      <c r="AO161" s="75" t="e">
        <f t="shared" si="60"/>
        <v>#REF!</v>
      </c>
      <c r="AP161" s="75" t="e">
        <f t="shared" si="71"/>
        <v>#REF!</v>
      </c>
      <c r="AQ161" s="7" t="e">
        <f t="shared" si="64"/>
        <v>#REF!</v>
      </c>
      <c r="AR161" s="41"/>
    </row>
    <row r="162" spans="10:44" x14ac:dyDescent="0.25">
      <c r="J162" s="5">
        <f t="shared" si="61"/>
        <v>42</v>
      </c>
      <c r="K162" s="5">
        <f t="shared" si="72"/>
        <v>2040</v>
      </c>
      <c r="L162" s="34" t="s">
        <v>38</v>
      </c>
      <c r="M162" s="70">
        <f t="shared" si="73"/>
        <v>14142.368567424272</v>
      </c>
      <c r="N162" s="70">
        <f t="shared" si="57"/>
        <v>12728.131710681844</v>
      </c>
      <c r="O162" s="71"/>
      <c r="P162" s="86"/>
      <c r="Q162" s="51">
        <v>0</v>
      </c>
      <c r="R162" s="88" t="str">
        <f t="shared" si="65"/>
        <v/>
      </c>
      <c r="S162" s="6">
        <v>0.1</v>
      </c>
      <c r="T162" s="8">
        <f t="shared" si="62"/>
        <v>0</v>
      </c>
      <c r="U162" s="8" t="e">
        <f>#REF!</f>
        <v>#REF!</v>
      </c>
      <c r="V162" s="8"/>
      <c r="W162" s="8" t="e">
        <f t="shared" si="74"/>
        <v>#REF!</v>
      </c>
      <c r="X162" s="27"/>
      <c r="Y162" s="26" t="e">
        <f t="shared" si="66"/>
        <v>#REF!</v>
      </c>
      <c r="Z162" s="95"/>
      <c r="AA162" s="95"/>
      <c r="AB162" s="8">
        <f>'Business_172 PH Rd Budget'!$C$25</f>
        <v>2155.2899999999995</v>
      </c>
      <c r="AC162" s="8" t="e">
        <f t="shared" si="67"/>
        <v>#REF!</v>
      </c>
      <c r="AD162" s="8">
        <v>350000</v>
      </c>
      <c r="AE162" s="76" t="e">
        <f t="shared" si="58"/>
        <v>#REF!</v>
      </c>
      <c r="AF162" s="8" t="e">
        <f t="shared" si="59"/>
        <v>#REF!</v>
      </c>
      <c r="AH162" s="7" t="e">
        <f t="shared" si="63"/>
        <v>#REF!</v>
      </c>
      <c r="AI162" s="79" t="e">
        <f t="shared" si="68"/>
        <v>#REF!</v>
      </c>
      <c r="AJ162" s="79" t="e">
        <f t="shared" si="69"/>
        <v>#REF!</v>
      </c>
      <c r="AK162" s="75" t="e">
        <f>PMT(#REF!,#REF!,-#REF!,0,0)</f>
        <v>#REF!</v>
      </c>
      <c r="AL162" s="75"/>
      <c r="AM162" s="7" t="e">
        <f>AJ162*(#REF!/12)</f>
        <v>#REF!</v>
      </c>
      <c r="AN162" s="7" t="e">
        <f t="shared" si="70"/>
        <v>#REF!</v>
      </c>
      <c r="AO162" s="75" t="e">
        <f t="shared" si="60"/>
        <v>#REF!</v>
      </c>
      <c r="AP162" s="75" t="e">
        <f t="shared" si="71"/>
        <v>#REF!</v>
      </c>
      <c r="AQ162" s="7" t="e">
        <f t="shared" si="64"/>
        <v>#REF!</v>
      </c>
      <c r="AR162" s="41"/>
    </row>
    <row r="163" spans="10:44" x14ac:dyDescent="0.25">
      <c r="J163" s="5">
        <f t="shared" si="61"/>
        <v>42</v>
      </c>
      <c r="K163" s="5">
        <f t="shared" si="72"/>
        <v>2040</v>
      </c>
      <c r="L163" s="34" t="s">
        <v>40</v>
      </c>
      <c r="M163" s="70">
        <f t="shared" si="73"/>
        <v>14142.368567424272</v>
      </c>
      <c r="N163" s="70">
        <f t="shared" ref="N163:N194" si="75">M163*(1-S163)</f>
        <v>14142.368567424272</v>
      </c>
      <c r="O163" s="71"/>
      <c r="P163" s="86">
        <v>4</v>
      </c>
      <c r="Q163" s="51">
        <v>2</v>
      </c>
      <c r="R163" s="88">
        <f t="shared" si="65"/>
        <v>0.5</v>
      </c>
      <c r="S163" s="6">
        <v>0</v>
      </c>
      <c r="T163" s="8">
        <f t="shared" si="62"/>
        <v>28284.737134848543</v>
      </c>
      <c r="U163" s="8" t="e">
        <f>#REF!</f>
        <v>#REF!</v>
      </c>
      <c r="V163" s="8"/>
      <c r="W163" s="8" t="e">
        <f t="shared" si="74"/>
        <v>#REF!</v>
      </c>
      <c r="X163" s="27"/>
      <c r="Y163" s="26" t="e">
        <f t="shared" si="66"/>
        <v>#REF!</v>
      </c>
      <c r="Z163" s="95"/>
      <c r="AA163" s="95"/>
      <c r="AB163" s="8">
        <f>'Business_172 PH Rd Budget'!$C$25</f>
        <v>2155.2899999999995</v>
      </c>
      <c r="AC163" s="8" t="e">
        <f t="shared" si="67"/>
        <v>#REF!</v>
      </c>
      <c r="AD163" s="8">
        <v>350000</v>
      </c>
      <c r="AE163" s="76" t="e">
        <f t="shared" ref="AE163:AE194" si="76">IF(AC163&lt;$C$8,0,AC163-AD163)</f>
        <v>#REF!</v>
      </c>
      <c r="AF163" s="8" t="e">
        <f t="shared" ref="AF163:AF194" si="77">AE163*(1+$C$7)-AE163</f>
        <v>#REF!</v>
      </c>
      <c r="AH163" s="7" t="e">
        <f t="shared" si="63"/>
        <v>#REF!</v>
      </c>
      <c r="AI163" s="79" t="e">
        <f t="shared" si="68"/>
        <v>#REF!</v>
      </c>
      <c r="AJ163" s="79" t="e">
        <f t="shared" si="69"/>
        <v>#REF!</v>
      </c>
      <c r="AK163" s="75" t="e">
        <f>PMT(#REF!,#REF!,-#REF!,0,0)</f>
        <v>#REF!</v>
      </c>
      <c r="AL163" s="75"/>
      <c r="AM163" s="7" t="e">
        <f>AJ163*(#REF!/12)</f>
        <v>#REF!</v>
      </c>
      <c r="AN163" s="7" t="e">
        <f t="shared" si="70"/>
        <v>#REF!</v>
      </c>
      <c r="AO163" s="75" t="e">
        <f t="shared" ref="AO163:AO193" si="78">AK163-AM163</f>
        <v>#REF!</v>
      </c>
      <c r="AP163" s="75" t="e">
        <f t="shared" si="71"/>
        <v>#REF!</v>
      </c>
      <c r="AQ163" s="7" t="e">
        <f t="shared" si="64"/>
        <v>#REF!</v>
      </c>
      <c r="AR163" s="41"/>
    </row>
    <row r="164" spans="10:44" x14ac:dyDescent="0.25">
      <c r="J164" s="5">
        <f t="shared" si="61"/>
        <v>42</v>
      </c>
      <c r="K164" s="5">
        <f t="shared" si="72"/>
        <v>2040</v>
      </c>
      <c r="L164" s="34" t="s">
        <v>42</v>
      </c>
      <c r="M164" s="70">
        <f t="shared" si="73"/>
        <v>14142.368567424272</v>
      </c>
      <c r="N164" s="70">
        <f t="shared" si="75"/>
        <v>14142.368567424272</v>
      </c>
      <c r="O164" s="71"/>
      <c r="P164" s="86">
        <v>4</v>
      </c>
      <c r="Q164" s="51">
        <v>4</v>
      </c>
      <c r="R164" s="88">
        <f t="shared" si="65"/>
        <v>1</v>
      </c>
      <c r="S164" s="6">
        <v>0</v>
      </c>
      <c r="T164" s="8">
        <f t="shared" si="62"/>
        <v>56569.474269697086</v>
      </c>
      <c r="U164" s="8" t="e">
        <f>#REF!</f>
        <v>#REF!</v>
      </c>
      <c r="V164" s="8"/>
      <c r="W164" s="8" t="e">
        <f t="shared" si="74"/>
        <v>#REF!</v>
      </c>
      <c r="X164" s="27"/>
      <c r="Y164" s="26" t="e">
        <f t="shared" si="66"/>
        <v>#REF!</v>
      </c>
      <c r="Z164" s="95"/>
      <c r="AA164" s="95"/>
      <c r="AB164" s="8">
        <f>'Business_172 PH Rd Budget'!$C$25</f>
        <v>2155.2899999999995</v>
      </c>
      <c r="AC164" s="8" t="e">
        <f t="shared" si="67"/>
        <v>#REF!</v>
      </c>
      <c r="AD164" s="8">
        <v>350000</v>
      </c>
      <c r="AE164" s="76" t="e">
        <f t="shared" si="76"/>
        <v>#REF!</v>
      </c>
      <c r="AF164" s="8" t="e">
        <f t="shared" si="77"/>
        <v>#REF!</v>
      </c>
      <c r="AH164" s="7" t="e">
        <f t="shared" ref="AH164:AH194" si="79">AH163*(1+$C$5)</f>
        <v>#REF!</v>
      </c>
      <c r="AI164" s="79" t="e">
        <f t="shared" si="68"/>
        <v>#REF!</v>
      </c>
      <c r="AJ164" s="79" t="e">
        <f t="shared" si="69"/>
        <v>#REF!</v>
      </c>
      <c r="AK164" s="75" t="e">
        <f>PMT(#REF!,#REF!,-#REF!,0,0)</f>
        <v>#REF!</v>
      </c>
      <c r="AL164" s="75"/>
      <c r="AM164" s="7" t="e">
        <f>AJ164*(#REF!/12)</f>
        <v>#REF!</v>
      </c>
      <c r="AN164" s="7" t="e">
        <f t="shared" si="70"/>
        <v>#REF!</v>
      </c>
      <c r="AO164" s="75" t="e">
        <f t="shared" si="78"/>
        <v>#REF!</v>
      </c>
      <c r="AP164" s="75" t="e">
        <f t="shared" si="71"/>
        <v>#REF!</v>
      </c>
      <c r="AQ164" s="7" t="e">
        <f t="shared" si="64"/>
        <v>#REF!</v>
      </c>
      <c r="AR164" s="41"/>
    </row>
    <row r="165" spans="10:44" x14ac:dyDescent="0.25">
      <c r="J165" s="5">
        <f t="shared" si="61"/>
        <v>42</v>
      </c>
      <c r="K165" s="5">
        <f t="shared" si="72"/>
        <v>2040</v>
      </c>
      <c r="L165" s="34" t="s">
        <v>44</v>
      </c>
      <c r="M165" s="70">
        <f t="shared" si="73"/>
        <v>14142.368567424272</v>
      </c>
      <c r="N165" s="70">
        <f t="shared" si="75"/>
        <v>14142.368567424272</v>
      </c>
      <c r="O165" s="71"/>
      <c r="P165" s="86">
        <v>5</v>
      </c>
      <c r="Q165" s="51">
        <v>4</v>
      </c>
      <c r="R165" s="88">
        <f t="shared" si="65"/>
        <v>0.8</v>
      </c>
      <c r="S165" s="6">
        <v>0</v>
      </c>
      <c r="T165" s="8">
        <f t="shared" si="62"/>
        <v>56569.474269697086</v>
      </c>
      <c r="U165" s="8" t="e">
        <f>#REF!</f>
        <v>#REF!</v>
      </c>
      <c r="V165" s="8"/>
      <c r="W165" s="8" t="e">
        <f t="shared" si="74"/>
        <v>#REF!</v>
      </c>
      <c r="X165" s="27"/>
      <c r="Y165" s="26" t="e">
        <f t="shared" si="66"/>
        <v>#REF!</v>
      </c>
      <c r="Z165" s="95"/>
      <c r="AA165" s="95"/>
      <c r="AB165" s="8">
        <f>'Business_172 PH Rd Budget'!$C$25</f>
        <v>2155.2899999999995</v>
      </c>
      <c r="AC165" s="8" t="e">
        <f t="shared" si="67"/>
        <v>#REF!</v>
      </c>
      <c r="AD165" s="8">
        <v>350000</v>
      </c>
      <c r="AE165" s="76" t="e">
        <f t="shared" si="76"/>
        <v>#REF!</v>
      </c>
      <c r="AF165" s="8" t="e">
        <f t="shared" si="77"/>
        <v>#REF!</v>
      </c>
      <c r="AH165" s="7" t="e">
        <f t="shared" si="79"/>
        <v>#REF!</v>
      </c>
      <c r="AI165" s="79" t="e">
        <f t="shared" si="68"/>
        <v>#REF!</v>
      </c>
      <c r="AJ165" s="79" t="e">
        <f t="shared" ref="AJ165:AJ196" si="80">AQ164</f>
        <v>#REF!</v>
      </c>
      <c r="AK165" s="75" t="e">
        <f>PMT(#REF!,#REF!,-#REF!,0,0)</f>
        <v>#REF!</v>
      </c>
      <c r="AL165" s="75"/>
      <c r="AM165" s="7" t="e">
        <f>AJ165*(#REF!/12)</f>
        <v>#REF!</v>
      </c>
      <c r="AN165" s="7" t="e">
        <f t="shared" si="70"/>
        <v>#REF!</v>
      </c>
      <c r="AO165" s="75" t="e">
        <f t="shared" si="78"/>
        <v>#REF!</v>
      </c>
      <c r="AP165" s="75" t="e">
        <f t="shared" si="71"/>
        <v>#REF!</v>
      </c>
      <c r="AQ165" s="7" t="e">
        <f t="shared" si="64"/>
        <v>#REF!</v>
      </c>
      <c r="AR165" s="41"/>
    </row>
    <row r="166" spans="10:44" x14ac:dyDescent="0.25">
      <c r="J166" s="5">
        <f t="shared" si="61"/>
        <v>42</v>
      </c>
      <c r="K166" s="5">
        <f t="shared" si="72"/>
        <v>2040</v>
      </c>
      <c r="L166" s="34" t="s">
        <v>47</v>
      </c>
      <c r="M166" s="70">
        <f t="shared" si="73"/>
        <v>14142.368567424272</v>
      </c>
      <c r="N166" s="70">
        <f t="shared" si="75"/>
        <v>14142.368567424272</v>
      </c>
      <c r="O166" s="71"/>
      <c r="P166" s="86">
        <v>4</v>
      </c>
      <c r="Q166" s="44">
        <v>4</v>
      </c>
      <c r="R166" s="88">
        <f t="shared" si="65"/>
        <v>1</v>
      </c>
      <c r="S166" s="6">
        <v>0</v>
      </c>
      <c r="T166" s="8">
        <f t="shared" si="62"/>
        <v>56569.474269697086</v>
      </c>
      <c r="U166" s="8" t="e">
        <f>#REF!</f>
        <v>#REF!</v>
      </c>
      <c r="V166" s="8"/>
      <c r="W166" s="8" t="e">
        <f t="shared" si="74"/>
        <v>#REF!</v>
      </c>
      <c r="X166" s="27"/>
      <c r="Y166" s="26" t="e">
        <f t="shared" si="66"/>
        <v>#REF!</v>
      </c>
      <c r="Z166" s="95"/>
      <c r="AA166" s="95"/>
      <c r="AB166" s="8">
        <f>'Business_172 PH Rd Budget'!$C$25</f>
        <v>2155.2899999999995</v>
      </c>
      <c r="AC166" s="8" t="e">
        <f t="shared" si="67"/>
        <v>#REF!</v>
      </c>
      <c r="AD166" s="8">
        <v>350000</v>
      </c>
      <c r="AE166" s="76" t="e">
        <f t="shared" si="76"/>
        <v>#REF!</v>
      </c>
      <c r="AF166" s="8" t="e">
        <f t="shared" si="77"/>
        <v>#REF!</v>
      </c>
      <c r="AH166" s="7" t="e">
        <f t="shared" si="79"/>
        <v>#REF!</v>
      </c>
      <c r="AI166" s="79" t="e">
        <f t="shared" si="68"/>
        <v>#REF!</v>
      </c>
      <c r="AJ166" s="79" t="e">
        <f t="shared" si="80"/>
        <v>#REF!</v>
      </c>
      <c r="AK166" s="75" t="e">
        <f>PMT(#REF!,#REF!,-#REF!,0,0)</f>
        <v>#REF!</v>
      </c>
      <c r="AL166" s="75"/>
      <c r="AM166" s="7" t="e">
        <f>AJ166*(#REF!/12)</f>
        <v>#REF!</v>
      </c>
      <c r="AN166" s="7" t="e">
        <f t="shared" si="70"/>
        <v>#REF!</v>
      </c>
      <c r="AO166" s="75" t="e">
        <f t="shared" si="78"/>
        <v>#REF!</v>
      </c>
      <c r="AP166" s="75" t="e">
        <f t="shared" si="71"/>
        <v>#REF!</v>
      </c>
      <c r="AQ166" s="7" t="e">
        <f t="shared" si="64"/>
        <v>#REF!</v>
      </c>
      <c r="AR166" s="41"/>
    </row>
    <row r="167" spans="10:44" x14ac:dyDescent="0.25">
      <c r="J167" s="5">
        <f t="shared" si="61"/>
        <v>42</v>
      </c>
      <c r="K167" s="5">
        <f t="shared" si="72"/>
        <v>2040</v>
      </c>
      <c r="L167" s="34" t="s">
        <v>49</v>
      </c>
      <c r="M167" s="70">
        <f t="shared" si="73"/>
        <v>14142.368567424272</v>
      </c>
      <c r="N167" s="70">
        <f t="shared" si="75"/>
        <v>14142.368567424272</v>
      </c>
      <c r="O167" s="71"/>
      <c r="P167" s="86">
        <v>4</v>
      </c>
      <c r="Q167" s="44">
        <v>4</v>
      </c>
      <c r="R167" s="88">
        <f t="shared" si="65"/>
        <v>1</v>
      </c>
      <c r="S167" s="6">
        <v>0</v>
      </c>
      <c r="T167" s="8">
        <f t="shared" si="62"/>
        <v>56569.474269697086</v>
      </c>
      <c r="U167" s="8" t="e">
        <f>#REF!</f>
        <v>#REF!</v>
      </c>
      <c r="V167" s="8"/>
      <c r="W167" s="8" t="e">
        <f t="shared" si="74"/>
        <v>#REF!</v>
      </c>
      <c r="X167" s="27"/>
      <c r="Y167" s="26" t="e">
        <f t="shared" si="66"/>
        <v>#REF!</v>
      </c>
      <c r="Z167" s="95"/>
      <c r="AA167" s="95"/>
      <c r="AB167" s="8">
        <f>'Business_172 PH Rd Budget'!$C$25</f>
        <v>2155.2899999999995</v>
      </c>
      <c r="AC167" s="8" t="e">
        <f t="shared" si="67"/>
        <v>#REF!</v>
      </c>
      <c r="AD167" s="8">
        <v>350000</v>
      </c>
      <c r="AE167" s="76" t="e">
        <f t="shared" si="76"/>
        <v>#REF!</v>
      </c>
      <c r="AF167" s="8" t="e">
        <f t="shared" si="77"/>
        <v>#REF!</v>
      </c>
      <c r="AH167" s="7" t="e">
        <f t="shared" si="79"/>
        <v>#REF!</v>
      </c>
      <c r="AI167" s="79" t="e">
        <f t="shared" si="68"/>
        <v>#REF!</v>
      </c>
      <c r="AJ167" s="79" t="e">
        <f t="shared" si="80"/>
        <v>#REF!</v>
      </c>
      <c r="AK167" s="75" t="e">
        <f>PMT(#REF!,#REF!,-#REF!,0,0)</f>
        <v>#REF!</v>
      </c>
      <c r="AL167" s="75"/>
      <c r="AM167" s="7" t="e">
        <f>AJ167*(#REF!/12)</f>
        <v>#REF!</v>
      </c>
      <c r="AN167" s="7" t="e">
        <f t="shared" si="70"/>
        <v>#REF!</v>
      </c>
      <c r="AO167" s="75" t="e">
        <f t="shared" si="78"/>
        <v>#REF!</v>
      </c>
      <c r="AP167" s="75" t="e">
        <f t="shared" si="71"/>
        <v>#REF!</v>
      </c>
      <c r="AQ167" s="7" t="e">
        <f t="shared" si="64"/>
        <v>#REF!</v>
      </c>
      <c r="AR167" s="41"/>
    </row>
    <row r="168" spans="10:44" x14ac:dyDescent="0.25">
      <c r="J168" s="5">
        <f t="shared" si="61"/>
        <v>42</v>
      </c>
      <c r="K168" s="5">
        <f t="shared" si="72"/>
        <v>2040</v>
      </c>
      <c r="L168" s="34" t="s">
        <v>51</v>
      </c>
      <c r="M168" s="70">
        <f t="shared" si="73"/>
        <v>14142.368567424272</v>
      </c>
      <c r="N168" s="70">
        <f t="shared" si="75"/>
        <v>14142.368567424272</v>
      </c>
      <c r="O168" s="71"/>
      <c r="P168" s="86">
        <v>5</v>
      </c>
      <c r="Q168" s="44">
        <v>4</v>
      </c>
      <c r="R168" s="88">
        <f t="shared" si="65"/>
        <v>0.8</v>
      </c>
      <c r="S168" s="6">
        <v>0</v>
      </c>
      <c r="T168" s="8">
        <f t="shared" si="62"/>
        <v>56569.474269697086</v>
      </c>
      <c r="U168" s="8" t="e">
        <f>#REF!</f>
        <v>#REF!</v>
      </c>
      <c r="V168" s="8"/>
      <c r="W168" s="8" t="e">
        <f t="shared" si="74"/>
        <v>#REF!</v>
      </c>
      <c r="X168" s="27"/>
      <c r="Y168" s="26" t="e">
        <f t="shared" si="66"/>
        <v>#REF!</v>
      </c>
      <c r="Z168" s="95"/>
      <c r="AA168" s="95"/>
      <c r="AB168" s="8">
        <f>'Business_172 PH Rd Budget'!$C$25</f>
        <v>2155.2899999999995</v>
      </c>
      <c r="AC168" s="8" t="e">
        <f t="shared" si="67"/>
        <v>#REF!</v>
      </c>
      <c r="AD168" s="8">
        <v>350000</v>
      </c>
      <c r="AE168" s="76" t="e">
        <f t="shared" si="76"/>
        <v>#REF!</v>
      </c>
      <c r="AF168" s="8" t="e">
        <f t="shared" si="77"/>
        <v>#REF!</v>
      </c>
      <c r="AH168" s="7" t="e">
        <f t="shared" si="79"/>
        <v>#REF!</v>
      </c>
      <c r="AI168" s="79" t="e">
        <f t="shared" si="68"/>
        <v>#REF!</v>
      </c>
      <c r="AJ168" s="79" t="e">
        <f t="shared" si="80"/>
        <v>#REF!</v>
      </c>
      <c r="AK168" s="75" t="e">
        <f>PMT(#REF!,#REF!,-#REF!,0,0)</f>
        <v>#REF!</v>
      </c>
      <c r="AL168" s="75"/>
      <c r="AM168" s="7" t="e">
        <f>AJ168*(#REF!/12)</f>
        <v>#REF!</v>
      </c>
      <c r="AN168" s="7" t="e">
        <f t="shared" si="70"/>
        <v>#REF!</v>
      </c>
      <c r="AO168" s="75" t="e">
        <f t="shared" si="78"/>
        <v>#REF!</v>
      </c>
      <c r="AP168" s="75" t="e">
        <f t="shared" si="71"/>
        <v>#REF!</v>
      </c>
      <c r="AQ168" s="7" t="e">
        <f t="shared" si="64"/>
        <v>#REF!</v>
      </c>
      <c r="AR168" s="41"/>
    </row>
    <row r="169" spans="10:44" x14ac:dyDescent="0.25">
      <c r="J169" s="5">
        <f t="shared" si="61"/>
        <v>42</v>
      </c>
      <c r="K169" s="5">
        <f t="shared" si="72"/>
        <v>2040</v>
      </c>
      <c r="L169" s="34" t="s">
        <v>53</v>
      </c>
      <c r="M169" s="70">
        <f t="shared" si="73"/>
        <v>14142.368567424272</v>
      </c>
      <c r="N169" s="70">
        <f t="shared" si="75"/>
        <v>12728.131710681844</v>
      </c>
      <c r="O169" s="71"/>
      <c r="P169" s="87"/>
      <c r="Q169" s="68">
        <v>0</v>
      </c>
      <c r="R169" s="88" t="str">
        <f t="shared" si="65"/>
        <v/>
      </c>
      <c r="S169" s="69">
        <v>0.1</v>
      </c>
      <c r="T169" s="8">
        <f t="shared" si="62"/>
        <v>0</v>
      </c>
      <c r="U169" s="8" t="e">
        <f>#REF!</f>
        <v>#REF!</v>
      </c>
      <c r="V169" s="8"/>
      <c r="W169" s="8" t="e">
        <f t="shared" si="74"/>
        <v>#REF!</v>
      </c>
      <c r="X169" s="27"/>
      <c r="Y169" s="26" t="e">
        <f t="shared" si="66"/>
        <v>#REF!</v>
      </c>
      <c r="Z169" s="95"/>
      <c r="AA169" s="95"/>
      <c r="AB169" s="8">
        <f>'Business_172 PH Rd Budget'!$C$25</f>
        <v>2155.2899999999995</v>
      </c>
      <c r="AC169" s="8" t="e">
        <f t="shared" si="67"/>
        <v>#REF!</v>
      </c>
      <c r="AD169" s="8">
        <v>350000</v>
      </c>
      <c r="AE169" s="76" t="e">
        <f t="shared" si="76"/>
        <v>#REF!</v>
      </c>
      <c r="AF169" s="8" t="e">
        <f t="shared" si="77"/>
        <v>#REF!</v>
      </c>
      <c r="AH169" s="7" t="e">
        <f t="shared" si="79"/>
        <v>#REF!</v>
      </c>
      <c r="AI169" s="79" t="e">
        <f t="shared" si="68"/>
        <v>#REF!</v>
      </c>
      <c r="AJ169" s="79" t="e">
        <f t="shared" si="80"/>
        <v>#REF!</v>
      </c>
      <c r="AK169" s="75" t="e">
        <f>PMT(#REF!,#REF!,-#REF!,0,0)</f>
        <v>#REF!</v>
      </c>
      <c r="AL169" s="75"/>
      <c r="AM169" s="7" t="e">
        <f>AJ169*(#REF!/12)</f>
        <v>#REF!</v>
      </c>
      <c r="AN169" s="7" t="e">
        <f t="shared" si="70"/>
        <v>#REF!</v>
      </c>
      <c r="AO169" s="75" t="e">
        <f t="shared" si="78"/>
        <v>#REF!</v>
      </c>
      <c r="AP169" s="75" t="e">
        <f t="shared" si="71"/>
        <v>#REF!</v>
      </c>
      <c r="AQ169" s="7" t="e">
        <f t="shared" si="64"/>
        <v>#REF!</v>
      </c>
      <c r="AR169" s="41"/>
    </row>
    <row r="170" spans="10:44" x14ac:dyDescent="0.25">
      <c r="J170" s="5">
        <f t="shared" si="61"/>
        <v>42</v>
      </c>
      <c r="K170" s="5">
        <f t="shared" si="72"/>
        <v>2040</v>
      </c>
      <c r="L170" s="34" t="s">
        <v>55</v>
      </c>
      <c r="M170" s="70">
        <f t="shared" si="73"/>
        <v>14142.368567424272</v>
      </c>
      <c r="N170" s="70">
        <f t="shared" si="75"/>
        <v>11313.894853939419</v>
      </c>
      <c r="O170" s="71"/>
      <c r="P170" s="86"/>
      <c r="Q170" s="51">
        <v>0</v>
      </c>
      <c r="R170" s="88" t="str">
        <f t="shared" si="65"/>
        <v/>
      </c>
      <c r="S170" s="6">
        <v>0.2</v>
      </c>
      <c r="T170" s="8">
        <f t="shared" si="62"/>
        <v>0</v>
      </c>
      <c r="U170" s="8" t="e">
        <f>#REF!</f>
        <v>#REF!</v>
      </c>
      <c r="V170" s="8"/>
      <c r="W170" s="8" t="e">
        <f t="shared" si="74"/>
        <v>#REF!</v>
      </c>
      <c r="X170" s="27"/>
      <c r="Y170" s="26" t="e">
        <f t="shared" si="66"/>
        <v>#REF!</v>
      </c>
      <c r="Z170" s="95"/>
      <c r="AA170" s="95"/>
      <c r="AB170" s="8">
        <f>'Business_172 PH Rd Budget'!$C$25</f>
        <v>2155.2899999999995</v>
      </c>
      <c r="AC170" s="8" t="e">
        <f t="shared" si="67"/>
        <v>#REF!</v>
      </c>
      <c r="AD170" s="8">
        <v>350000</v>
      </c>
      <c r="AE170" s="76" t="e">
        <f t="shared" si="76"/>
        <v>#REF!</v>
      </c>
      <c r="AF170" s="8" t="e">
        <f t="shared" si="77"/>
        <v>#REF!</v>
      </c>
      <c r="AH170" s="7" t="e">
        <f t="shared" si="79"/>
        <v>#REF!</v>
      </c>
      <c r="AI170" s="79" t="e">
        <f t="shared" si="68"/>
        <v>#REF!</v>
      </c>
      <c r="AJ170" s="79" t="e">
        <f t="shared" si="80"/>
        <v>#REF!</v>
      </c>
      <c r="AK170" s="75" t="e">
        <f>PMT(#REF!,#REF!,-#REF!,0,0)</f>
        <v>#REF!</v>
      </c>
      <c r="AL170" s="75"/>
      <c r="AM170" s="7" t="e">
        <f>AJ170*(#REF!/12)</f>
        <v>#REF!</v>
      </c>
      <c r="AN170" s="7" t="e">
        <f t="shared" si="70"/>
        <v>#REF!</v>
      </c>
      <c r="AO170" s="75" t="e">
        <f t="shared" si="78"/>
        <v>#REF!</v>
      </c>
      <c r="AP170" s="75" t="e">
        <f t="shared" si="71"/>
        <v>#REF!</v>
      </c>
      <c r="AQ170" s="7" t="e">
        <f t="shared" si="64"/>
        <v>#REF!</v>
      </c>
      <c r="AR170" s="41"/>
    </row>
    <row r="171" spans="10:44" x14ac:dyDescent="0.25">
      <c r="J171" s="5">
        <f t="shared" si="61"/>
        <v>43</v>
      </c>
      <c r="K171" s="5">
        <f t="shared" si="72"/>
        <v>2041</v>
      </c>
      <c r="L171" s="34" t="s">
        <v>31</v>
      </c>
      <c r="M171" s="70">
        <f t="shared" ref="M171:M182" si="81">M170*(1+O171)</f>
        <v>14849.486995795485</v>
      </c>
      <c r="N171" s="70">
        <f t="shared" si="75"/>
        <v>11137.115246846613</v>
      </c>
      <c r="O171" s="71">
        <v>0.05</v>
      </c>
      <c r="P171" s="86"/>
      <c r="Q171" s="51">
        <v>0</v>
      </c>
      <c r="R171" s="88" t="str">
        <f t="shared" si="65"/>
        <v/>
      </c>
      <c r="S171" s="6">
        <v>0.25</v>
      </c>
      <c r="T171" s="8">
        <f t="shared" si="62"/>
        <v>0</v>
      </c>
      <c r="U171" s="8" t="e">
        <f>#REF!</f>
        <v>#REF!</v>
      </c>
      <c r="V171" s="8"/>
      <c r="W171" s="8" t="e">
        <f t="shared" ref="W171:W182" si="82">T171-U171</f>
        <v>#REF!</v>
      </c>
      <c r="X171" s="27"/>
      <c r="Y171" s="26" t="e">
        <f t="shared" si="66"/>
        <v>#REF!</v>
      </c>
      <c r="Z171" s="95"/>
      <c r="AA171" s="95"/>
      <c r="AB171" s="8">
        <f>'Business_172 PH Rd Budget'!$C$25</f>
        <v>2155.2899999999995</v>
      </c>
      <c r="AC171" s="8" t="e">
        <f t="shared" si="67"/>
        <v>#REF!</v>
      </c>
      <c r="AD171" s="8">
        <v>350000</v>
      </c>
      <c r="AE171" s="76" t="e">
        <f t="shared" si="76"/>
        <v>#REF!</v>
      </c>
      <c r="AF171" s="8" t="e">
        <f t="shared" si="77"/>
        <v>#REF!</v>
      </c>
      <c r="AH171" s="7" t="e">
        <f t="shared" si="79"/>
        <v>#REF!</v>
      </c>
      <c r="AI171" s="79" t="e">
        <f t="shared" si="68"/>
        <v>#REF!</v>
      </c>
      <c r="AJ171" s="79" t="e">
        <f t="shared" si="80"/>
        <v>#REF!</v>
      </c>
      <c r="AK171" s="75" t="e">
        <f>PMT(#REF!,#REF!,-#REF!,0,0)</f>
        <v>#REF!</v>
      </c>
      <c r="AL171" s="75"/>
      <c r="AM171" s="7" t="e">
        <f>AJ171*(#REF!/12)</f>
        <v>#REF!</v>
      </c>
      <c r="AN171" s="7" t="e">
        <f t="shared" si="70"/>
        <v>#REF!</v>
      </c>
      <c r="AO171" s="75" t="e">
        <f t="shared" si="78"/>
        <v>#REF!</v>
      </c>
      <c r="AP171" s="75" t="e">
        <f t="shared" si="71"/>
        <v>#REF!</v>
      </c>
      <c r="AQ171" s="7" t="e">
        <f t="shared" si="64"/>
        <v>#REF!</v>
      </c>
      <c r="AR171" s="41"/>
    </row>
    <row r="172" spans="10:44" x14ac:dyDescent="0.25">
      <c r="J172" s="5">
        <f t="shared" si="61"/>
        <v>43</v>
      </c>
      <c r="K172" s="5">
        <f t="shared" si="72"/>
        <v>2041</v>
      </c>
      <c r="L172" s="34" t="s">
        <v>33</v>
      </c>
      <c r="M172" s="70">
        <f t="shared" si="81"/>
        <v>14849.486995795485</v>
      </c>
      <c r="N172" s="70">
        <f t="shared" si="75"/>
        <v>11137.115246846613</v>
      </c>
      <c r="O172" s="71"/>
      <c r="P172" s="86"/>
      <c r="Q172" s="51">
        <v>0</v>
      </c>
      <c r="R172" s="88" t="str">
        <f t="shared" si="65"/>
        <v/>
      </c>
      <c r="S172" s="6">
        <v>0.25</v>
      </c>
      <c r="T172" s="8">
        <f t="shared" si="62"/>
        <v>0</v>
      </c>
      <c r="U172" s="8" t="e">
        <f>#REF!</f>
        <v>#REF!</v>
      </c>
      <c r="V172" s="8"/>
      <c r="W172" s="8" t="e">
        <f t="shared" si="82"/>
        <v>#REF!</v>
      </c>
      <c r="X172" s="27"/>
      <c r="Y172" s="26" t="e">
        <f t="shared" si="66"/>
        <v>#REF!</v>
      </c>
      <c r="Z172" s="95"/>
      <c r="AA172" s="95"/>
      <c r="AB172" s="8">
        <f>'Business_172 PH Rd Budget'!$C$25</f>
        <v>2155.2899999999995</v>
      </c>
      <c r="AC172" s="8" t="e">
        <f t="shared" si="67"/>
        <v>#REF!</v>
      </c>
      <c r="AD172" s="8">
        <v>350000</v>
      </c>
      <c r="AE172" s="76" t="e">
        <f t="shared" si="76"/>
        <v>#REF!</v>
      </c>
      <c r="AF172" s="8" t="e">
        <f t="shared" si="77"/>
        <v>#REF!</v>
      </c>
      <c r="AH172" s="7" t="e">
        <f t="shared" si="79"/>
        <v>#REF!</v>
      </c>
      <c r="AI172" s="79" t="e">
        <f t="shared" si="68"/>
        <v>#REF!</v>
      </c>
      <c r="AJ172" s="79" t="e">
        <f t="shared" si="80"/>
        <v>#REF!</v>
      </c>
      <c r="AK172" s="75" t="e">
        <f>PMT(#REF!,#REF!,-#REF!,0,0)</f>
        <v>#REF!</v>
      </c>
      <c r="AL172" s="75"/>
      <c r="AM172" s="7" t="e">
        <f>AJ172*(#REF!/12)</f>
        <v>#REF!</v>
      </c>
      <c r="AN172" s="7" t="e">
        <f t="shared" si="70"/>
        <v>#REF!</v>
      </c>
      <c r="AO172" s="75" t="e">
        <f t="shared" si="78"/>
        <v>#REF!</v>
      </c>
      <c r="AP172" s="75" t="e">
        <f t="shared" si="71"/>
        <v>#REF!</v>
      </c>
      <c r="AQ172" s="7" t="e">
        <f t="shared" si="64"/>
        <v>#REF!</v>
      </c>
      <c r="AR172" s="41"/>
    </row>
    <row r="173" spans="10:44" x14ac:dyDescent="0.25">
      <c r="J173" s="5">
        <f t="shared" si="61"/>
        <v>43</v>
      </c>
      <c r="K173" s="5">
        <f t="shared" si="72"/>
        <v>2041</v>
      </c>
      <c r="L173" s="34" t="s">
        <v>36</v>
      </c>
      <c r="M173" s="70">
        <f t="shared" si="81"/>
        <v>14849.486995795485</v>
      </c>
      <c r="N173" s="70">
        <f t="shared" si="75"/>
        <v>11879.58959663639</v>
      </c>
      <c r="O173" s="71"/>
      <c r="P173" s="86"/>
      <c r="Q173" s="51">
        <v>0</v>
      </c>
      <c r="R173" s="88" t="str">
        <f t="shared" si="65"/>
        <v/>
      </c>
      <c r="S173" s="6">
        <v>0.2</v>
      </c>
      <c r="T173" s="8">
        <f t="shared" si="62"/>
        <v>0</v>
      </c>
      <c r="U173" s="8" t="e">
        <f>#REF!</f>
        <v>#REF!</v>
      </c>
      <c r="V173" s="8"/>
      <c r="W173" s="8" t="e">
        <f t="shared" si="82"/>
        <v>#REF!</v>
      </c>
      <c r="X173" s="27"/>
      <c r="Y173" s="26" t="e">
        <f t="shared" si="66"/>
        <v>#REF!</v>
      </c>
      <c r="Z173" s="95"/>
      <c r="AA173" s="95"/>
      <c r="AB173" s="8">
        <f>'Business_172 PH Rd Budget'!$C$25</f>
        <v>2155.2899999999995</v>
      </c>
      <c r="AC173" s="8" t="e">
        <f t="shared" si="67"/>
        <v>#REF!</v>
      </c>
      <c r="AD173" s="8">
        <v>350000</v>
      </c>
      <c r="AE173" s="76" t="e">
        <f t="shared" si="76"/>
        <v>#REF!</v>
      </c>
      <c r="AF173" s="8" t="e">
        <f t="shared" si="77"/>
        <v>#REF!</v>
      </c>
      <c r="AH173" s="7" t="e">
        <f t="shared" si="79"/>
        <v>#REF!</v>
      </c>
      <c r="AI173" s="79" t="e">
        <f t="shared" si="68"/>
        <v>#REF!</v>
      </c>
      <c r="AJ173" s="79" t="e">
        <f t="shared" si="80"/>
        <v>#REF!</v>
      </c>
      <c r="AK173" s="75" t="e">
        <f>PMT(#REF!,#REF!,-#REF!,0,0)</f>
        <v>#REF!</v>
      </c>
      <c r="AL173" s="75"/>
      <c r="AM173" s="7" t="e">
        <f>AJ173*(#REF!/12)</f>
        <v>#REF!</v>
      </c>
      <c r="AN173" s="7" t="e">
        <f t="shared" si="70"/>
        <v>#REF!</v>
      </c>
      <c r="AO173" s="75" t="e">
        <f t="shared" si="78"/>
        <v>#REF!</v>
      </c>
      <c r="AP173" s="75" t="e">
        <f t="shared" si="71"/>
        <v>#REF!</v>
      </c>
      <c r="AQ173" s="7" t="e">
        <f t="shared" si="64"/>
        <v>#REF!</v>
      </c>
      <c r="AR173" s="41"/>
    </row>
    <row r="174" spans="10:44" x14ac:dyDescent="0.25">
      <c r="J174" s="5">
        <f t="shared" si="61"/>
        <v>43</v>
      </c>
      <c r="K174" s="5">
        <f t="shared" si="72"/>
        <v>2041</v>
      </c>
      <c r="L174" s="34" t="s">
        <v>38</v>
      </c>
      <c r="M174" s="70">
        <f t="shared" si="81"/>
        <v>14849.486995795485</v>
      </c>
      <c r="N174" s="70">
        <f t="shared" si="75"/>
        <v>13364.538296215936</v>
      </c>
      <c r="O174" s="71"/>
      <c r="P174" s="86"/>
      <c r="Q174" s="51">
        <v>0</v>
      </c>
      <c r="R174" s="88" t="str">
        <f t="shared" si="65"/>
        <v/>
      </c>
      <c r="S174" s="6">
        <v>0.1</v>
      </c>
      <c r="T174" s="8">
        <f t="shared" si="62"/>
        <v>0</v>
      </c>
      <c r="U174" s="8" t="e">
        <f>#REF!</f>
        <v>#REF!</v>
      </c>
      <c r="V174" s="8"/>
      <c r="W174" s="8" t="e">
        <f t="shared" si="82"/>
        <v>#REF!</v>
      </c>
      <c r="X174" s="27"/>
      <c r="Y174" s="26" t="e">
        <f t="shared" si="66"/>
        <v>#REF!</v>
      </c>
      <c r="Z174" s="95"/>
      <c r="AA174" s="95"/>
      <c r="AB174" s="8">
        <f>'Business_172 PH Rd Budget'!$C$25</f>
        <v>2155.2899999999995</v>
      </c>
      <c r="AC174" s="8" t="e">
        <f t="shared" si="67"/>
        <v>#REF!</v>
      </c>
      <c r="AD174" s="8">
        <v>350000</v>
      </c>
      <c r="AE174" s="76" t="e">
        <f t="shared" si="76"/>
        <v>#REF!</v>
      </c>
      <c r="AF174" s="8" t="e">
        <f t="shared" si="77"/>
        <v>#REF!</v>
      </c>
      <c r="AH174" s="7" t="e">
        <f t="shared" si="79"/>
        <v>#REF!</v>
      </c>
      <c r="AI174" s="79" t="e">
        <f t="shared" si="68"/>
        <v>#REF!</v>
      </c>
      <c r="AJ174" s="79" t="e">
        <f t="shared" si="80"/>
        <v>#REF!</v>
      </c>
      <c r="AK174" s="75" t="e">
        <f>PMT(#REF!,#REF!,-#REF!,0,0)</f>
        <v>#REF!</v>
      </c>
      <c r="AL174" s="75"/>
      <c r="AM174" s="7" t="e">
        <f>AJ174*(#REF!/12)</f>
        <v>#REF!</v>
      </c>
      <c r="AN174" s="7" t="e">
        <f t="shared" si="70"/>
        <v>#REF!</v>
      </c>
      <c r="AO174" s="75" t="e">
        <f t="shared" si="78"/>
        <v>#REF!</v>
      </c>
      <c r="AP174" s="75" t="e">
        <f t="shared" si="71"/>
        <v>#REF!</v>
      </c>
      <c r="AQ174" s="7" t="e">
        <f t="shared" si="64"/>
        <v>#REF!</v>
      </c>
      <c r="AR174" s="41"/>
    </row>
    <row r="175" spans="10:44" x14ac:dyDescent="0.25">
      <c r="J175" s="5">
        <f t="shared" si="61"/>
        <v>43</v>
      </c>
      <c r="K175" s="5">
        <f t="shared" si="72"/>
        <v>2041</v>
      </c>
      <c r="L175" s="34" t="s">
        <v>40</v>
      </c>
      <c r="M175" s="70">
        <f t="shared" si="81"/>
        <v>14849.486995795485</v>
      </c>
      <c r="N175" s="70">
        <f t="shared" si="75"/>
        <v>14849.486995795485</v>
      </c>
      <c r="O175" s="71"/>
      <c r="P175" s="86">
        <v>4</v>
      </c>
      <c r="Q175" s="51">
        <v>2</v>
      </c>
      <c r="R175" s="88">
        <f t="shared" si="65"/>
        <v>0.5</v>
      </c>
      <c r="S175" s="6">
        <v>0</v>
      </c>
      <c r="T175" s="8">
        <f t="shared" si="62"/>
        <v>29698.97399159097</v>
      </c>
      <c r="U175" s="8" t="e">
        <f>#REF!</f>
        <v>#REF!</v>
      </c>
      <c r="V175" s="8"/>
      <c r="W175" s="8" t="e">
        <f t="shared" si="82"/>
        <v>#REF!</v>
      </c>
      <c r="X175" s="27"/>
      <c r="Y175" s="26" t="e">
        <f t="shared" si="66"/>
        <v>#REF!</v>
      </c>
      <c r="Z175" s="95"/>
      <c r="AA175" s="95"/>
      <c r="AB175" s="8">
        <f>'Business_172 PH Rd Budget'!$C$25</f>
        <v>2155.2899999999995</v>
      </c>
      <c r="AC175" s="8" t="e">
        <f t="shared" si="67"/>
        <v>#REF!</v>
      </c>
      <c r="AD175" s="8">
        <v>350000</v>
      </c>
      <c r="AE175" s="76" t="e">
        <f t="shared" si="76"/>
        <v>#REF!</v>
      </c>
      <c r="AF175" s="8" t="e">
        <f t="shared" si="77"/>
        <v>#REF!</v>
      </c>
      <c r="AH175" s="7" t="e">
        <f t="shared" si="79"/>
        <v>#REF!</v>
      </c>
      <c r="AI175" s="79" t="e">
        <f t="shared" si="68"/>
        <v>#REF!</v>
      </c>
      <c r="AJ175" s="79" t="e">
        <f t="shared" si="80"/>
        <v>#REF!</v>
      </c>
      <c r="AK175" s="75" t="e">
        <f>PMT(#REF!,#REF!,-#REF!,0,0)</f>
        <v>#REF!</v>
      </c>
      <c r="AL175" s="75"/>
      <c r="AM175" s="7" t="e">
        <f>AJ175*(#REF!/12)</f>
        <v>#REF!</v>
      </c>
      <c r="AN175" s="7" t="e">
        <f t="shared" si="70"/>
        <v>#REF!</v>
      </c>
      <c r="AO175" s="75" t="e">
        <f t="shared" si="78"/>
        <v>#REF!</v>
      </c>
      <c r="AP175" s="75" t="e">
        <f t="shared" si="71"/>
        <v>#REF!</v>
      </c>
      <c r="AQ175" s="7" t="e">
        <f t="shared" si="64"/>
        <v>#REF!</v>
      </c>
      <c r="AR175" s="41"/>
    </row>
    <row r="176" spans="10:44" x14ac:dyDescent="0.25">
      <c r="J176" s="5">
        <f t="shared" si="61"/>
        <v>43</v>
      </c>
      <c r="K176" s="5">
        <f t="shared" si="72"/>
        <v>2041</v>
      </c>
      <c r="L176" s="34" t="s">
        <v>42</v>
      </c>
      <c r="M176" s="70">
        <f t="shared" si="81"/>
        <v>14849.486995795485</v>
      </c>
      <c r="N176" s="70">
        <f t="shared" si="75"/>
        <v>14849.486995795485</v>
      </c>
      <c r="O176" s="71"/>
      <c r="P176" s="86">
        <v>5</v>
      </c>
      <c r="Q176" s="51">
        <v>4</v>
      </c>
      <c r="R176" s="88">
        <f t="shared" si="65"/>
        <v>0.8</v>
      </c>
      <c r="S176" s="6">
        <v>0</v>
      </c>
      <c r="T176" s="8">
        <f t="shared" si="62"/>
        <v>59397.947983181941</v>
      </c>
      <c r="U176" s="8" t="e">
        <f>#REF!</f>
        <v>#REF!</v>
      </c>
      <c r="V176" s="8"/>
      <c r="W176" s="8" t="e">
        <f t="shared" si="82"/>
        <v>#REF!</v>
      </c>
      <c r="X176" s="27"/>
      <c r="Y176" s="26" t="e">
        <f t="shared" si="66"/>
        <v>#REF!</v>
      </c>
      <c r="Z176" s="95"/>
      <c r="AA176" s="95"/>
      <c r="AB176" s="8">
        <f>'Business_172 PH Rd Budget'!$C$25</f>
        <v>2155.2899999999995</v>
      </c>
      <c r="AC176" s="8" t="e">
        <f t="shared" si="67"/>
        <v>#REF!</v>
      </c>
      <c r="AD176" s="8">
        <v>350000</v>
      </c>
      <c r="AE176" s="76" t="e">
        <f t="shared" si="76"/>
        <v>#REF!</v>
      </c>
      <c r="AF176" s="8" t="e">
        <f t="shared" si="77"/>
        <v>#REF!</v>
      </c>
      <c r="AH176" s="7" t="e">
        <f t="shared" si="79"/>
        <v>#REF!</v>
      </c>
      <c r="AI176" s="79" t="e">
        <f t="shared" si="68"/>
        <v>#REF!</v>
      </c>
      <c r="AJ176" s="79" t="e">
        <f t="shared" si="80"/>
        <v>#REF!</v>
      </c>
      <c r="AK176" s="75" t="e">
        <f>PMT(#REF!,#REF!,-#REF!,0,0)</f>
        <v>#REF!</v>
      </c>
      <c r="AL176" s="75"/>
      <c r="AM176" s="7" t="e">
        <f>AJ176*(#REF!/12)</f>
        <v>#REF!</v>
      </c>
      <c r="AN176" s="7" t="e">
        <f t="shared" si="70"/>
        <v>#REF!</v>
      </c>
      <c r="AO176" s="75" t="e">
        <f t="shared" si="78"/>
        <v>#REF!</v>
      </c>
      <c r="AP176" s="75" t="e">
        <f t="shared" si="71"/>
        <v>#REF!</v>
      </c>
      <c r="AQ176" s="7" t="e">
        <f t="shared" si="64"/>
        <v>#REF!</v>
      </c>
      <c r="AR176" s="41"/>
    </row>
    <row r="177" spans="10:44" x14ac:dyDescent="0.25">
      <c r="J177" s="5">
        <f t="shared" si="61"/>
        <v>43</v>
      </c>
      <c r="K177" s="5">
        <f t="shared" si="72"/>
        <v>2041</v>
      </c>
      <c r="L177" s="34" t="s">
        <v>44</v>
      </c>
      <c r="M177" s="70">
        <f t="shared" si="81"/>
        <v>14849.486995795485</v>
      </c>
      <c r="N177" s="70">
        <f t="shared" si="75"/>
        <v>14849.486995795485</v>
      </c>
      <c r="O177" s="71"/>
      <c r="P177" s="86">
        <v>4</v>
      </c>
      <c r="Q177" s="51">
        <v>4</v>
      </c>
      <c r="R177" s="88">
        <f t="shared" si="65"/>
        <v>1</v>
      </c>
      <c r="S177" s="6">
        <v>0</v>
      </c>
      <c r="T177" s="8">
        <f t="shared" si="62"/>
        <v>59397.947983181941</v>
      </c>
      <c r="U177" s="8" t="e">
        <f>#REF!</f>
        <v>#REF!</v>
      </c>
      <c r="V177" s="8"/>
      <c r="W177" s="8" t="e">
        <f t="shared" si="82"/>
        <v>#REF!</v>
      </c>
      <c r="X177" s="27"/>
      <c r="Y177" s="26" t="e">
        <f t="shared" si="66"/>
        <v>#REF!</v>
      </c>
      <c r="Z177" s="95"/>
      <c r="AA177" s="95"/>
      <c r="AB177" s="8">
        <f>'Business_172 PH Rd Budget'!$C$25</f>
        <v>2155.2899999999995</v>
      </c>
      <c r="AC177" s="8" t="e">
        <f t="shared" si="67"/>
        <v>#REF!</v>
      </c>
      <c r="AD177" s="8">
        <v>350000</v>
      </c>
      <c r="AE177" s="76" t="e">
        <f t="shared" si="76"/>
        <v>#REF!</v>
      </c>
      <c r="AF177" s="8" t="e">
        <f t="shared" si="77"/>
        <v>#REF!</v>
      </c>
      <c r="AH177" s="7" t="e">
        <f t="shared" si="79"/>
        <v>#REF!</v>
      </c>
      <c r="AI177" s="79" t="e">
        <f t="shared" si="68"/>
        <v>#REF!</v>
      </c>
      <c r="AJ177" s="79" t="e">
        <f t="shared" si="80"/>
        <v>#REF!</v>
      </c>
      <c r="AK177" s="75" t="e">
        <f>PMT(#REF!,#REF!,-#REF!,0,0)</f>
        <v>#REF!</v>
      </c>
      <c r="AL177" s="75"/>
      <c r="AM177" s="7" t="e">
        <f>AJ177*(#REF!/12)</f>
        <v>#REF!</v>
      </c>
      <c r="AN177" s="7" t="e">
        <f t="shared" si="70"/>
        <v>#REF!</v>
      </c>
      <c r="AO177" s="75" t="e">
        <f t="shared" si="78"/>
        <v>#REF!</v>
      </c>
      <c r="AP177" s="75" t="e">
        <f t="shared" si="71"/>
        <v>#REF!</v>
      </c>
      <c r="AQ177" s="7" t="e">
        <f t="shared" si="64"/>
        <v>#REF!</v>
      </c>
      <c r="AR177" s="41"/>
    </row>
    <row r="178" spans="10:44" x14ac:dyDescent="0.25">
      <c r="J178" s="5">
        <f t="shared" si="61"/>
        <v>43</v>
      </c>
      <c r="K178" s="5">
        <f t="shared" si="72"/>
        <v>2041</v>
      </c>
      <c r="L178" s="34" t="s">
        <v>47</v>
      </c>
      <c r="M178" s="70">
        <f t="shared" si="81"/>
        <v>14849.486995795485</v>
      </c>
      <c r="N178" s="70">
        <f t="shared" si="75"/>
        <v>14849.486995795485</v>
      </c>
      <c r="O178" s="71"/>
      <c r="P178" s="86">
        <v>4</v>
      </c>
      <c r="Q178" s="44">
        <v>4</v>
      </c>
      <c r="R178" s="88">
        <f t="shared" si="65"/>
        <v>1</v>
      </c>
      <c r="S178" s="6">
        <v>0</v>
      </c>
      <c r="T178" s="8">
        <f t="shared" si="62"/>
        <v>59397.947983181941</v>
      </c>
      <c r="U178" s="8" t="e">
        <f>#REF!</f>
        <v>#REF!</v>
      </c>
      <c r="V178" s="8"/>
      <c r="W178" s="8" t="e">
        <f t="shared" si="82"/>
        <v>#REF!</v>
      </c>
      <c r="X178" s="27"/>
      <c r="Y178" s="26" t="e">
        <f t="shared" si="66"/>
        <v>#REF!</v>
      </c>
      <c r="Z178" s="95"/>
      <c r="AA178" s="95"/>
      <c r="AB178" s="8">
        <f>'Business_172 PH Rd Budget'!$C$25</f>
        <v>2155.2899999999995</v>
      </c>
      <c r="AC178" s="8" t="e">
        <f t="shared" si="67"/>
        <v>#REF!</v>
      </c>
      <c r="AD178" s="8">
        <v>350000</v>
      </c>
      <c r="AE178" s="76" t="e">
        <f t="shared" si="76"/>
        <v>#REF!</v>
      </c>
      <c r="AF178" s="8" t="e">
        <f t="shared" si="77"/>
        <v>#REF!</v>
      </c>
      <c r="AH178" s="7" t="e">
        <f t="shared" si="79"/>
        <v>#REF!</v>
      </c>
      <c r="AI178" s="79" t="e">
        <f t="shared" si="68"/>
        <v>#REF!</v>
      </c>
      <c r="AJ178" s="79" t="e">
        <f t="shared" si="80"/>
        <v>#REF!</v>
      </c>
      <c r="AK178" s="75" t="e">
        <f>PMT(#REF!,#REF!,-#REF!,0,0)</f>
        <v>#REF!</v>
      </c>
      <c r="AL178" s="75"/>
      <c r="AM178" s="7" t="e">
        <f>AJ178*(#REF!/12)</f>
        <v>#REF!</v>
      </c>
      <c r="AN178" s="7" t="e">
        <f t="shared" si="70"/>
        <v>#REF!</v>
      </c>
      <c r="AO178" s="75" t="e">
        <f t="shared" si="78"/>
        <v>#REF!</v>
      </c>
      <c r="AP178" s="75" t="e">
        <f t="shared" si="71"/>
        <v>#REF!</v>
      </c>
      <c r="AQ178" s="7" t="e">
        <f t="shared" si="64"/>
        <v>#REF!</v>
      </c>
      <c r="AR178" s="41"/>
    </row>
    <row r="179" spans="10:44" x14ac:dyDescent="0.25">
      <c r="J179" s="5">
        <f t="shared" si="61"/>
        <v>43</v>
      </c>
      <c r="K179" s="5">
        <f t="shared" si="72"/>
        <v>2041</v>
      </c>
      <c r="L179" s="34" t="s">
        <v>49</v>
      </c>
      <c r="M179" s="70">
        <f t="shared" si="81"/>
        <v>14849.486995795485</v>
      </c>
      <c r="N179" s="70">
        <f t="shared" si="75"/>
        <v>14849.486995795485</v>
      </c>
      <c r="O179" s="71"/>
      <c r="P179" s="86">
        <v>5</v>
      </c>
      <c r="Q179" s="44">
        <v>4</v>
      </c>
      <c r="R179" s="88">
        <f t="shared" si="65"/>
        <v>0.8</v>
      </c>
      <c r="S179" s="6">
        <v>0</v>
      </c>
      <c r="T179" s="8">
        <f t="shared" si="62"/>
        <v>59397.947983181941</v>
      </c>
      <c r="U179" s="8" t="e">
        <f>#REF!</f>
        <v>#REF!</v>
      </c>
      <c r="V179" s="8"/>
      <c r="W179" s="8" t="e">
        <f t="shared" si="82"/>
        <v>#REF!</v>
      </c>
      <c r="X179" s="27"/>
      <c r="Y179" s="26" t="e">
        <f t="shared" si="66"/>
        <v>#REF!</v>
      </c>
      <c r="Z179" s="95"/>
      <c r="AA179" s="95"/>
      <c r="AB179" s="8">
        <f>'Business_172 PH Rd Budget'!$C$25</f>
        <v>2155.2899999999995</v>
      </c>
      <c r="AC179" s="8" t="e">
        <f t="shared" si="67"/>
        <v>#REF!</v>
      </c>
      <c r="AD179" s="8">
        <v>350000</v>
      </c>
      <c r="AE179" s="76" t="e">
        <f t="shared" si="76"/>
        <v>#REF!</v>
      </c>
      <c r="AF179" s="8" t="e">
        <f t="shared" si="77"/>
        <v>#REF!</v>
      </c>
      <c r="AH179" s="7" t="e">
        <f t="shared" si="79"/>
        <v>#REF!</v>
      </c>
      <c r="AI179" s="79" t="e">
        <f t="shared" si="68"/>
        <v>#REF!</v>
      </c>
      <c r="AJ179" s="79" t="e">
        <f t="shared" si="80"/>
        <v>#REF!</v>
      </c>
      <c r="AK179" s="75" t="e">
        <f>PMT(#REF!,#REF!,-#REF!,0,0)</f>
        <v>#REF!</v>
      </c>
      <c r="AL179" s="75"/>
      <c r="AM179" s="7" t="e">
        <f>AJ179*(#REF!/12)</f>
        <v>#REF!</v>
      </c>
      <c r="AN179" s="7" t="e">
        <f t="shared" si="70"/>
        <v>#REF!</v>
      </c>
      <c r="AO179" s="75" t="e">
        <f t="shared" si="78"/>
        <v>#REF!</v>
      </c>
      <c r="AP179" s="75" t="e">
        <f t="shared" si="71"/>
        <v>#REF!</v>
      </c>
      <c r="AQ179" s="7" t="e">
        <f t="shared" si="64"/>
        <v>#REF!</v>
      </c>
      <c r="AR179" s="41"/>
    </row>
    <row r="180" spans="10:44" x14ac:dyDescent="0.25">
      <c r="J180" s="5">
        <f t="shared" si="61"/>
        <v>43</v>
      </c>
      <c r="K180" s="5">
        <f t="shared" si="72"/>
        <v>2041</v>
      </c>
      <c r="L180" s="34" t="s">
        <v>51</v>
      </c>
      <c r="M180" s="70">
        <f t="shared" si="81"/>
        <v>14849.486995795485</v>
      </c>
      <c r="N180" s="70">
        <f t="shared" si="75"/>
        <v>14849.486995795485</v>
      </c>
      <c r="O180" s="71"/>
      <c r="P180" s="86">
        <v>4</v>
      </c>
      <c r="Q180" s="44">
        <v>4</v>
      </c>
      <c r="R180" s="88">
        <f t="shared" si="65"/>
        <v>1</v>
      </c>
      <c r="S180" s="6">
        <v>0</v>
      </c>
      <c r="T180" s="8">
        <f t="shared" si="62"/>
        <v>59397.947983181941</v>
      </c>
      <c r="U180" s="8" t="e">
        <f>#REF!</f>
        <v>#REF!</v>
      </c>
      <c r="V180" s="8"/>
      <c r="W180" s="8" t="e">
        <f t="shared" si="82"/>
        <v>#REF!</v>
      </c>
      <c r="X180" s="27"/>
      <c r="Y180" s="26" t="e">
        <f t="shared" si="66"/>
        <v>#REF!</v>
      </c>
      <c r="Z180" s="95"/>
      <c r="AA180" s="95"/>
      <c r="AB180" s="8">
        <f>'Business_172 PH Rd Budget'!$C$25</f>
        <v>2155.2899999999995</v>
      </c>
      <c r="AC180" s="8" t="e">
        <f t="shared" si="67"/>
        <v>#REF!</v>
      </c>
      <c r="AD180" s="8">
        <v>350000</v>
      </c>
      <c r="AE180" s="76" t="e">
        <f t="shared" si="76"/>
        <v>#REF!</v>
      </c>
      <c r="AF180" s="8" t="e">
        <f t="shared" si="77"/>
        <v>#REF!</v>
      </c>
      <c r="AH180" s="7" t="e">
        <f t="shared" si="79"/>
        <v>#REF!</v>
      </c>
      <c r="AI180" s="79" t="e">
        <f t="shared" si="68"/>
        <v>#REF!</v>
      </c>
      <c r="AJ180" s="79" t="e">
        <f t="shared" si="80"/>
        <v>#REF!</v>
      </c>
      <c r="AK180" s="75" t="e">
        <f>PMT(#REF!,#REF!,-#REF!,0,0)</f>
        <v>#REF!</v>
      </c>
      <c r="AL180" s="75"/>
      <c r="AM180" s="7" t="e">
        <f>AJ180*(#REF!/12)</f>
        <v>#REF!</v>
      </c>
      <c r="AN180" s="7" t="e">
        <f t="shared" si="70"/>
        <v>#REF!</v>
      </c>
      <c r="AO180" s="75" t="e">
        <f t="shared" si="78"/>
        <v>#REF!</v>
      </c>
      <c r="AP180" s="75" t="e">
        <f t="shared" si="71"/>
        <v>#REF!</v>
      </c>
      <c r="AQ180" s="7" t="e">
        <f t="shared" si="64"/>
        <v>#REF!</v>
      </c>
      <c r="AR180" s="41"/>
    </row>
    <row r="181" spans="10:44" x14ac:dyDescent="0.25">
      <c r="J181" s="5">
        <f t="shared" si="61"/>
        <v>43</v>
      </c>
      <c r="K181" s="5">
        <f t="shared" si="72"/>
        <v>2041</v>
      </c>
      <c r="L181" s="34" t="s">
        <v>53</v>
      </c>
      <c r="M181" s="70">
        <f t="shared" si="81"/>
        <v>14849.486995795485</v>
      </c>
      <c r="N181" s="70">
        <f t="shared" si="75"/>
        <v>13364.538296215936</v>
      </c>
      <c r="O181" s="71"/>
      <c r="P181" s="87"/>
      <c r="Q181" s="68">
        <v>0</v>
      </c>
      <c r="R181" s="88" t="str">
        <f t="shared" si="65"/>
        <v/>
      </c>
      <c r="S181" s="69">
        <v>0.1</v>
      </c>
      <c r="T181" s="8">
        <f t="shared" si="62"/>
        <v>0</v>
      </c>
      <c r="U181" s="8" t="e">
        <f>#REF!</f>
        <v>#REF!</v>
      </c>
      <c r="V181" s="8"/>
      <c r="W181" s="8" t="e">
        <f t="shared" si="82"/>
        <v>#REF!</v>
      </c>
      <c r="X181" s="27"/>
      <c r="Y181" s="26" t="e">
        <f t="shared" si="66"/>
        <v>#REF!</v>
      </c>
      <c r="Z181" s="95"/>
      <c r="AA181" s="95"/>
      <c r="AB181" s="8">
        <f>'Business_172 PH Rd Budget'!$C$25</f>
        <v>2155.2899999999995</v>
      </c>
      <c r="AC181" s="8" t="e">
        <f t="shared" si="67"/>
        <v>#REF!</v>
      </c>
      <c r="AD181" s="8">
        <v>350000</v>
      </c>
      <c r="AE181" s="76" t="e">
        <f t="shared" si="76"/>
        <v>#REF!</v>
      </c>
      <c r="AF181" s="8" t="e">
        <f t="shared" si="77"/>
        <v>#REF!</v>
      </c>
      <c r="AH181" s="7" t="e">
        <f t="shared" si="79"/>
        <v>#REF!</v>
      </c>
      <c r="AI181" s="79" t="e">
        <f t="shared" si="68"/>
        <v>#REF!</v>
      </c>
      <c r="AJ181" s="79" t="e">
        <f t="shared" si="80"/>
        <v>#REF!</v>
      </c>
      <c r="AK181" s="75" t="e">
        <f>PMT(#REF!,#REF!,-#REF!,0,0)</f>
        <v>#REF!</v>
      </c>
      <c r="AL181" s="75"/>
      <c r="AM181" s="7" t="e">
        <f>AJ181*(#REF!/12)</f>
        <v>#REF!</v>
      </c>
      <c r="AN181" s="7" t="e">
        <f t="shared" si="70"/>
        <v>#REF!</v>
      </c>
      <c r="AO181" s="75" t="e">
        <f t="shared" si="78"/>
        <v>#REF!</v>
      </c>
      <c r="AP181" s="75" t="e">
        <f t="shared" si="71"/>
        <v>#REF!</v>
      </c>
      <c r="AQ181" s="7" t="e">
        <f t="shared" si="64"/>
        <v>#REF!</v>
      </c>
      <c r="AR181" s="41"/>
    </row>
    <row r="182" spans="10:44" x14ac:dyDescent="0.25">
      <c r="J182" s="5">
        <f t="shared" si="61"/>
        <v>43</v>
      </c>
      <c r="K182" s="5">
        <f t="shared" si="72"/>
        <v>2041</v>
      </c>
      <c r="L182" s="34" t="s">
        <v>55</v>
      </c>
      <c r="M182" s="70">
        <f t="shared" si="81"/>
        <v>14849.486995795485</v>
      </c>
      <c r="N182" s="70">
        <f t="shared" si="75"/>
        <v>11879.58959663639</v>
      </c>
      <c r="O182" s="71"/>
      <c r="P182" s="86"/>
      <c r="Q182" s="51">
        <v>0</v>
      </c>
      <c r="R182" s="88" t="str">
        <f t="shared" si="65"/>
        <v/>
      </c>
      <c r="S182" s="6">
        <v>0.2</v>
      </c>
      <c r="T182" s="8">
        <f t="shared" si="62"/>
        <v>0</v>
      </c>
      <c r="U182" s="8" t="e">
        <f>#REF!</f>
        <v>#REF!</v>
      </c>
      <c r="V182" s="8"/>
      <c r="W182" s="8" t="e">
        <f t="shared" si="82"/>
        <v>#REF!</v>
      </c>
      <c r="X182" s="27"/>
      <c r="Y182" s="26" t="e">
        <f t="shared" si="66"/>
        <v>#REF!</v>
      </c>
      <c r="Z182" s="95"/>
      <c r="AA182" s="95"/>
      <c r="AB182" s="8">
        <f>'Business_172 PH Rd Budget'!$C$25</f>
        <v>2155.2899999999995</v>
      </c>
      <c r="AC182" s="8" t="e">
        <f t="shared" si="67"/>
        <v>#REF!</v>
      </c>
      <c r="AD182" s="8">
        <v>350000</v>
      </c>
      <c r="AE182" s="76" t="e">
        <f t="shared" si="76"/>
        <v>#REF!</v>
      </c>
      <c r="AF182" s="8" t="e">
        <f t="shared" si="77"/>
        <v>#REF!</v>
      </c>
      <c r="AH182" s="7" t="e">
        <f t="shared" si="79"/>
        <v>#REF!</v>
      </c>
      <c r="AI182" s="79" t="e">
        <f t="shared" si="68"/>
        <v>#REF!</v>
      </c>
      <c r="AJ182" s="79" t="e">
        <f t="shared" si="80"/>
        <v>#REF!</v>
      </c>
      <c r="AK182" s="75" t="e">
        <f>PMT(#REF!,#REF!,-#REF!,0,0)</f>
        <v>#REF!</v>
      </c>
      <c r="AL182" s="75"/>
      <c r="AM182" s="7" t="e">
        <f>AJ182*(#REF!/12)</f>
        <v>#REF!</v>
      </c>
      <c r="AN182" s="7" t="e">
        <f t="shared" si="70"/>
        <v>#REF!</v>
      </c>
      <c r="AO182" s="75" t="e">
        <f t="shared" si="78"/>
        <v>#REF!</v>
      </c>
      <c r="AP182" s="75" t="e">
        <f t="shared" si="71"/>
        <v>#REF!</v>
      </c>
      <c r="AQ182" s="7" t="e">
        <f t="shared" si="64"/>
        <v>#REF!</v>
      </c>
      <c r="AR182" s="41"/>
    </row>
    <row r="183" spans="10:44" x14ac:dyDescent="0.25">
      <c r="J183" s="5">
        <f t="shared" si="61"/>
        <v>44</v>
      </c>
      <c r="K183" s="5">
        <f t="shared" si="72"/>
        <v>2042</v>
      </c>
      <c r="L183" s="34" t="s">
        <v>31</v>
      </c>
      <c r="M183" s="70">
        <f t="shared" ref="M183:M194" si="83">M182*(1+O183)</f>
        <v>15591.96134558526</v>
      </c>
      <c r="N183" s="70">
        <f t="shared" si="75"/>
        <v>11693.971009188945</v>
      </c>
      <c r="O183" s="71">
        <v>0.05</v>
      </c>
      <c r="P183" s="86"/>
      <c r="Q183" s="51">
        <v>0</v>
      </c>
      <c r="R183" s="88" t="str">
        <f t="shared" si="65"/>
        <v/>
      </c>
      <c r="S183" s="6">
        <v>0.25</v>
      </c>
      <c r="T183" s="8">
        <f t="shared" si="62"/>
        <v>0</v>
      </c>
      <c r="U183" s="8" t="e">
        <f>#REF!</f>
        <v>#REF!</v>
      </c>
      <c r="V183" s="8"/>
      <c r="W183" s="8" t="e">
        <f t="shared" ref="W183:W194" si="84">T183-U183</f>
        <v>#REF!</v>
      </c>
      <c r="X183" s="27"/>
      <c r="Y183" s="26" t="e">
        <f t="shared" si="66"/>
        <v>#REF!</v>
      </c>
      <c r="Z183" s="95"/>
      <c r="AA183" s="95"/>
      <c r="AB183" s="8">
        <f>'Business_172 PH Rd Budget'!$C$25</f>
        <v>2155.2899999999995</v>
      </c>
      <c r="AC183" s="8" t="e">
        <f t="shared" si="67"/>
        <v>#REF!</v>
      </c>
      <c r="AD183" s="8">
        <v>350000</v>
      </c>
      <c r="AE183" s="76" t="e">
        <f t="shared" si="76"/>
        <v>#REF!</v>
      </c>
      <c r="AF183" s="8" t="e">
        <f t="shared" si="77"/>
        <v>#REF!</v>
      </c>
      <c r="AH183" s="7" t="e">
        <f t="shared" si="79"/>
        <v>#REF!</v>
      </c>
      <c r="AI183" s="79" t="e">
        <f t="shared" si="68"/>
        <v>#REF!</v>
      </c>
      <c r="AJ183" s="79" t="e">
        <f t="shared" si="80"/>
        <v>#REF!</v>
      </c>
      <c r="AK183" s="75" t="e">
        <f>PMT(#REF!,#REF!,-#REF!,0,0)</f>
        <v>#REF!</v>
      </c>
      <c r="AL183" s="75"/>
      <c r="AM183" s="7" t="e">
        <f>AJ183*(#REF!/12)</f>
        <v>#REF!</v>
      </c>
      <c r="AN183" s="7" t="e">
        <f t="shared" si="70"/>
        <v>#REF!</v>
      </c>
      <c r="AO183" s="75" t="e">
        <f t="shared" si="78"/>
        <v>#REF!</v>
      </c>
      <c r="AP183" s="75" t="e">
        <f t="shared" si="71"/>
        <v>#REF!</v>
      </c>
      <c r="AQ183" s="7" t="e">
        <f t="shared" si="64"/>
        <v>#REF!</v>
      </c>
      <c r="AR183" s="41"/>
    </row>
    <row r="184" spans="10:44" x14ac:dyDescent="0.25">
      <c r="J184" s="5">
        <f t="shared" si="61"/>
        <v>44</v>
      </c>
      <c r="K184" s="5">
        <f t="shared" si="72"/>
        <v>2042</v>
      </c>
      <c r="L184" s="34" t="s">
        <v>33</v>
      </c>
      <c r="M184" s="70">
        <f t="shared" si="83"/>
        <v>15591.96134558526</v>
      </c>
      <c r="N184" s="70">
        <f t="shared" si="75"/>
        <v>11693.971009188945</v>
      </c>
      <c r="O184" s="71"/>
      <c r="P184" s="86"/>
      <c r="Q184" s="51">
        <v>0</v>
      </c>
      <c r="R184" s="88" t="str">
        <f t="shared" si="65"/>
        <v/>
      </c>
      <c r="S184" s="6">
        <v>0.25</v>
      </c>
      <c r="T184" s="8">
        <f t="shared" si="62"/>
        <v>0</v>
      </c>
      <c r="U184" s="8" t="e">
        <f>#REF!</f>
        <v>#REF!</v>
      </c>
      <c r="V184" s="8"/>
      <c r="W184" s="8" t="e">
        <f t="shared" si="84"/>
        <v>#REF!</v>
      </c>
      <c r="X184" s="27"/>
      <c r="Y184" s="26" t="e">
        <f t="shared" si="66"/>
        <v>#REF!</v>
      </c>
      <c r="Z184" s="95"/>
      <c r="AA184" s="95"/>
      <c r="AB184" s="8">
        <f>'Business_172 PH Rd Budget'!$C$25</f>
        <v>2155.2899999999995</v>
      </c>
      <c r="AC184" s="8" t="e">
        <f t="shared" si="67"/>
        <v>#REF!</v>
      </c>
      <c r="AD184" s="8">
        <v>350000</v>
      </c>
      <c r="AE184" s="76" t="e">
        <f t="shared" si="76"/>
        <v>#REF!</v>
      </c>
      <c r="AF184" s="8" t="e">
        <f t="shared" si="77"/>
        <v>#REF!</v>
      </c>
      <c r="AH184" s="7" t="e">
        <f t="shared" si="79"/>
        <v>#REF!</v>
      </c>
      <c r="AI184" s="79" t="e">
        <f t="shared" si="68"/>
        <v>#REF!</v>
      </c>
      <c r="AJ184" s="79" t="e">
        <f t="shared" si="80"/>
        <v>#REF!</v>
      </c>
      <c r="AK184" s="75" t="e">
        <f>PMT(#REF!,#REF!,-#REF!,0,0)</f>
        <v>#REF!</v>
      </c>
      <c r="AL184" s="75"/>
      <c r="AM184" s="7" t="e">
        <f>AJ184*(#REF!/12)</f>
        <v>#REF!</v>
      </c>
      <c r="AN184" s="7" t="e">
        <f t="shared" si="70"/>
        <v>#REF!</v>
      </c>
      <c r="AO184" s="75" t="e">
        <f t="shared" si="78"/>
        <v>#REF!</v>
      </c>
      <c r="AP184" s="75" t="e">
        <f t="shared" si="71"/>
        <v>#REF!</v>
      </c>
      <c r="AQ184" s="7" t="e">
        <f t="shared" si="64"/>
        <v>#REF!</v>
      </c>
      <c r="AR184" s="41"/>
    </row>
    <row r="185" spans="10:44" x14ac:dyDescent="0.25">
      <c r="J185" s="5">
        <f t="shared" si="61"/>
        <v>44</v>
      </c>
      <c r="K185" s="5">
        <f t="shared" si="72"/>
        <v>2042</v>
      </c>
      <c r="L185" s="34" t="s">
        <v>36</v>
      </c>
      <c r="M185" s="70">
        <f t="shared" si="83"/>
        <v>15591.96134558526</v>
      </c>
      <c r="N185" s="70">
        <f t="shared" si="75"/>
        <v>12473.569076468208</v>
      </c>
      <c r="O185" s="71"/>
      <c r="P185" s="86"/>
      <c r="Q185" s="51">
        <v>0</v>
      </c>
      <c r="R185" s="88" t="str">
        <f t="shared" si="65"/>
        <v/>
      </c>
      <c r="S185" s="6">
        <v>0.2</v>
      </c>
      <c r="T185" s="8">
        <f t="shared" si="62"/>
        <v>0</v>
      </c>
      <c r="U185" s="8" t="e">
        <f>#REF!</f>
        <v>#REF!</v>
      </c>
      <c r="V185" s="8"/>
      <c r="W185" s="8" t="e">
        <f t="shared" si="84"/>
        <v>#REF!</v>
      </c>
      <c r="X185" s="27"/>
      <c r="Y185" s="26" t="e">
        <f t="shared" si="66"/>
        <v>#REF!</v>
      </c>
      <c r="Z185" s="95"/>
      <c r="AA185" s="95"/>
      <c r="AB185" s="8">
        <f>'Business_172 PH Rd Budget'!$C$25</f>
        <v>2155.2899999999995</v>
      </c>
      <c r="AC185" s="8" t="e">
        <f t="shared" si="67"/>
        <v>#REF!</v>
      </c>
      <c r="AD185" s="8">
        <v>350000</v>
      </c>
      <c r="AE185" s="76" t="e">
        <f t="shared" si="76"/>
        <v>#REF!</v>
      </c>
      <c r="AF185" s="8" t="e">
        <f t="shared" si="77"/>
        <v>#REF!</v>
      </c>
      <c r="AH185" s="7" t="e">
        <f t="shared" si="79"/>
        <v>#REF!</v>
      </c>
      <c r="AI185" s="79" t="e">
        <f t="shared" si="68"/>
        <v>#REF!</v>
      </c>
      <c r="AJ185" s="79" t="e">
        <f t="shared" si="80"/>
        <v>#REF!</v>
      </c>
      <c r="AK185" s="75" t="e">
        <f>PMT(#REF!,#REF!,-#REF!,0,0)</f>
        <v>#REF!</v>
      </c>
      <c r="AL185" s="75"/>
      <c r="AM185" s="7" t="e">
        <f>AJ185*(#REF!/12)</f>
        <v>#REF!</v>
      </c>
      <c r="AN185" s="7" t="e">
        <f t="shared" si="70"/>
        <v>#REF!</v>
      </c>
      <c r="AO185" s="75" t="e">
        <f t="shared" si="78"/>
        <v>#REF!</v>
      </c>
      <c r="AP185" s="75" t="e">
        <f t="shared" si="71"/>
        <v>#REF!</v>
      </c>
      <c r="AQ185" s="7" t="e">
        <f t="shared" si="64"/>
        <v>#REF!</v>
      </c>
      <c r="AR185" s="41"/>
    </row>
    <row r="186" spans="10:44" x14ac:dyDescent="0.25">
      <c r="J186" s="5">
        <f t="shared" si="61"/>
        <v>44</v>
      </c>
      <c r="K186" s="5">
        <f t="shared" si="72"/>
        <v>2042</v>
      </c>
      <c r="L186" s="34" t="s">
        <v>38</v>
      </c>
      <c r="M186" s="70">
        <f t="shared" si="83"/>
        <v>15591.96134558526</v>
      </c>
      <c r="N186" s="70">
        <f t="shared" si="75"/>
        <v>14032.765211026734</v>
      </c>
      <c r="O186" s="71"/>
      <c r="P186" s="86"/>
      <c r="Q186" s="51">
        <v>0</v>
      </c>
      <c r="R186" s="88" t="str">
        <f t="shared" si="65"/>
        <v/>
      </c>
      <c r="S186" s="6">
        <v>0.1</v>
      </c>
      <c r="T186" s="8">
        <f t="shared" si="62"/>
        <v>0</v>
      </c>
      <c r="U186" s="8" t="e">
        <f>#REF!</f>
        <v>#REF!</v>
      </c>
      <c r="V186" s="8"/>
      <c r="W186" s="8" t="e">
        <f t="shared" si="84"/>
        <v>#REF!</v>
      </c>
      <c r="X186" s="27"/>
      <c r="Y186" s="26" t="e">
        <f t="shared" si="66"/>
        <v>#REF!</v>
      </c>
      <c r="Z186" s="95"/>
      <c r="AA186" s="95"/>
      <c r="AB186" s="8">
        <f>'Business_172 PH Rd Budget'!$C$25</f>
        <v>2155.2899999999995</v>
      </c>
      <c r="AC186" s="8" t="e">
        <f t="shared" si="67"/>
        <v>#REF!</v>
      </c>
      <c r="AD186" s="8">
        <v>350000</v>
      </c>
      <c r="AE186" s="76" t="e">
        <f t="shared" si="76"/>
        <v>#REF!</v>
      </c>
      <c r="AF186" s="8" t="e">
        <f t="shared" si="77"/>
        <v>#REF!</v>
      </c>
      <c r="AH186" s="7" t="e">
        <f t="shared" si="79"/>
        <v>#REF!</v>
      </c>
      <c r="AI186" s="79" t="e">
        <f t="shared" si="68"/>
        <v>#REF!</v>
      </c>
      <c r="AJ186" s="79" t="e">
        <f t="shared" si="80"/>
        <v>#REF!</v>
      </c>
      <c r="AK186" s="75" t="e">
        <f>PMT(#REF!,#REF!,-#REF!,0,0)</f>
        <v>#REF!</v>
      </c>
      <c r="AL186" s="75"/>
      <c r="AM186" s="7" t="e">
        <f>AJ186*(#REF!/12)</f>
        <v>#REF!</v>
      </c>
      <c r="AN186" s="7" t="e">
        <f t="shared" si="70"/>
        <v>#REF!</v>
      </c>
      <c r="AO186" s="75" t="e">
        <f t="shared" si="78"/>
        <v>#REF!</v>
      </c>
      <c r="AP186" s="75" t="e">
        <f t="shared" si="71"/>
        <v>#REF!</v>
      </c>
      <c r="AQ186" s="7" t="e">
        <f t="shared" si="64"/>
        <v>#REF!</v>
      </c>
      <c r="AR186" s="41"/>
    </row>
    <row r="187" spans="10:44" x14ac:dyDescent="0.25">
      <c r="J187" s="5">
        <f t="shared" si="61"/>
        <v>44</v>
      </c>
      <c r="K187" s="5">
        <f t="shared" si="72"/>
        <v>2042</v>
      </c>
      <c r="L187" s="34" t="s">
        <v>40</v>
      </c>
      <c r="M187" s="70">
        <f t="shared" si="83"/>
        <v>15591.96134558526</v>
      </c>
      <c r="N187" s="70">
        <f t="shared" si="75"/>
        <v>15591.96134558526</v>
      </c>
      <c r="O187" s="71"/>
      <c r="P187" s="86">
        <v>4</v>
      </c>
      <c r="Q187" s="51">
        <v>2</v>
      </c>
      <c r="R187" s="88">
        <f t="shared" si="65"/>
        <v>0.5</v>
      </c>
      <c r="S187" s="6">
        <v>0</v>
      </c>
      <c r="T187" s="8">
        <f t="shared" si="62"/>
        <v>31183.922691170519</v>
      </c>
      <c r="U187" s="8" t="e">
        <f>#REF!</f>
        <v>#REF!</v>
      </c>
      <c r="V187" s="8"/>
      <c r="W187" s="8" t="e">
        <f t="shared" si="84"/>
        <v>#REF!</v>
      </c>
      <c r="X187" s="27"/>
      <c r="Y187" s="26" t="e">
        <f t="shared" si="66"/>
        <v>#REF!</v>
      </c>
      <c r="Z187" s="95"/>
      <c r="AA187" s="95"/>
      <c r="AB187" s="8">
        <f>'Business_172 PH Rd Budget'!$C$25</f>
        <v>2155.2899999999995</v>
      </c>
      <c r="AC187" s="8" t="e">
        <f t="shared" si="67"/>
        <v>#REF!</v>
      </c>
      <c r="AD187" s="8">
        <v>350000</v>
      </c>
      <c r="AE187" s="76" t="e">
        <f t="shared" si="76"/>
        <v>#REF!</v>
      </c>
      <c r="AF187" s="8" t="e">
        <f t="shared" si="77"/>
        <v>#REF!</v>
      </c>
      <c r="AH187" s="7" t="e">
        <f t="shared" si="79"/>
        <v>#REF!</v>
      </c>
      <c r="AI187" s="79" t="e">
        <f t="shared" si="68"/>
        <v>#REF!</v>
      </c>
      <c r="AJ187" s="79" t="e">
        <f t="shared" si="80"/>
        <v>#REF!</v>
      </c>
      <c r="AK187" s="75" t="e">
        <f>PMT(#REF!,#REF!,-#REF!,0,0)</f>
        <v>#REF!</v>
      </c>
      <c r="AL187" s="75"/>
      <c r="AM187" s="7" t="e">
        <f>AJ187*(#REF!/12)</f>
        <v>#REF!</v>
      </c>
      <c r="AN187" s="7" t="e">
        <f t="shared" si="70"/>
        <v>#REF!</v>
      </c>
      <c r="AO187" s="75" t="e">
        <f t="shared" si="78"/>
        <v>#REF!</v>
      </c>
      <c r="AP187" s="75" t="e">
        <f t="shared" si="71"/>
        <v>#REF!</v>
      </c>
      <c r="AQ187" s="7" t="e">
        <f t="shared" si="64"/>
        <v>#REF!</v>
      </c>
      <c r="AR187" s="41"/>
    </row>
    <row r="188" spans="10:44" x14ac:dyDescent="0.25">
      <c r="J188" s="5">
        <f t="shared" si="61"/>
        <v>44</v>
      </c>
      <c r="K188" s="5">
        <f t="shared" si="72"/>
        <v>2042</v>
      </c>
      <c r="L188" s="34" t="s">
        <v>42</v>
      </c>
      <c r="M188" s="70">
        <f t="shared" si="83"/>
        <v>15591.96134558526</v>
      </c>
      <c r="N188" s="70">
        <f t="shared" si="75"/>
        <v>15591.96134558526</v>
      </c>
      <c r="O188" s="71"/>
      <c r="P188" s="86">
        <v>5</v>
      </c>
      <c r="Q188" s="51">
        <v>4</v>
      </c>
      <c r="R188" s="88">
        <f t="shared" si="65"/>
        <v>0.8</v>
      </c>
      <c r="S188" s="6">
        <v>0</v>
      </c>
      <c r="T188" s="8">
        <f t="shared" si="62"/>
        <v>62367.845382341038</v>
      </c>
      <c r="U188" s="8" t="e">
        <f>#REF!</f>
        <v>#REF!</v>
      </c>
      <c r="V188" s="8"/>
      <c r="W188" s="8" t="e">
        <f t="shared" si="84"/>
        <v>#REF!</v>
      </c>
      <c r="X188" s="27"/>
      <c r="Y188" s="26" t="e">
        <f t="shared" si="66"/>
        <v>#REF!</v>
      </c>
      <c r="Z188" s="95"/>
      <c r="AA188" s="95"/>
      <c r="AB188" s="8">
        <f>'Business_172 PH Rd Budget'!$C$25</f>
        <v>2155.2899999999995</v>
      </c>
      <c r="AC188" s="8" t="e">
        <f t="shared" si="67"/>
        <v>#REF!</v>
      </c>
      <c r="AD188" s="8">
        <v>350000</v>
      </c>
      <c r="AE188" s="76" t="e">
        <f t="shared" si="76"/>
        <v>#REF!</v>
      </c>
      <c r="AF188" s="8" t="e">
        <f t="shared" si="77"/>
        <v>#REF!</v>
      </c>
      <c r="AH188" s="7" t="e">
        <f t="shared" si="79"/>
        <v>#REF!</v>
      </c>
      <c r="AI188" s="79" t="e">
        <f t="shared" si="68"/>
        <v>#REF!</v>
      </c>
      <c r="AJ188" s="79" t="e">
        <f t="shared" si="80"/>
        <v>#REF!</v>
      </c>
      <c r="AK188" s="75" t="e">
        <f>PMT(#REF!,#REF!,-#REF!,0,0)</f>
        <v>#REF!</v>
      </c>
      <c r="AL188" s="75"/>
      <c r="AM188" s="7" t="e">
        <f>AJ188*(#REF!/12)</f>
        <v>#REF!</v>
      </c>
      <c r="AN188" s="7" t="e">
        <f t="shared" si="70"/>
        <v>#REF!</v>
      </c>
      <c r="AO188" s="75" t="e">
        <f t="shared" si="78"/>
        <v>#REF!</v>
      </c>
      <c r="AP188" s="75" t="e">
        <f t="shared" si="71"/>
        <v>#REF!</v>
      </c>
      <c r="AQ188" s="7" t="e">
        <f t="shared" si="64"/>
        <v>#REF!</v>
      </c>
      <c r="AR188" s="41"/>
    </row>
    <row r="189" spans="10:44" x14ac:dyDescent="0.25">
      <c r="J189" s="5">
        <f t="shared" si="61"/>
        <v>44</v>
      </c>
      <c r="K189" s="5">
        <f t="shared" si="72"/>
        <v>2042</v>
      </c>
      <c r="L189" s="34" t="s">
        <v>44</v>
      </c>
      <c r="M189" s="70">
        <f t="shared" si="83"/>
        <v>15591.96134558526</v>
      </c>
      <c r="N189" s="70">
        <f t="shared" si="75"/>
        <v>15591.96134558526</v>
      </c>
      <c r="O189" s="71"/>
      <c r="P189" s="86">
        <v>4</v>
      </c>
      <c r="Q189" s="51">
        <v>4</v>
      </c>
      <c r="R189" s="88">
        <f t="shared" si="65"/>
        <v>1</v>
      </c>
      <c r="S189" s="6">
        <v>0</v>
      </c>
      <c r="T189" s="8">
        <f t="shared" si="62"/>
        <v>62367.845382341038</v>
      </c>
      <c r="U189" s="8" t="e">
        <f>#REF!</f>
        <v>#REF!</v>
      </c>
      <c r="V189" s="8"/>
      <c r="W189" s="8" t="e">
        <f t="shared" si="84"/>
        <v>#REF!</v>
      </c>
      <c r="X189" s="27"/>
      <c r="Y189" s="26" t="e">
        <f t="shared" si="66"/>
        <v>#REF!</v>
      </c>
      <c r="Z189" s="95"/>
      <c r="AA189" s="95"/>
      <c r="AB189" s="8">
        <f>'Business_172 PH Rd Budget'!$C$25</f>
        <v>2155.2899999999995</v>
      </c>
      <c r="AC189" s="8" t="e">
        <f t="shared" si="67"/>
        <v>#REF!</v>
      </c>
      <c r="AD189" s="8">
        <v>350000</v>
      </c>
      <c r="AE189" s="76" t="e">
        <f t="shared" si="76"/>
        <v>#REF!</v>
      </c>
      <c r="AF189" s="8" t="e">
        <f t="shared" si="77"/>
        <v>#REF!</v>
      </c>
      <c r="AH189" s="7" t="e">
        <f t="shared" si="79"/>
        <v>#REF!</v>
      </c>
      <c r="AI189" s="79" t="e">
        <f t="shared" si="68"/>
        <v>#REF!</v>
      </c>
      <c r="AJ189" s="79" t="e">
        <f t="shared" si="80"/>
        <v>#REF!</v>
      </c>
      <c r="AK189" s="75" t="e">
        <f>PMT(#REF!,#REF!,-#REF!,0,0)</f>
        <v>#REF!</v>
      </c>
      <c r="AL189" s="75"/>
      <c r="AM189" s="7" t="e">
        <f>AJ189*(#REF!/12)</f>
        <v>#REF!</v>
      </c>
      <c r="AN189" s="7" t="e">
        <f t="shared" si="70"/>
        <v>#REF!</v>
      </c>
      <c r="AO189" s="75" t="e">
        <f t="shared" si="78"/>
        <v>#REF!</v>
      </c>
      <c r="AP189" s="75" t="e">
        <f t="shared" si="71"/>
        <v>#REF!</v>
      </c>
      <c r="AQ189" s="7" t="e">
        <f t="shared" si="64"/>
        <v>#REF!</v>
      </c>
      <c r="AR189" s="41"/>
    </row>
    <row r="190" spans="10:44" x14ac:dyDescent="0.25">
      <c r="J190" s="5">
        <f t="shared" si="61"/>
        <v>44</v>
      </c>
      <c r="K190" s="5">
        <f t="shared" si="72"/>
        <v>2042</v>
      </c>
      <c r="L190" s="34" t="s">
        <v>47</v>
      </c>
      <c r="M190" s="70">
        <f t="shared" si="83"/>
        <v>15591.96134558526</v>
      </c>
      <c r="N190" s="70">
        <f t="shared" si="75"/>
        <v>15591.96134558526</v>
      </c>
      <c r="O190" s="71"/>
      <c r="P190" s="86">
        <v>5</v>
      </c>
      <c r="Q190" s="44">
        <v>4</v>
      </c>
      <c r="R190" s="88">
        <f t="shared" si="65"/>
        <v>0.8</v>
      </c>
      <c r="S190" s="6">
        <v>0</v>
      </c>
      <c r="T190" s="8">
        <f t="shared" si="62"/>
        <v>62367.845382341038</v>
      </c>
      <c r="U190" s="8" t="e">
        <f>#REF!</f>
        <v>#REF!</v>
      </c>
      <c r="V190" s="8"/>
      <c r="W190" s="8" t="e">
        <f t="shared" si="84"/>
        <v>#REF!</v>
      </c>
      <c r="X190" s="27"/>
      <c r="Y190" s="26" t="e">
        <f t="shared" si="66"/>
        <v>#REF!</v>
      </c>
      <c r="Z190" s="95"/>
      <c r="AA190" s="95"/>
      <c r="AB190" s="8">
        <f>'Business_172 PH Rd Budget'!$C$25</f>
        <v>2155.2899999999995</v>
      </c>
      <c r="AC190" s="8" t="e">
        <f t="shared" si="67"/>
        <v>#REF!</v>
      </c>
      <c r="AD190" s="8">
        <v>350000</v>
      </c>
      <c r="AE190" s="76" t="e">
        <f t="shared" si="76"/>
        <v>#REF!</v>
      </c>
      <c r="AF190" s="8" t="e">
        <f t="shared" si="77"/>
        <v>#REF!</v>
      </c>
      <c r="AH190" s="7" t="e">
        <f t="shared" si="79"/>
        <v>#REF!</v>
      </c>
      <c r="AI190" s="79" t="e">
        <f t="shared" si="68"/>
        <v>#REF!</v>
      </c>
      <c r="AJ190" s="79" t="e">
        <f t="shared" si="80"/>
        <v>#REF!</v>
      </c>
      <c r="AK190" s="75" t="e">
        <f>PMT(#REF!,#REF!,-#REF!,0,0)</f>
        <v>#REF!</v>
      </c>
      <c r="AL190" s="75"/>
      <c r="AM190" s="7" t="e">
        <f>AJ190*(#REF!/12)</f>
        <v>#REF!</v>
      </c>
      <c r="AN190" s="7" t="e">
        <f t="shared" si="70"/>
        <v>#REF!</v>
      </c>
      <c r="AO190" s="75" t="e">
        <f t="shared" si="78"/>
        <v>#REF!</v>
      </c>
      <c r="AP190" s="75" t="e">
        <f t="shared" si="71"/>
        <v>#REF!</v>
      </c>
      <c r="AQ190" s="7" t="e">
        <f t="shared" si="64"/>
        <v>#REF!</v>
      </c>
      <c r="AR190" s="41"/>
    </row>
    <row r="191" spans="10:44" x14ac:dyDescent="0.25">
      <c r="J191" s="5">
        <f t="shared" si="61"/>
        <v>44</v>
      </c>
      <c r="K191" s="5">
        <f t="shared" si="72"/>
        <v>2042</v>
      </c>
      <c r="L191" s="34" t="s">
        <v>49</v>
      </c>
      <c r="M191" s="70">
        <f t="shared" si="83"/>
        <v>15591.96134558526</v>
      </c>
      <c r="N191" s="70">
        <f t="shared" si="75"/>
        <v>15591.96134558526</v>
      </c>
      <c r="O191" s="71"/>
      <c r="P191" s="86">
        <v>4</v>
      </c>
      <c r="Q191" s="44">
        <v>4</v>
      </c>
      <c r="R191" s="88">
        <f t="shared" si="65"/>
        <v>1</v>
      </c>
      <c r="S191" s="6">
        <v>0</v>
      </c>
      <c r="T191" s="8">
        <f t="shared" si="62"/>
        <v>62367.845382341038</v>
      </c>
      <c r="U191" s="8" t="e">
        <f>#REF!</f>
        <v>#REF!</v>
      </c>
      <c r="V191" s="8"/>
      <c r="W191" s="8" t="e">
        <f t="shared" si="84"/>
        <v>#REF!</v>
      </c>
      <c r="X191" s="27"/>
      <c r="Y191" s="26" t="e">
        <f t="shared" si="66"/>
        <v>#REF!</v>
      </c>
      <c r="Z191" s="95"/>
      <c r="AA191" s="95"/>
      <c r="AB191" s="8">
        <f>'Business_172 PH Rd Budget'!$C$25</f>
        <v>2155.2899999999995</v>
      </c>
      <c r="AC191" s="8" t="e">
        <f t="shared" si="67"/>
        <v>#REF!</v>
      </c>
      <c r="AD191" s="8">
        <v>350000</v>
      </c>
      <c r="AE191" s="76" t="e">
        <f t="shared" si="76"/>
        <v>#REF!</v>
      </c>
      <c r="AF191" s="8" t="e">
        <f t="shared" si="77"/>
        <v>#REF!</v>
      </c>
      <c r="AH191" s="7" t="e">
        <f t="shared" si="79"/>
        <v>#REF!</v>
      </c>
      <c r="AI191" s="79" t="e">
        <f t="shared" si="68"/>
        <v>#REF!</v>
      </c>
      <c r="AJ191" s="79" t="e">
        <f t="shared" si="80"/>
        <v>#REF!</v>
      </c>
      <c r="AK191" s="75" t="e">
        <f>PMT(#REF!,#REF!,-#REF!,0,0)</f>
        <v>#REF!</v>
      </c>
      <c r="AL191" s="75"/>
      <c r="AM191" s="7" t="e">
        <f>AJ191*(#REF!/12)</f>
        <v>#REF!</v>
      </c>
      <c r="AN191" s="7" t="e">
        <f t="shared" si="70"/>
        <v>#REF!</v>
      </c>
      <c r="AO191" s="75" t="e">
        <f t="shared" si="78"/>
        <v>#REF!</v>
      </c>
      <c r="AP191" s="75" t="e">
        <f t="shared" si="71"/>
        <v>#REF!</v>
      </c>
      <c r="AQ191" s="7" t="e">
        <f t="shared" si="64"/>
        <v>#REF!</v>
      </c>
      <c r="AR191" s="41"/>
    </row>
    <row r="192" spans="10:44" x14ac:dyDescent="0.25">
      <c r="J192" s="5">
        <f t="shared" si="61"/>
        <v>44</v>
      </c>
      <c r="K192" s="5">
        <f t="shared" si="72"/>
        <v>2042</v>
      </c>
      <c r="L192" s="34" t="s">
        <v>51</v>
      </c>
      <c r="M192" s="70">
        <f t="shared" si="83"/>
        <v>15591.96134558526</v>
      </c>
      <c r="N192" s="70">
        <f t="shared" si="75"/>
        <v>15591.96134558526</v>
      </c>
      <c r="O192" s="71"/>
      <c r="P192" s="86">
        <v>4</v>
      </c>
      <c r="Q192" s="44">
        <v>4</v>
      </c>
      <c r="R192" s="88">
        <f t="shared" si="65"/>
        <v>1</v>
      </c>
      <c r="S192" s="6">
        <v>0</v>
      </c>
      <c r="T192" s="8">
        <f t="shared" si="62"/>
        <v>62367.845382341038</v>
      </c>
      <c r="U192" s="8" t="e">
        <f>#REF!</f>
        <v>#REF!</v>
      </c>
      <c r="V192" s="8"/>
      <c r="W192" s="8" t="e">
        <f t="shared" si="84"/>
        <v>#REF!</v>
      </c>
      <c r="X192" s="27"/>
      <c r="Y192" s="26" t="e">
        <f t="shared" si="66"/>
        <v>#REF!</v>
      </c>
      <c r="Z192" s="95"/>
      <c r="AA192" s="95"/>
      <c r="AB192" s="8">
        <f>'Business_172 PH Rd Budget'!$C$25</f>
        <v>2155.2899999999995</v>
      </c>
      <c r="AC192" s="8" t="e">
        <f t="shared" si="67"/>
        <v>#REF!</v>
      </c>
      <c r="AD192" s="8">
        <v>350000</v>
      </c>
      <c r="AE192" s="76" t="e">
        <f t="shared" si="76"/>
        <v>#REF!</v>
      </c>
      <c r="AF192" s="8" t="e">
        <f t="shared" si="77"/>
        <v>#REF!</v>
      </c>
      <c r="AH192" s="7" t="e">
        <f t="shared" si="79"/>
        <v>#REF!</v>
      </c>
      <c r="AI192" s="79" t="e">
        <f>AI191+AH193-AH192</f>
        <v>#REF!</v>
      </c>
      <c r="AJ192" s="79" t="e">
        <f t="shared" si="80"/>
        <v>#REF!</v>
      </c>
      <c r="AK192" s="75" t="e">
        <f>PMT(#REF!,#REF!,-#REF!,0,0)</f>
        <v>#REF!</v>
      </c>
      <c r="AL192" s="75"/>
      <c r="AM192" s="7" t="e">
        <f>AJ192*(#REF!/12)</f>
        <v>#REF!</v>
      </c>
      <c r="AN192" s="7" t="e">
        <f t="shared" si="70"/>
        <v>#REF!</v>
      </c>
      <c r="AO192" s="75" t="e">
        <f t="shared" si="78"/>
        <v>#REF!</v>
      </c>
      <c r="AP192" s="75" t="e">
        <f t="shared" si="71"/>
        <v>#REF!</v>
      </c>
      <c r="AQ192" s="7" t="e">
        <f t="shared" si="64"/>
        <v>#REF!</v>
      </c>
      <c r="AR192" s="41"/>
    </row>
    <row r="193" spans="10:44" x14ac:dyDescent="0.25">
      <c r="J193" s="5">
        <f t="shared" si="61"/>
        <v>44</v>
      </c>
      <c r="K193" s="5">
        <f t="shared" si="72"/>
        <v>2042</v>
      </c>
      <c r="L193" s="34" t="s">
        <v>53</v>
      </c>
      <c r="M193" s="70">
        <f t="shared" si="83"/>
        <v>15591.96134558526</v>
      </c>
      <c r="N193" s="70">
        <f t="shared" si="75"/>
        <v>14032.765211026734</v>
      </c>
      <c r="O193" s="71"/>
      <c r="P193" s="87"/>
      <c r="Q193" s="68">
        <v>0</v>
      </c>
      <c r="R193" s="88" t="str">
        <f t="shared" si="65"/>
        <v/>
      </c>
      <c r="S193" s="69">
        <v>0.1</v>
      </c>
      <c r="T193" s="8">
        <f t="shared" si="62"/>
        <v>0</v>
      </c>
      <c r="U193" s="8" t="e">
        <f>#REF!</f>
        <v>#REF!</v>
      </c>
      <c r="V193" s="8"/>
      <c r="W193" s="8" t="e">
        <f t="shared" si="84"/>
        <v>#REF!</v>
      </c>
      <c r="X193" s="27"/>
      <c r="Y193" s="26" t="e">
        <f t="shared" si="66"/>
        <v>#REF!</v>
      </c>
      <c r="Z193" s="95"/>
      <c r="AA193" s="95"/>
      <c r="AB193" s="8">
        <f>'Business_172 PH Rd Budget'!$C$25</f>
        <v>2155.2899999999995</v>
      </c>
      <c r="AC193" s="8" t="e">
        <f t="shared" si="67"/>
        <v>#REF!</v>
      </c>
      <c r="AD193" s="8">
        <v>350000</v>
      </c>
      <c r="AE193" s="76" t="e">
        <f t="shared" si="76"/>
        <v>#REF!</v>
      </c>
      <c r="AF193" s="8" t="e">
        <f t="shared" si="77"/>
        <v>#REF!</v>
      </c>
      <c r="AH193" s="7" t="e">
        <f t="shared" si="79"/>
        <v>#REF!</v>
      </c>
      <c r="AI193" s="79" t="e">
        <f t="shared" ref="AI193:AI256" si="85">AI192+AH194-AH193</f>
        <v>#REF!</v>
      </c>
      <c r="AJ193" s="79" t="e">
        <f t="shared" si="80"/>
        <v>#REF!</v>
      </c>
      <c r="AK193" s="75" t="e">
        <f>PMT(#REF!,#REF!,-#REF!,0,0)</f>
        <v>#REF!</v>
      </c>
      <c r="AL193" s="75"/>
      <c r="AM193" s="7" t="e">
        <f>AJ193*(#REF!/12)</f>
        <v>#REF!</v>
      </c>
      <c r="AN193" s="7" t="e">
        <f t="shared" si="70"/>
        <v>#REF!</v>
      </c>
      <c r="AO193" s="75" t="e">
        <f t="shared" si="78"/>
        <v>#REF!</v>
      </c>
      <c r="AP193" s="75" t="e">
        <f t="shared" si="71"/>
        <v>#REF!</v>
      </c>
      <c r="AQ193" s="7" t="e">
        <f t="shared" si="64"/>
        <v>#REF!</v>
      </c>
      <c r="AR193" s="41"/>
    </row>
    <row r="194" spans="10:44" x14ac:dyDescent="0.25">
      <c r="J194" s="5">
        <f t="shared" si="61"/>
        <v>44</v>
      </c>
      <c r="K194" s="5">
        <f t="shared" si="72"/>
        <v>2042</v>
      </c>
      <c r="L194" s="34" t="s">
        <v>55</v>
      </c>
      <c r="M194" s="70">
        <f t="shared" si="83"/>
        <v>15591.96134558526</v>
      </c>
      <c r="N194" s="70">
        <f t="shared" si="75"/>
        <v>12473.569076468208</v>
      </c>
      <c r="O194" s="71"/>
      <c r="P194" s="86"/>
      <c r="Q194" s="51">
        <v>0</v>
      </c>
      <c r="R194" s="88" t="str">
        <f t="shared" si="65"/>
        <v/>
      </c>
      <c r="S194" s="6">
        <v>0.2</v>
      </c>
      <c r="T194" s="8">
        <f t="shared" si="62"/>
        <v>0</v>
      </c>
      <c r="U194" s="8" t="e">
        <f>#REF!</f>
        <v>#REF!</v>
      </c>
      <c r="V194" s="8"/>
      <c r="W194" s="8" t="e">
        <f t="shared" si="84"/>
        <v>#REF!</v>
      </c>
      <c r="X194" s="27"/>
      <c r="Y194" s="26" t="e">
        <f t="shared" si="66"/>
        <v>#REF!</v>
      </c>
      <c r="Z194" s="95"/>
      <c r="AA194" s="95"/>
      <c r="AB194" s="8">
        <f>'Business_172 PH Rd Budget'!$C$25</f>
        <v>2155.2899999999995</v>
      </c>
      <c r="AC194" s="8" t="e">
        <f t="shared" si="67"/>
        <v>#REF!</v>
      </c>
      <c r="AD194" s="8">
        <v>350000</v>
      </c>
      <c r="AE194" s="76" t="e">
        <f t="shared" si="76"/>
        <v>#REF!</v>
      </c>
      <c r="AF194" s="8" t="e">
        <f t="shared" si="77"/>
        <v>#REF!</v>
      </c>
      <c r="AG194" s="27"/>
      <c r="AH194" s="7" t="e">
        <f t="shared" si="79"/>
        <v>#REF!</v>
      </c>
      <c r="AI194" s="79" t="e">
        <f t="shared" si="85"/>
        <v>#REF!</v>
      </c>
      <c r="AJ194" s="79" t="e">
        <f t="shared" si="80"/>
        <v>#REF!</v>
      </c>
      <c r="AK194" s="75" t="e">
        <f>PMT(#REF!,#REF!,-#REF!,0,0)</f>
        <v>#REF!</v>
      </c>
      <c r="AL194" s="75"/>
      <c r="AM194" s="7" t="e">
        <f>AJ194*(#REF!/12)</f>
        <v>#REF!</v>
      </c>
      <c r="AN194" s="7" t="e">
        <f t="shared" si="70"/>
        <v>#REF!</v>
      </c>
      <c r="AO194" s="75" t="e">
        <f t="shared" ref="AO194:AO257" si="86">AK194-AM194</f>
        <v>#REF!</v>
      </c>
      <c r="AP194" s="75" t="e">
        <f t="shared" si="71"/>
        <v>#REF!</v>
      </c>
      <c r="AQ194" s="7" t="e">
        <f t="shared" si="64"/>
        <v>#REF!</v>
      </c>
    </row>
    <row r="195" spans="10:44" x14ac:dyDescent="0.25">
      <c r="AF195" s="1"/>
      <c r="AG195" s="27"/>
      <c r="AH195" s="7" t="e">
        <f t="shared" ref="AH195:AH258" si="87">AH194*(1+$C$5)</f>
        <v>#REF!</v>
      </c>
      <c r="AI195" s="79" t="e">
        <f t="shared" si="85"/>
        <v>#REF!</v>
      </c>
      <c r="AJ195" s="79" t="e">
        <f t="shared" si="80"/>
        <v>#REF!</v>
      </c>
      <c r="AK195" s="75" t="e">
        <f>PMT(#REF!,#REF!,-#REF!,0,0)</f>
        <v>#REF!</v>
      </c>
      <c r="AL195" s="75"/>
      <c r="AM195" s="7" t="e">
        <f>AJ195*(#REF!/12)</f>
        <v>#REF!</v>
      </c>
      <c r="AN195" s="7" t="e">
        <f t="shared" si="70"/>
        <v>#REF!</v>
      </c>
      <c r="AO195" s="75" t="e">
        <f t="shared" si="86"/>
        <v>#REF!</v>
      </c>
      <c r="AP195" s="75" t="e">
        <f t="shared" si="71"/>
        <v>#REF!</v>
      </c>
      <c r="AQ195" s="7" t="e">
        <f t="shared" si="64"/>
        <v>#REF!</v>
      </c>
    </row>
    <row r="196" spans="10:44" x14ac:dyDescent="0.25">
      <c r="AH196" s="7" t="e">
        <f t="shared" si="87"/>
        <v>#REF!</v>
      </c>
      <c r="AI196" s="79" t="e">
        <f t="shared" si="85"/>
        <v>#REF!</v>
      </c>
      <c r="AJ196" s="79" t="e">
        <f t="shared" si="80"/>
        <v>#REF!</v>
      </c>
      <c r="AK196" s="75" t="e">
        <f>PMT(#REF!,#REF!,-#REF!,0,0)</f>
        <v>#REF!</v>
      </c>
      <c r="AL196" s="75"/>
      <c r="AM196" s="7" t="e">
        <f>AJ196*(#REF!/12)</f>
        <v>#REF!</v>
      </c>
      <c r="AN196" s="7" t="e">
        <f t="shared" si="70"/>
        <v>#REF!</v>
      </c>
      <c r="AO196" s="75" t="e">
        <f t="shared" si="86"/>
        <v>#REF!</v>
      </c>
      <c r="AP196" s="75" t="e">
        <f t="shared" si="71"/>
        <v>#REF!</v>
      </c>
      <c r="AQ196" s="7" t="e">
        <f t="shared" ref="AQ196:AQ259" si="88">AJ196-(AO196+AL196)</f>
        <v>#REF!</v>
      </c>
    </row>
    <row r="197" spans="10:44" x14ac:dyDescent="0.25">
      <c r="AH197" s="7" t="e">
        <f t="shared" si="87"/>
        <v>#REF!</v>
      </c>
      <c r="AI197" s="79" t="e">
        <f t="shared" si="85"/>
        <v>#REF!</v>
      </c>
      <c r="AJ197" s="79" t="e">
        <f t="shared" ref="AJ197:AJ260" si="89">AQ196</f>
        <v>#REF!</v>
      </c>
      <c r="AK197" s="75" t="e">
        <f>PMT(#REF!,#REF!,-#REF!,0,0)</f>
        <v>#REF!</v>
      </c>
      <c r="AL197" s="75"/>
      <c r="AM197" s="7" t="e">
        <f>AJ197*(#REF!/12)</f>
        <v>#REF!</v>
      </c>
      <c r="AN197" s="7" t="e">
        <f t="shared" ref="AN197:AN260" si="90">AN196+AM197</f>
        <v>#REF!</v>
      </c>
      <c r="AO197" s="75" t="e">
        <f t="shared" si="86"/>
        <v>#REF!</v>
      </c>
      <c r="AP197" s="75" t="e">
        <f t="shared" ref="AP197:AP260" si="91">AP196+AO197</f>
        <v>#REF!</v>
      </c>
      <c r="AQ197" s="7" t="e">
        <f t="shared" si="88"/>
        <v>#REF!</v>
      </c>
    </row>
    <row r="198" spans="10:44" x14ac:dyDescent="0.25">
      <c r="AH198" s="7" t="e">
        <f t="shared" si="87"/>
        <v>#REF!</v>
      </c>
      <c r="AI198" s="79" t="e">
        <f t="shared" si="85"/>
        <v>#REF!</v>
      </c>
      <c r="AJ198" s="79" t="e">
        <f t="shared" si="89"/>
        <v>#REF!</v>
      </c>
      <c r="AK198" s="75" t="e">
        <f>PMT(#REF!,#REF!,-#REF!,0,0)</f>
        <v>#REF!</v>
      </c>
      <c r="AL198" s="75"/>
      <c r="AM198" s="7" t="e">
        <f>AJ198*(#REF!/12)</f>
        <v>#REF!</v>
      </c>
      <c r="AN198" s="7" t="e">
        <f t="shared" si="90"/>
        <v>#REF!</v>
      </c>
      <c r="AO198" s="75" t="e">
        <f t="shared" si="86"/>
        <v>#REF!</v>
      </c>
      <c r="AP198" s="75" t="e">
        <f t="shared" si="91"/>
        <v>#REF!</v>
      </c>
      <c r="AQ198" s="7" t="e">
        <f t="shared" si="88"/>
        <v>#REF!</v>
      </c>
    </row>
    <row r="199" spans="10:44" x14ac:dyDescent="0.25">
      <c r="AH199" s="7" t="e">
        <f t="shared" si="87"/>
        <v>#REF!</v>
      </c>
      <c r="AI199" s="79" t="e">
        <f t="shared" si="85"/>
        <v>#REF!</v>
      </c>
      <c r="AJ199" s="79" t="e">
        <f t="shared" si="89"/>
        <v>#REF!</v>
      </c>
      <c r="AK199" s="75" t="e">
        <f>PMT(#REF!,#REF!,-#REF!,0,0)</f>
        <v>#REF!</v>
      </c>
      <c r="AL199" s="75"/>
      <c r="AM199" s="7" t="e">
        <f>AJ199*(#REF!/12)</f>
        <v>#REF!</v>
      </c>
      <c r="AN199" s="7" t="e">
        <f t="shared" si="90"/>
        <v>#REF!</v>
      </c>
      <c r="AO199" s="75" t="e">
        <f t="shared" si="86"/>
        <v>#REF!</v>
      </c>
      <c r="AP199" s="75" t="e">
        <f t="shared" si="91"/>
        <v>#REF!</v>
      </c>
      <c r="AQ199" s="7" t="e">
        <f t="shared" si="88"/>
        <v>#REF!</v>
      </c>
    </row>
    <row r="200" spans="10:44" x14ac:dyDescent="0.25">
      <c r="AH200" s="7" t="e">
        <f t="shared" si="87"/>
        <v>#REF!</v>
      </c>
      <c r="AI200" s="79" t="e">
        <f t="shared" si="85"/>
        <v>#REF!</v>
      </c>
      <c r="AJ200" s="79" t="e">
        <f t="shared" si="89"/>
        <v>#REF!</v>
      </c>
      <c r="AK200" s="75" t="e">
        <f>PMT(#REF!,#REF!,-#REF!,0,0)</f>
        <v>#REF!</v>
      </c>
      <c r="AL200" s="75"/>
      <c r="AM200" s="7" t="e">
        <f>AJ200*(#REF!/12)</f>
        <v>#REF!</v>
      </c>
      <c r="AN200" s="7" t="e">
        <f t="shared" si="90"/>
        <v>#REF!</v>
      </c>
      <c r="AO200" s="75" t="e">
        <f t="shared" si="86"/>
        <v>#REF!</v>
      </c>
      <c r="AP200" s="75" t="e">
        <f t="shared" si="91"/>
        <v>#REF!</v>
      </c>
      <c r="AQ200" s="7" t="e">
        <f t="shared" si="88"/>
        <v>#REF!</v>
      </c>
    </row>
    <row r="201" spans="10:44" x14ac:dyDescent="0.25">
      <c r="AH201" s="7" t="e">
        <f t="shared" si="87"/>
        <v>#REF!</v>
      </c>
      <c r="AI201" s="79" t="e">
        <f t="shared" si="85"/>
        <v>#REF!</v>
      </c>
      <c r="AJ201" s="79" t="e">
        <f t="shared" si="89"/>
        <v>#REF!</v>
      </c>
      <c r="AK201" s="75" t="e">
        <f>PMT(#REF!,#REF!,-#REF!,0,0)</f>
        <v>#REF!</v>
      </c>
      <c r="AL201" s="75"/>
      <c r="AM201" s="7" t="e">
        <f>AJ201*(#REF!/12)</f>
        <v>#REF!</v>
      </c>
      <c r="AN201" s="7" t="e">
        <f t="shared" si="90"/>
        <v>#REF!</v>
      </c>
      <c r="AO201" s="75" t="e">
        <f t="shared" si="86"/>
        <v>#REF!</v>
      </c>
      <c r="AP201" s="75" t="e">
        <f t="shared" si="91"/>
        <v>#REF!</v>
      </c>
      <c r="AQ201" s="7" t="e">
        <f t="shared" si="88"/>
        <v>#REF!</v>
      </c>
    </row>
    <row r="202" spans="10:44" x14ac:dyDescent="0.25">
      <c r="AH202" s="7" t="e">
        <f t="shared" si="87"/>
        <v>#REF!</v>
      </c>
      <c r="AI202" s="79" t="e">
        <f t="shared" si="85"/>
        <v>#REF!</v>
      </c>
      <c r="AJ202" s="79" t="e">
        <f t="shared" si="89"/>
        <v>#REF!</v>
      </c>
      <c r="AK202" s="75" t="e">
        <f>PMT(#REF!,#REF!,-#REF!,0,0)</f>
        <v>#REF!</v>
      </c>
      <c r="AL202" s="75"/>
      <c r="AM202" s="7" t="e">
        <f>AJ202*(#REF!/12)</f>
        <v>#REF!</v>
      </c>
      <c r="AN202" s="7" t="e">
        <f t="shared" si="90"/>
        <v>#REF!</v>
      </c>
      <c r="AO202" s="75" t="e">
        <f t="shared" si="86"/>
        <v>#REF!</v>
      </c>
      <c r="AP202" s="75" t="e">
        <f t="shared" si="91"/>
        <v>#REF!</v>
      </c>
      <c r="AQ202" s="7" t="e">
        <f t="shared" si="88"/>
        <v>#REF!</v>
      </c>
    </row>
    <row r="203" spans="10:44" x14ac:dyDescent="0.25">
      <c r="AH203" s="7" t="e">
        <f t="shared" si="87"/>
        <v>#REF!</v>
      </c>
      <c r="AI203" s="79" t="e">
        <f t="shared" si="85"/>
        <v>#REF!</v>
      </c>
      <c r="AJ203" s="79" t="e">
        <f t="shared" si="89"/>
        <v>#REF!</v>
      </c>
      <c r="AK203" s="75" t="e">
        <f>PMT(#REF!,#REF!,-#REF!,0,0)</f>
        <v>#REF!</v>
      </c>
      <c r="AL203" s="75"/>
      <c r="AM203" s="7" t="e">
        <f>AJ203*(#REF!/12)</f>
        <v>#REF!</v>
      </c>
      <c r="AN203" s="7" t="e">
        <f t="shared" si="90"/>
        <v>#REF!</v>
      </c>
      <c r="AO203" s="75" t="e">
        <f t="shared" si="86"/>
        <v>#REF!</v>
      </c>
      <c r="AP203" s="75" t="e">
        <f t="shared" si="91"/>
        <v>#REF!</v>
      </c>
      <c r="AQ203" s="7" t="e">
        <f t="shared" si="88"/>
        <v>#REF!</v>
      </c>
    </row>
    <row r="204" spans="10:44" x14ac:dyDescent="0.25">
      <c r="AH204" s="7" t="e">
        <f t="shared" si="87"/>
        <v>#REF!</v>
      </c>
      <c r="AI204" s="79" t="e">
        <f t="shared" si="85"/>
        <v>#REF!</v>
      </c>
      <c r="AJ204" s="79" t="e">
        <f t="shared" si="89"/>
        <v>#REF!</v>
      </c>
      <c r="AK204" s="75" t="e">
        <f>PMT(#REF!,#REF!,-#REF!,0,0)</f>
        <v>#REF!</v>
      </c>
      <c r="AL204" s="75"/>
      <c r="AM204" s="7" t="e">
        <f>AJ204*(#REF!/12)</f>
        <v>#REF!</v>
      </c>
      <c r="AN204" s="7" t="e">
        <f t="shared" si="90"/>
        <v>#REF!</v>
      </c>
      <c r="AO204" s="75" t="e">
        <f t="shared" si="86"/>
        <v>#REF!</v>
      </c>
      <c r="AP204" s="75" t="e">
        <f t="shared" si="91"/>
        <v>#REF!</v>
      </c>
      <c r="AQ204" s="7" t="e">
        <f t="shared" si="88"/>
        <v>#REF!</v>
      </c>
    </row>
    <row r="205" spans="10:44" x14ac:dyDescent="0.25">
      <c r="AH205" s="7" t="e">
        <f t="shared" si="87"/>
        <v>#REF!</v>
      </c>
      <c r="AI205" s="79" t="e">
        <f t="shared" si="85"/>
        <v>#REF!</v>
      </c>
      <c r="AJ205" s="79" t="e">
        <f t="shared" si="89"/>
        <v>#REF!</v>
      </c>
      <c r="AK205" s="75" t="e">
        <f>PMT(#REF!,#REF!,-#REF!,0,0)</f>
        <v>#REF!</v>
      </c>
      <c r="AL205" s="75"/>
      <c r="AM205" s="7" t="e">
        <f>AJ205*(#REF!/12)</f>
        <v>#REF!</v>
      </c>
      <c r="AN205" s="7" t="e">
        <f t="shared" si="90"/>
        <v>#REF!</v>
      </c>
      <c r="AO205" s="75" t="e">
        <f t="shared" si="86"/>
        <v>#REF!</v>
      </c>
      <c r="AP205" s="75" t="e">
        <f t="shared" si="91"/>
        <v>#REF!</v>
      </c>
      <c r="AQ205" s="7" t="e">
        <f t="shared" si="88"/>
        <v>#REF!</v>
      </c>
    </row>
    <row r="206" spans="10:44" x14ac:dyDescent="0.25">
      <c r="AH206" s="7" t="e">
        <f t="shared" si="87"/>
        <v>#REF!</v>
      </c>
      <c r="AI206" s="79" t="e">
        <f t="shared" si="85"/>
        <v>#REF!</v>
      </c>
      <c r="AJ206" s="79" t="e">
        <f t="shared" si="89"/>
        <v>#REF!</v>
      </c>
      <c r="AK206" s="75" t="e">
        <f>PMT(#REF!,#REF!,-#REF!,0,0)</f>
        <v>#REF!</v>
      </c>
      <c r="AL206" s="75"/>
      <c r="AM206" s="7" t="e">
        <f>AJ206*(#REF!/12)</f>
        <v>#REF!</v>
      </c>
      <c r="AN206" s="7" t="e">
        <f t="shared" si="90"/>
        <v>#REF!</v>
      </c>
      <c r="AO206" s="75" t="e">
        <f t="shared" si="86"/>
        <v>#REF!</v>
      </c>
      <c r="AP206" s="75" t="e">
        <f t="shared" si="91"/>
        <v>#REF!</v>
      </c>
      <c r="AQ206" s="7" t="e">
        <f t="shared" si="88"/>
        <v>#REF!</v>
      </c>
    </row>
    <row r="207" spans="10:44" x14ac:dyDescent="0.25">
      <c r="AH207" s="7" t="e">
        <f t="shared" si="87"/>
        <v>#REF!</v>
      </c>
      <c r="AI207" s="79" t="e">
        <f t="shared" si="85"/>
        <v>#REF!</v>
      </c>
      <c r="AJ207" s="79" t="e">
        <f t="shared" si="89"/>
        <v>#REF!</v>
      </c>
      <c r="AK207" s="75" t="e">
        <f>PMT(#REF!,#REF!,-#REF!,0,0)</f>
        <v>#REF!</v>
      </c>
      <c r="AL207" s="75"/>
      <c r="AM207" s="7" t="e">
        <f>AJ207*(#REF!/12)</f>
        <v>#REF!</v>
      </c>
      <c r="AN207" s="7" t="e">
        <f t="shared" si="90"/>
        <v>#REF!</v>
      </c>
      <c r="AO207" s="75" t="e">
        <f t="shared" si="86"/>
        <v>#REF!</v>
      </c>
      <c r="AP207" s="75" t="e">
        <f t="shared" si="91"/>
        <v>#REF!</v>
      </c>
      <c r="AQ207" s="7" t="e">
        <f t="shared" si="88"/>
        <v>#REF!</v>
      </c>
    </row>
    <row r="208" spans="10:44" x14ac:dyDescent="0.25">
      <c r="AH208" s="7" t="e">
        <f t="shared" si="87"/>
        <v>#REF!</v>
      </c>
      <c r="AI208" s="79" t="e">
        <f t="shared" si="85"/>
        <v>#REF!</v>
      </c>
      <c r="AJ208" s="79" t="e">
        <f t="shared" si="89"/>
        <v>#REF!</v>
      </c>
      <c r="AK208" s="75" t="e">
        <f>PMT(#REF!,#REF!,-#REF!,0,0)</f>
        <v>#REF!</v>
      </c>
      <c r="AL208" s="75"/>
      <c r="AM208" s="7" t="e">
        <f>AJ208*(#REF!/12)</f>
        <v>#REF!</v>
      </c>
      <c r="AN208" s="7" t="e">
        <f t="shared" si="90"/>
        <v>#REF!</v>
      </c>
      <c r="AO208" s="75" t="e">
        <f t="shared" si="86"/>
        <v>#REF!</v>
      </c>
      <c r="AP208" s="75" t="e">
        <f t="shared" si="91"/>
        <v>#REF!</v>
      </c>
      <c r="AQ208" s="7" t="e">
        <f t="shared" si="88"/>
        <v>#REF!</v>
      </c>
    </row>
    <row r="209" spans="34:43" x14ac:dyDescent="0.25">
      <c r="AH209" s="7" t="e">
        <f t="shared" si="87"/>
        <v>#REF!</v>
      </c>
      <c r="AI209" s="79" t="e">
        <f t="shared" si="85"/>
        <v>#REF!</v>
      </c>
      <c r="AJ209" s="79" t="e">
        <f t="shared" si="89"/>
        <v>#REF!</v>
      </c>
      <c r="AK209" s="75" t="e">
        <f>PMT(#REF!,#REF!,-#REF!,0,0)</f>
        <v>#REF!</v>
      </c>
      <c r="AL209" s="75"/>
      <c r="AM209" s="7" t="e">
        <f>AJ209*(#REF!/12)</f>
        <v>#REF!</v>
      </c>
      <c r="AN209" s="7" t="e">
        <f t="shared" si="90"/>
        <v>#REF!</v>
      </c>
      <c r="AO209" s="75" t="e">
        <f t="shared" si="86"/>
        <v>#REF!</v>
      </c>
      <c r="AP209" s="75" t="e">
        <f t="shared" si="91"/>
        <v>#REF!</v>
      </c>
      <c r="AQ209" s="7" t="e">
        <f t="shared" si="88"/>
        <v>#REF!</v>
      </c>
    </row>
    <row r="210" spans="34:43" x14ac:dyDescent="0.25">
      <c r="AH210" s="7" t="e">
        <f t="shared" si="87"/>
        <v>#REF!</v>
      </c>
      <c r="AI210" s="79" t="e">
        <f t="shared" si="85"/>
        <v>#REF!</v>
      </c>
      <c r="AJ210" s="79" t="e">
        <f t="shared" si="89"/>
        <v>#REF!</v>
      </c>
      <c r="AK210" s="75" t="e">
        <f>PMT(#REF!,#REF!,-#REF!,0,0)</f>
        <v>#REF!</v>
      </c>
      <c r="AL210" s="75"/>
      <c r="AM210" s="7" t="e">
        <f>AJ210*(#REF!/12)</f>
        <v>#REF!</v>
      </c>
      <c r="AN210" s="7" t="e">
        <f t="shared" si="90"/>
        <v>#REF!</v>
      </c>
      <c r="AO210" s="75" t="e">
        <f t="shared" si="86"/>
        <v>#REF!</v>
      </c>
      <c r="AP210" s="75" t="e">
        <f t="shared" si="91"/>
        <v>#REF!</v>
      </c>
      <c r="AQ210" s="7" t="e">
        <f t="shared" si="88"/>
        <v>#REF!</v>
      </c>
    </row>
    <row r="211" spans="34:43" x14ac:dyDescent="0.25">
      <c r="AH211" s="7" t="e">
        <f t="shared" si="87"/>
        <v>#REF!</v>
      </c>
      <c r="AI211" s="79" t="e">
        <f t="shared" si="85"/>
        <v>#REF!</v>
      </c>
      <c r="AJ211" s="79" t="e">
        <f t="shared" si="89"/>
        <v>#REF!</v>
      </c>
      <c r="AK211" s="75" t="e">
        <f>PMT(#REF!,#REF!,-#REF!,0,0)</f>
        <v>#REF!</v>
      </c>
      <c r="AL211" s="75"/>
      <c r="AM211" s="7" t="e">
        <f>AJ211*(#REF!/12)</f>
        <v>#REF!</v>
      </c>
      <c r="AN211" s="7" t="e">
        <f t="shared" si="90"/>
        <v>#REF!</v>
      </c>
      <c r="AO211" s="75" t="e">
        <f t="shared" si="86"/>
        <v>#REF!</v>
      </c>
      <c r="AP211" s="75" t="e">
        <f t="shared" si="91"/>
        <v>#REF!</v>
      </c>
      <c r="AQ211" s="7" t="e">
        <f t="shared" si="88"/>
        <v>#REF!</v>
      </c>
    </row>
    <row r="212" spans="34:43" x14ac:dyDescent="0.25">
      <c r="AH212" s="7" t="e">
        <f t="shared" si="87"/>
        <v>#REF!</v>
      </c>
      <c r="AI212" s="79" t="e">
        <f t="shared" si="85"/>
        <v>#REF!</v>
      </c>
      <c r="AJ212" s="79" t="e">
        <f t="shared" si="89"/>
        <v>#REF!</v>
      </c>
      <c r="AK212" s="75" t="e">
        <f>PMT(#REF!,#REF!,-#REF!,0,0)</f>
        <v>#REF!</v>
      </c>
      <c r="AL212" s="75"/>
      <c r="AM212" s="7" t="e">
        <f>AJ212*(#REF!/12)</f>
        <v>#REF!</v>
      </c>
      <c r="AN212" s="7" t="e">
        <f t="shared" si="90"/>
        <v>#REF!</v>
      </c>
      <c r="AO212" s="75" t="e">
        <f t="shared" si="86"/>
        <v>#REF!</v>
      </c>
      <c r="AP212" s="75" t="e">
        <f t="shared" si="91"/>
        <v>#REF!</v>
      </c>
      <c r="AQ212" s="7" t="e">
        <f t="shared" si="88"/>
        <v>#REF!</v>
      </c>
    </row>
    <row r="213" spans="34:43" x14ac:dyDescent="0.25">
      <c r="AH213" s="7" t="e">
        <f t="shared" si="87"/>
        <v>#REF!</v>
      </c>
      <c r="AI213" s="79" t="e">
        <f t="shared" si="85"/>
        <v>#REF!</v>
      </c>
      <c r="AJ213" s="79" t="e">
        <f t="shared" si="89"/>
        <v>#REF!</v>
      </c>
      <c r="AK213" s="75" t="e">
        <f>PMT(#REF!,#REF!,-#REF!,0,0)</f>
        <v>#REF!</v>
      </c>
      <c r="AL213" s="75"/>
      <c r="AM213" s="7" t="e">
        <f>AJ213*(#REF!/12)</f>
        <v>#REF!</v>
      </c>
      <c r="AN213" s="7" t="e">
        <f t="shared" si="90"/>
        <v>#REF!</v>
      </c>
      <c r="AO213" s="75" t="e">
        <f t="shared" si="86"/>
        <v>#REF!</v>
      </c>
      <c r="AP213" s="75" t="e">
        <f t="shared" si="91"/>
        <v>#REF!</v>
      </c>
      <c r="AQ213" s="7" t="e">
        <f t="shared" si="88"/>
        <v>#REF!</v>
      </c>
    </row>
    <row r="214" spans="34:43" x14ac:dyDescent="0.25">
      <c r="AH214" s="7" t="e">
        <f t="shared" si="87"/>
        <v>#REF!</v>
      </c>
      <c r="AI214" s="79" t="e">
        <f t="shared" si="85"/>
        <v>#REF!</v>
      </c>
      <c r="AJ214" s="79" t="e">
        <f t="shared" si="89"/>
        <v>#REF!</v>
      </c>
      <c r="AK214" s="75" t="e">
        <f>PMT(#REF!,#REF!,-#REF!,0,0)</f>
        <v>#REF!</v>
      </c>
      <c r="AL214" s="75"/>
      <c r="AM214" s="7" t="e">
        <f>AJ214*(#REF!/12)</f>
        <v>#REF!</v>
      </c>
      <c r="AN214" s="7" t="e">
        <f t="shared" si="90"/>
        <v>#REF!</v>
      </c>
      <c r="AO214" s="75" t="e">
        <f t="shared" si="86"/>
        <v>#REF!</v>
      </c>
      <c r="AP214" s="75" t="e">
        <f t="shared" si="91"/>
        <v>#REF!</v>
      </c>
      <c r="AQ214" s="7" t="e">
        <f t="shared" si="88"/>
        <v>#REF!</v>
      </c>
    </row>
    <row r="215" spans="34:43" x14ac:dyDescent="0.25">
      <c r="AH215" s="7" t="e">
        <f t="shared" si="87"/>
        <v>#REF!</v>
      </c>
      <c r="AI215" s="79" t="e">
        <f t="shared" si="85"/>
        <v>#REF!</v>
      </c>
      <c r="AJ215" s="79" t="e">
        <f t="shared" si="89"/>
        <v>#REF!</v>
      </c>
      <c r="AK215" s="75" t="e">
        <f>PMT(#REF!,#REF!,-#REF!,0,0)</f>
        <v>#REF!</v>
      </c>
      <c r="AL215" s="75"/>
      <c r="AM215" s="7" t="e">
        <f>AJ215*(#REF!/12)</f>
        <v>#REF!</v>
      </c>
      <c r="AN215" s="7" t="e">
        <f t="shared" si="90"/>
        <v>#REF!</v>
      </c>
      <c r="AO215" s="75" t="e">
        <f t="shared" si="86"/>
        <v>#REF!</v>
      </c>
      <c r="AP215" s="75" t="e">
        <f t="shared" si="91"/>
        <v>#REF!</v>
      </c>
      <c r="AQ215" s="7" t="e">
        <f t="shared" si="88"/>
        <v>#REF!</v>
      </c>
    </row>
    <row r="216" spans="34:43" x14ac:dyDescent="0.25">
      <c r="AH216" s="7" t="e">
        <f t="shared" si="87"/>
        <v>#REF!</v>
      </c>
      <c r="AI216" s="79" t="e">
        <f t="shared" si="85"/>
        <v>#REF!</v>
      </c>
      <c r="AJ216" s="79" t="e">
        <f t="shared" si="89"/>
        <v>#REF!</v>
      </c>
      <c r="AK216" s="75" t="e">
        <f>PMT(#REF!,#REF!,-#REF!,0,0)</f>
        <v>#REF!</v>
      </c>
      <c r="AL216" s="75"/>
      <c r="AM216" s="7" t="e">
        <f>AJ216*(#REF!/12)</f>
        <v>#REF!</v>
      </c>
      <c r="AN216" s="7" t="e">
        <f t="shared" si="90"/>
        <v>#REF!</v>
      </c>
      <c r="AO216" s="75" t="e">
        <f t="shared" si="86"/>
        <v>#REF!</v>
      </c>
      <c r="AP216" s="75" t="e">
        <f t="shared" si="91"/>
        <v>#REF!</v>
      </c>
      <c r="AQ216" s="7" t="e">
        <f t="shared" si="88"/>
        <v>#REF!</v>
      </c>
    </row>
    <row r="217" spans="34:43" x14ac:dyDescent="0.25">
      <c r="AH217" s="7" t="e">
        <f t="shared" si="87"/>
        <v>#REF!</v>
      </c>
      <c r="AI217" s="79" t="e">
        <f t="shared" si="85"/>
        <v>#REF!</v>
      </c>
      <c r="AJ217" s="79" t="e">
        <f t="shared" si="89"/>
        <v>#REF!</v>
      </c>
      <c r="AK217" s="75" t="e">
        <f>PMT(#REF!,#REF!,-#REF!,0,0)</f>
        <v>#REF!</v>
      </c>
      <c r="AL217" s="75"/>
      <c r="AM217" s="7" t="e">
        <f>AJ217*(#REF!/12)</f>
        <v>#REF!</v>
      </c>
      <c r="AN217" s="7" t="e">
        <f t="shared" si="90"/>
        <v>#REF!</v>
      </c>
      <c r="AO217" s="75" t="e">
        <f t="shared" si="86"/>
        <v>#REF!</v>
      </c>
      <c r="AP217" s="75" t="e">
        <f t="shared" si="91"/>
        <v>#REF!</v>
      </c>
      <c r="AQ217" s="7" t="e">
        <f t="shared" si="88"/>
        <v>#REF!</v>
      </c>
    </row>
    <row r="218" spans="34:43" x14ac:dyDescent="0.25">
      <c r="AH218" s="7" t="e">
        <f t="shared" si="87"/>
        <v>#REF!</v>
      </c>
      <c r="AI218" s="79" t="e">
        <f t="shared" si="85"/>
        <v>#REF!</v>
      </c>
      <c r="AJ218" s="79" t="e">
        <f t="shared" si="89"/>
        <v>#REF!</v>
      </c>
      <c r="AK218" s="75" t="e">
        <f>PMT(#REF!,#REF!,-#REF!,0,0)</f>
        <v>#REF!</v>
      </c>
      <c r="AL218" s="75"/>
      <c r="AM218" s="7" t="e">
        <f>AJ218*(#REF!/12)</f>
        <v>#REF!</v>
      </c>
      <c r="AN218" s="7" t="e">
        <f t="shared" si="90"/>
        <v>#REF!</v>
      </c>
      <c r="AO218" s="75" t="e">
        <f t="shared" si="86"/>
        <v>#REF!</v>
      </c>
      <c r="AP218" s="75" t="e">
        <f t="shared" si="91"/>
        <v>#REF!</v>
      </c>
      <c r="AQ218" s="7" t="e">
        <f t="shared" si="88"/>
        <v>#REF!</v>
      </c>
    </row>
    <row r="219" spans="34:43" x14ac:dyDescent="0.25">
      <c r="AH219" s="7" t="e">
        <f t="shared" si="87"/>
        <v>#REF!</v>
      </c>
      <c r="AI219" s="79" t="e">
        <f t="shared" si="85"/>
        <v>#REF!</v>
      </c>
      <c r="AJ219" s="79" t="e">
        <f t="shared" si="89"/>
        <v>#REF!</v>
      </c>
      <c r="AK219" s="75" t="e">
        <f>PMT(#REF!,#REF!,-#REF!,0,0)</f>
        <v>#REF!</v>
      </c>
      <c r="AL219" s="75"/>
      <c r="AM219" s="7" t="e">
        <f>AJ219*(#REF!/12)</f>
        <v>#REF!</v>
      </c>
      <c r="AN219" s="7" t="e">
        <f t="shared" si="90"/>
        <v>#REF!</v>
      </c>
      <c r="AO219" s="75" t="e">
        <f t="shared" si="86"/>
        <v>#REF!</v>
      </c>
      <c r="AP219" s="75" t="e">
        <f t="shared" si="91"/>
        <v>#REF!</v>
      </c>
      <c r="AQ219" s="7" t="e">
        <f t="shared" si="88"/>
        <v>#REF!</v>
      </c>
    </row>
    <row r="220" spans="34:43" x14ac:dyDescent="0.25">
      <c r="AH220" s="7" t="e">
        <f t="shared" si="87"/>
        <v>#REF!</v>
      </c>
      <c r="AI220" s="79" t="e">
        <f t="shared" si="85"/>
        <v>#REF!</v>
      </c>
      <c r="AJ220" s="79" t="e">
        <f t="shared" si="89"/>
        <v>#REF!</v>
      </c>
      <c r="AK220" s="75" t="e">
        <f>PMT(#REF!,#REF!,-#REF!,0,0)</f>
        <v>#REF!</v>
      </c>
      <c r="AL220" s="75"/>
      <c r="AM220" s="7" t="e">
        <f>AJ220*(#REF!/12)</f>
        <v>#REF!</v>
      </c>
      <c r="AN220" s="7" t="e">
        <f t="shared" si="90"/>
        <v>#REF!</v>
      </c>
      <c r="AO220" s="75" t="e">
        <f t="shared" si="86"/>
        <v>#REF!</v>
      </c>
      <c r="AP220" s="75" t="e">
        <f t="shared" si="91"/>
        <v>#REF!</v>
      </c>
      <c r="AQ220" s="7" t="e">
        <f t="shared" si="88"/>
        <v>#REF!</v>
      </c>
    </row>
    <row r="221" spans="34:43" x14ac:dyDescent="0.25">
      <c r="AH221" s="7" t="e">
        <f t="shared" si="87"/>
        <v>#REF!</v>
      </c>
      <c r="AI221" s="79" t="e">
        <f t="shared" si="85"/>
        <v>#REF!</v>
      </c>
      <c r="AJ221" s="79" t="e">
        <f t="shared" si="89"/>
        <v>#REF!</v>
      </c>
      <c r="AK221" s="75" t="e">
        <f>PMT(#REF!,#REF!,-#REF!,0,0)</f>
        <v>#REF!</v>
      </c>
      <c r="AL221" s="75"/>
      <c r="AM221" s="7" t="e">
        <f>AJ221*(#REF!/12)</f>
        <v>#REF!</v>
      </c>
      <c r="AN221" s="7" t="e">
        <f t="shared" si="90"/>
        <v>#REF!</v>
      </c>
      <c r="AO221" s="75" t="e">
        <f t="shared" si="86"/>
        <v>#REF!</v>
      </c>
      <c r="AP221" s="75" t="e">
        <f t="shared" si="91"/>
        <v>#REF!</v>
      </c>
      <c r="AQ221" s="7" t="e">
        <f t="shared" si="88"/>
        <v>#REF!</v>
      </c>
    </row>
    <row r="222" spans="34:43" x14ac:dyDescent="0.25">
      <c r="AH222" s="7" t="e">
        <f t="shared" si="87"/>
        <v>#REF!</v>
      </c>
      <c r="AI222" s="79" t="e">
        <f t="shared" si="85"/>
        <v>#REF!</v>
      </c>
      <c r="AJ222" s="79" t="e">
        <f t="shared" si="89"/>
        <v>#REF!</v>
      </c>
      <c r="AK222" s="75" t="e">
        <f>PMT(#REF!,#REF!,-#REF!,0,0)</f>
        <v>#REF!</v>
      </c>
      <c r="AL222" s="75"/>
      <c r="AM222" s="7" t="e">
        <f>AJ222*(#REF!/12)</f>
        <v>#REF!</v>
      </c>
      <c r="AN222" s="7" t="e">
        <f t="shared" si="90"/>
        <v>#REF!</v>
      </c>
      <c r="AO222" s="75" t="e">
        <f t="shared" si="86"/>
        <v>#REF!</v>
      </c>
      <c r="AP222" s="75" t="e">
        <f t="shared" si="91"/>
        <v>#REF!</v>
      </c>
      <c r="AQ222" s="7" t="e">
        <f t="shared" si="88"/>
        <v>#REF!</v>
      </c>
    </row>
    <row r="223" spans="34:43" x14ac:dyDescent="0.25">
      <c r="AH223" s="7" t="e">
        <f t="shared" si="87"/>
        <v>#REF!</v>
      </c>
      <c r="AI223" s="79" t="e">
        <f t="shared" si="85"/>
        <v>#REF!</v>
      </c>
      <c r="AJ223" s="79" t="e">
        <f t="shared" si="89"/>
        <v>#REF!</v>
      </c>
      <c r="AK223" s="75" t="e">
        <f>PMT(#REF!,#REF!,-#REF!,0,0)</f>
        <v>#REF!</v>
      </c>
      <c r="AL223" s="75"/>
      <c r="AM223" s="7" t="e">
        <f>AJ223*(#REF!/12)</f>
        <v>#REF!</v>
      </c>
      <c r="AN223" s="7" t="e">
        <f t="shared" si="90"/>
        <v>#REF!</v>
      </c>
      <c r="AO223" s="75" t="e">
        <f t="shared" si="86"/>
        <v>#REF!</v>
      </c>
      <c r="AP223" s="75" t="e">
        <f t="shared" si="91"/>
        <v>#REF!</v>
      </c>
      <c r="AQ223" s="7" t="e">
        <f t="shared" si="88"/>
        <v>#REF!</v>
      </c>
    </row>
    <row r="224" spans="34:43" x14ac:dyDescent="0.25">
      <c r="AH224" s="7" t="e">
        <f t="shared" si="87"/>
        <v>#REF!</v>
      </c>
      <c r="AI224" s="79" t="e">
        <f t="shared" si="85"/>
        <v>#REF!</v>
      </c>
      <c r="AJ224" s="79" t="e">
        <f t="shared" si="89"/>
        <v>#REF!</v>
      </c>
      <c r="AK224" s="75" t="e">
        <f>PMT(#REF!,#REF!,-#REF!,0,0)</f>
        <v>#REF!</v>
      </c>
      <c r="AL224" s="75"/>
      <c r="AM224" s="7" t="e">
        <f>AJ224*(#REF!/12)</f>
        <v>#REF!</v>
      </c>
      <c r="AN224" s="7" t="e">
        <f t="shared" si="90"/>
        <v>#REF!</v>
      </c>
      <c r="AO224" s="75" t="e">
        <f t="shared" si="86"/>
        <v>#REF!</v>
      </c>
      <c r="AP224" s="75" t="e">
        <f t="shared" si="91"/>
        <v>#REF!</v>
      </c>
      <c r="AQ224" s="7" t="e">
        <f t="shared" si="88"/>
        <v>#REF!</v>
      </c>
    </row>
    <row r="225" spans="34:43" x14ac:dyDescent="0.25">
      <c r="AH225" s="7" t="e">
        <f t="shared" si="87"/>
        <v>#REF!</v>
      </c>
      <c r="AI225" s="79" t="e">
        <f t="shared" si="85"/>
        <v>#REF!</v>
      </c>
      <c r="AJ225" s="79" t="e">
        <f t="shared" si="89"/>
        <v>#REF!</v>
      </c>
      <c r="AK225" s="75" t="e">
        <f>PMT(#REF!,#REF!,-#REF!,0,0)</f>
        <v>#REF!</v>
      </c>
      <c r="AL225" s="75"/>
      <c r="AM225" s="7" t="e">
        <f>AJ225*(#REF!/12)</f>
        <v>#REF!</v>
      </c>
      <c r="AN225" s="7" t="e">
        <f t="shared" si="90"/>
        <v>#REF!</v>
      </c>
      <c r="AO225" s="75" t="e">
        <f t="shared" si="86"/>
        <v>#REF!</v>
      </c>
      <c r="AP225" s="75" t="e">
        <f t="shared" si="91"/>
        <v>#REF!</v>
      </c>
      <c r="AQ225" s="7" t="e">
        <f t="shared" si="88"/>
        <v>#REF!</v>
      </c>
    </row>
    <row r="226" spans="34:43" x14ac:dyDescent="0.25">
      <c r="AH226" s="7" t="e">
        <f t="shared" si="87"/>
        <v>#REF!</v>
      </c>
      <c r="AI226" s="79" t="e">
        <f t="shared" si="85"/>
        <v>#REF!</v>
      </c>
      <c r="AJ226" s="79" t="e">
        <f t="shared" si="89"/>
        <v>#REF!</v>
      </c>
      <c r="AK226" s="75" t="e">
        <f>PMT(#REF!,#REF!,-#REF!,0,0)</f>
        <v>#REF!</v>
      </c>
      <c r="AL226" s="75"/>
      <c r="AM226" s="7" t="e">
        <f>AJ226*(#REF!/12)</f>
        <v>#REF!</v>
      </c>
      <c r="AN226" s="7" t="e">
        <f t="shared" si="90"/>
        <v>#REF!</v>
      </c>
      <c r="AO226" s="75" t="e">
        <f t="shared" si="86"/>
        <v>#REF!</v>
      </c>
      <c r="AP226" s="75" t="e">
        <f t="shared" si="91"/>
        <v>#REF!</v>
      </c>
      <c r="AQ226" s="7" t="e">
        <f t="shared" si="88"/>
        <v>#REF!</v>
      </c>
    </row>
    <row r="227" spans="34:43" x14ac:dyDescent="0.25">
      <c r="AH227" s="7" t="e">
        <f t="shared" si="87"/>
        <v>#REF!</v>
      </c>
      <c r="AI227" s="79" t="e">
        <f t="shared" si="85"/>
        <v>#REF!</v>
      </c>
      <c r="AJ227" s="79" t="e">
        <f t="shared" si="89"/>
        <v>#REF!</v>
      </c>
      <c r="AK227" s="75" t="e">
        <f>PMT(#REF!,#REF!,-#REF!,0,0)</f>
        <v>#REF!</v>
      </c>
      <c r="AL227" s="75"/>
      <c r="AM227" s="7" t="e">
        <f>AJ227*(#REF!/12)</f>
        <v>#REF!</v>
      </c>
      <c r="AN227" s="7" t="e">
        <f t="shared" si="90"/>
        <v>#REF!</v>
      </c>
      <c r="AO227" s="75" t="e">
        <f t="shared" si="86"/>
        <v>#REF!</v>
      </c>
      <c r="AP227" s="75" t="e">
        <f t="shared" si="91"/>
        <v>#REF!</v>
      </c>
      <c r="AQ227" s="7" t="e">
        <f t="shared" si="88"/>
        <v>#REF!</v>
      </c>
    </row>
    <row r="228" spans="34:43" x14ac:dyDescent="0.25">
      <c r="AH228" s="7" t="e">
        <f t="shared" si="87"/>
        <v>#REF!</v>
      </c>
      <c r="AI228" s="79" t="e">
        <f t="shared" si="85"/>
        <v>#REF!</v>
      </c>
      <c r="AJ228" s="79" t="e">
        <f t="shared" si="89"/>
        <v>#REF!</v>
      </c>
      <c r="AK228" s="75" t="e">
        <f>PMT(#REF!,#REF!,-#REF!,0,0)</f>
        <v>#REF!</v>
      </c>
      <c r="AL228" s="75"/>
      <c r="AM228" s="7" t="e">
        <f>AJ228*(#REF!/12)</f>
        <v>#REF!</v>
      </c>
      <c r="AN228" s="7" t="e">
        <f t="shared" si="90"/>
        <v>#REF!</v>
      </c>
      <c r="AO228" s="75" t="e">
        <f t="shared" si="86"/>
        <v>#REF!</v>
      </c>
      <c r="AP228" s="75" t="e">
        <f t="shared" si="91"/>
        <v>#REF!</v>
      </c>
      <c r="AQ228" s="7" t="e">
        <f t="shared" si="88"/>
        <v>#REF!</v>
      </c>
    </row>
    <row r="229" spans="34:43" x14ac:dyDescent="0.25">
      <c r="AH229" s="7" t="e">
        <f t="shared" si="87"/>
        <v>#REF!</v>
      </c>
      <c r="AI229" s="79" t="e">
        <f t="shared" si="85"/>
        <v>#REF!</v>
      </c>
      <c r="AJ229" s="79" t="e">
        <f t="shared" si="89"/>
        <v>#REF!</v>
      </c>
      <c r="AK229" s="75" t="e">
        <f>PMT(#REF!,#REF!,-#REF!,0,0)</f>
        <v>#REF!</v>
      </c>
      <c r="AL229" s="75"/>
      <c r="AM229" s="7" t="e">
        <f>AJ229*(#REF!/12)</f>
        <v>#REF!</v>
      </c>
      <c r="AN229" s="7" t="e">
        <f t="shared" si="90"/>
        <v>#REF!</v>
      </c>
      <c r="AO229" s="75" t="e">
        <f t="shared" si="86"/>
        <v>#REF!</v>
      </c>
      <c r="AP229" s="75" t="e">
        <f t="shared" si="91"/>
        <v>#REF!</v>
      </c>
      <c r="AQ229" s="7" t="e">
        <f t="shared" si="88"/>
        <v>#REF!</v>
      </c>
    </row>
    <row r="230" spans="34:43" x14ac:dyDescent="0.25">
      <c r="AH230" s="7" t="e">
        <f t="shared" si="87"/>
        <v>#REF!</v>
      </c>
      <c r="AI230" s="79" t="e">
        <f t="shared" si="85"/>
        <v>#REF!</v>
      </c>
      <c r="AJ230" s="79" t="e">
        <f t="shared" si="89"/>
        <v>#REF!</v>
      </c>
      <c r="AK230" s="75" t="e">
        <f>PMT(#REF!,#REF!,-#REF!,0,0)</f>
        <v>#REF!</v>
      </c>
      <c r="AL230" s="75"/>
      <c r="AM230" s="7" t="e">
        <f>AJ230*(#REF!/12)</f>
        <v>#REF!</v>
      </c>
      <c r="AN230" s="7" t="e">
        <f t="shared" si="90"/>
        <v>#REF!</v>
      </c>
      <c r="AO230" s="75" t="e">
        <f t="shared" si="86"/>
        <v>#REF!</v>
      </c>
      <c r="AP230" s="75" t="e">
        <f t="shared" si="91"/>
        <v>#REF!</v>
      </c>
      <c r="AQ230" s="7" t="e">
        <f t="shared" si="88"/>
        <v>#REF!</v>
      </c>
    </row>
    <row r="231" spans="34:43" x14ac:dyDescent="0.25">
      <c r="AH231" s="7" t="e">
        <f t="shared" si="87"/>
        <v>#REF!</v>
      </c>
      <c r="AI231" s="79" t="e">
        <f t="shared" si="85"/>
        <v>#REF!</v>
      </c>
      <c r="AJ231" s="79" t="e">
        <f t="shared" si="89"/>
        <v>#REF!</v>
      </c>
      <c r="AK231" s="75" t="e">
        <f>PMT(#REF!,#REF!,-#REF!,0,0)</f>
        <v>#REF!</v>
      </c>
      <c r="AL231" s="75"/>
      <c r="AM231" s="7" t="e">
        <f>AJ231*(#REF!/12)</f>
        <v>#REF!</v>
      </c>
      <c r="AN231" s="7" t="e">
        <f t="shared" si="90"/>
        <v>#REF!</v>
      </c>
      <c r="AO231" s="75" t="e">
        <f t="shared" si="86"/>
        <v>#REF!</v>
      </c>
      <c r="AP231" s="75" t="e">
        <f t="shared" si="91"/>
        <v>#REF!</v>
      </c>
      <c r="AQ231" s="7" t="e">
        <f t="shared" si="88"/>
        <v>#REF!</v>
      </c>
    </row>
    <row r="232" spans="34:43" x14ac:dyDescent="0.25">
      <c r="AH232" s="7" t="e">
        <f t="shared" si="87"/>
        <v>#REF!</v>
      </c>
      <c r="AI232" s="79" t="e">
        <f t="shared" si="85"/>
        <v>#REF!</v>
      </c>
      <c r="AJ232" s="79" t="e">
        <f t="shared" si="89"/>
        <v>#REF!</v>
      </c>
      <c r="AK232" s="75" t="e">
        <f>PMT(#REF!,#REF!,-#REF!,0,0)</f>
        <v>#REF!</v>
      </c>
      <c r="AL232" s="75"/>
      <c r="AM232" s="7" t="e">
        <f>AJ232*(#REF!/12)</f>
        <v>#REF!</v>
      </c>
      <c r="AN232" s="7" t="e">
        <f t="shared" si="90"/>
        <v>#REF!</v>
      </c>
      <c r="AO232" s="75" t="e">
        <f t="shared" si="86"/>
        <v>#REF!</v>
      </c>
      <c r="AP232" s="75" t="e">
        <f t="shared" si="91"/>
        <v>#REF!</v>
      </c>
      <c r="AQ232" s="7" t="e">
        <f t="shared" si="88"/>
        <v>#REF!</v>
      </c>
    </row>
    <row r="233" spans="34:43" x14ac:dyDescent="0.25">
      <c r="AH233" s="7" t="e">
        <f t="shared" si="87"/>
        <v>#REF!</v>
      </c>
      <c r="AI233" s="79" t="e">
        <f t="shared" si="85"/>
        <v>#REF!</v>
      </c>
      <c r="AJ233" s="79" t="e">
        <f t="shared" si="89"/>
        <v>#REF!</v>
      </c>
      <c r="AK233" s="75" t="e">
        <f>PMT(#REF!,#REF!,-#REF!,0,0)</f>
        <v>#REF!</v>
      </c>
      <c r="AL233" s="75"/>
      <c r="AM233" s="7" t="e">
        <f>AJ233*(#REF!/12)</f>
        <v>#REF!</v>
      </c>
      <c r="AN233" s="7" t="e">
        <f t="shared" si="90"/>
        <v>#REF!</v>
      </c>
      <c r="AO233" s="75" t="e">
        <f t="shared" si="86"/>
        <v>#REF!</v>
      </c>
      <c r="AP233" s="75" t="e">
        <f t="shared" si="91"/>
        <v>#REF!</v>
      </c>
      <c r="AQ233" s="7" t="e">
        <f t="shared" si="88"/>
        <v>#REF!</v>
      </c>
    </row>
    <row r="234" spans="34:43" x14ac:dyDescent="0.25">
      <c r="AH234" s="7" t="e">
        <f t="shared" si="87"/>
        <v>#REF!</v>
      </c>
      <c r="AI234" s="79" t="e">
        <f t="shared" si="85"/>
        <v>#REF!</v>
      </c>
      <c r="AJ234" s="79" t="e">
        <f t="shared" si="89"/>
        <v>#REF!</v>
      </c>
      <c r="AK234" s="75" t="e">
        <f>PMT(#REF!,#REF!,-#REF!,0,0)</f>
        <v>#REF!</v>
      </c>
      <c r="AL234" s="75"/>
      <c r="AM234" s="7" t="e">
        <f>AJ234*(#REF!/12)</f>
        <v>#REF!</v>
      </c>
      <c r="AN234" s="7" t="e">
        <f t="shared" si="90"/>
        <v>#REF!</v>
      </c>
      <c r="AO234" s="75" t="e">
        <f t="shared" si="86"/>
        <v>#REF!</v>
      </c>
      <c r="AP234" s="75" t="e">
        <f t="shared" si="91"/>
        <v>#REF!</v>
      </c>
      <c r="AQ234" s="7" t="e">
        <f t="shared" si="88"/>
        <v>#REF!</v>
      </c>
    </row>
    <row r="235" spans="34:43" x14ac:dyDescent="0.25">
      <c r="AH235" s="7" t="e">
        <f t="shared" si="87"/>
        <v>#REF!</v>
      </c>
      <c r="AI235" s="79" t="e">
        <f t="shared" si="85"/>
        <v>#REF!</v>
      </c>
      <c r="AJ235" s="79" t="e">
        <f t="shared" si="89"/>
        <v>#REF!</v>
      </c>
      <c r="AK235" s="75" t="e">
        <f>PMT(#REF!,#REF!,-#REF!,0,0)</f>
        <v>#REF!</v>
      </c>
      <c r="AL235" s="75"/>
      <c r="AM235" s="7" t="e">
        <f>AJ235*(#REF!/12)</f>
        <v>#REF!</v>
      </c>
      <c r="AN235" s="7" t="e">
        <f t="shared" si="90"/>
        <v>#REF!</v>
      </c>
      <c r="AO235" s="75" t="e">
        <f t="shared" si="86"/>
        <v>#REF!</v>
      </c>
      <c r="AP235" s="75" t="e">
        <f t="shared" si="91"/>
        <v>#REF!</v>
      </c>
      <c r="AQ235" s="7" t="e">
        <f t="shared" si="88"/>
        <v>#REF!</v>
      </c>
    </row>
    <row r="236" spans="34:43" x14ac:dyDescent="0.25">
      <c r="AH236" s="7" t="e">
        <f t="shared" si="87"/>
        <v>#REF!</v>
      </c>
      <c r="AI236" s="79" t="e">
        <f t="shared" si="85"/>
        <v>#REF!</v>
      </c>
      <c r="AJ236" s="79" t="e">
        <f t="shared" si="89"/>
        <v>#REF!</v>
      </c>
      <c r="AK236" s="75" t="e">
        <f>PMT(#REF!,#REF!,-#REF!,0,0)</f>
        <v>#REF!</v>
      </c>
      <c r="AL236" s="75"/>
      <c r="AM236" s="7" t="e">
        <f>AJ236*(#REF!/12)</f>
        <v>#REF!</v>
      </c>
      <c r="AN236" s="7" t="e">
        <f t="shared" si="90"/>
        <v>#REF!</v>
      </c>
      <c r="AO236" s="75" t="e">
        <f t="shared" si="86"/>
        <v>#REF!</v>
      </c>
      <c r="AP236" s="75" t="e">
        <f t="shared" si="91"/>
        <v>#REF!</v>
      </c>
      <c r="AQ236" s="7" t="e">
        <f t="shared" si="88"/>
        <v>#REF!</v>
      </c>
    </row>
    <row r="237" spans="34:43" x14ac:dyDescent="0.25">
      <c r="AH237" s="7" t="e">
        <f t="shared" si="87"/>
        <v>#REF!</v>
      </c>
      <c r="AI237" s="79" t="e">
        <f t="shared" si="85"/>
        <v>#REF!</v>
      </c>
      <c r="AJ237" s="79" t="e">
        <f t="shared" si="89"/>
        <v>#REF!</v>
      </c>
      <c r="AK237" s="75" t="e">
        <f>PMT(#REF!,#REF!,-#REF!,0,0)</f>
        <v>#REF!</v>
      </c>
      <c r="AL237" s="75"/>
      <c r="AM237" s="7" t="e">
        <f>AJ237*(#REF!/12)</f>
        <v>#REF!</v>
      </c>
      <c r="AN237" s="7" t="e">
        <f t="shared" si="90"/>
        <v>#REF!</v>
      </c>
      <c r="AO237" s="75" t="e">
        <f t="shared" si="86"/>
        <v>#REF!</v>
      </c>
      <c r="AP237" s="75" t="e">
        <f t="shared" si="91"/>
        <v>#REF!</v>
      </c>
      <c r="AQ237" s="7" t="e">
        <f t="shared" si="88"/>
        <v>#REF!</v>
      </c>
    </row>
    <row r="238" spans="34:43" x14ac:dyDescent="0.25">
      <c r="AH238" s="7" t="e">
        <f t="shared" si="87"/>
        <v>#REF!</v>
      </c>
      <c r="AI238" s="79" t="e">
        <f t="shared" si="85"/>
        <v>#REF!</v>
      </c>
      <c r="AJ238" s="79" t="e">
        <f t="shared" si="89"/>
        <v>#REF!</v>
      </c>
      <c r="AK238" s="75" t="e">
        <f>PMT(#REF!,#REF!,-#REF!,0,0)</f>
        <v>#REF!</v>
      </c>
      <c r="AL238" s="75"/>
      <c r="AM238" s="7" t="e">
        <f>AJ238*(#REF!/12)</f>
        <v>#REF!</v>
      </c>
      <c r="AN238" s="7" t="e">
        <f t="shared" si="90"/>
        <v>#REF!</v>
      </c>
      <c r="AO238" s="75" t="e">
        <f t="shared" si="86"/>
        <v>#REF!</v>
      </c>
      <c r="AP238" s="75" t="e">
        <f t="shared" si="91"/>
        <v>#REF!</v>
      </c>
      <c r="AQ238" s="7" t="e">
        <f t="shared" si="88"/>
        <v>#REF!</v>
      </c>
    </row>
    <row r="239" spans="34:43" x14ac:dyDescent="0.25">
      <c r="AH239" s="7" t="e">
        <f t="shared" si="87"/>
        <v>#REF!</v>
      </c>
      <c r="AI239" s="79" t="e">
        <f t="shared" si="85"/>
        <v>#REF!</v>
      </c>
      <c r="AJ239" s="79" t="e">
        <f t="shared" si="89"/>
        <v>#REF!</v>
      </c>
      <c r="AK239" s="75" t="e">
        <f>PMT(#REF!,#REF!,-#REF!,0,0)</f>
        <v>#REF!</v>
      </c>
      <c r="AL239" s="75"/>
      <c r="AM239" s="7" t="e">
        <f>AJ239*(#REF!/12)</f>
        <v>#REF!</v>
      </c>
      <c r="AN239" s="7" t="e">
        <f t="shared" si="90"/>
        <v>#REF!</v>
      </c>
      <c r="AO239" s="75" t="e">
        <f t="shared" si="86"/>
        <v>#REF!</v>
      </c>
      <c r="AP239" s="75" t="e">
        <f t="shared" si="91"/>
        <v>#REF!</v>
      </c>
      <c r="AQ239" s="7" t="e">
        <f t="shared" si="88"/>
        <v>#REF!</v>
      </c>
    </row>
    <row r="240" spans="34:43" x14ac:dyDescent="0.25">
      <c r="AH240" s="7" t="e">
        <f t="shared" si="87"/>
        <v>#REF!</v>
      </c>
      <c r="AI240" s="79" t="e">
        <f t="shared" si="85"/>
        <v>#REF!</v>
      </c>
      <c r="AJ240" s="79" t="e">
        <f t="shared" si="89"/>
        <v>#REF!</v>
      </c>
      <c r="AK240" s="75" t="e">
        <f>PMT(#REF!,#REF!,-#REF!,0,0)</f>
        <v>#REF!</v>
      </c>
      <c r="AL240" s="75"/>
      <c r="AM240" s="7" t="e">
        <f>AJ240*(#REF!/12)</f>
        <v>#REF!</v>
      </c>
      <c r="AN240" s="7" t="e">
        <f t="shared" si="90"/>
        <v>#REF!</v>
      </c>
      <c r="AO240" s="75" t="e">
        <f t="shared" si="86"/>
        <v>#REF!</v>
      </c>
      <c r="AP240" s="75" t="e">
        <f t="shared" si="91"/>
        <v>#REF!</v>
      </c>
      <c r="AQ240" s="7" t="e">
        <f t="shared" si="88"/>
        <v>#REF!</v>
      </c>
    </row>
    <row r="241" spans="34:43" x14ac:dyDescent="0.25">
      <c r="AH241" s="7" t="e">
        <f t="shared" si="87"/>
        <v>#REF!</v>
      </c>
      <c r="AI241" s="79" t="e">
        <f t="shared" si="85"/>
        <v>#REF!</v>
      </c>
      <c r="AJ241" s="79" t="e">
        <f t="shared" si="89"/>
        <v>#REF!</v>
      </c>
      <c r="AK241" s="75" t="e">
        <f>PMT(#REF!,#REF!,-#REF!,0,0)</f>
        <v>#REF!</v>
      </c>
      <c r="AL241" s="75"/>
      <c r="AM241" s="7" t="e">
        <f>AJ241*(#REF!/12)</f>
        <v>#REF!</v>
      </c>
      <c r="AN241" s="7" t="e">
        <f t="shared" si="90"/>
        <v>#REF!</v>
      </c>
      <c r="AO241" s="75" t="e">
        <f t="shared" si="86"/>
        <v>#REF!</v>
      </c>
      <c r="AP241" s="75" t="e">
        <f t="shared" si="91"/>
        <v>#REF!</v>
      </c>
      <c r="AQ241" s="7" t="e">
        <f t="shared" si="88"/>
        <v>#REF!</v>
      </c>
    </row>
    <row r="242" spans="34:43" x14ac:dyDescent="0.25">
      <c r="AH242" s="7" t="e">
        <f t="shared" si="87"/>
        <v>#REF!</v>
      </c>
      <c r="AI242" s="79" t="e">
        <f t="shared" si="85"/>
        <v>#REF!</v>
      </c>
      <c r="AJ242" s="79" t="e">
        <f t="shared" si="89"/>
        <v>#REF!</v>
      </c>
      <c r="AK242" s="75" t="e">
        <f>PMT(#REF!,#REF!,-#REF!,0,0)</f>
        <v>#REF!</v>
      </c>
      <c r="AL242" s="75"/>
      <c r="AM242" s="7" t="e">
        <f>AJ242*(#REF!/12)</f>
        <v>#REF!</v>
      </c>
      <c r="AN242" s="7" t="e">
        <f t="shared" si="90"/>
        <v>#REF!</v>
      </c>
      <c r="AO242" s="75" t="e">
        <f t="shared" si="86"/>
        <v>#REF!</v>
      </c>
      <c r="AP242" s="75" t="e">
        <f t="shared" si="91"/>
        <v>#REF!</v>
      </c>
      <c r="AQ242" s="7" t="e">
        <f t="shared" si="88"/>
        <v>#REF!</v>
      </c>
    </row>
    <row r="243" spans="34:43" x14ac:dyDescent="0.25">
      <c r="AH243" s="7" t="e">
        <f t="shared" si="87"/>
        <v>#REF!</v>
      </c>
      <c r="AI243" s="79" t="e">
        <f t="shared" si="85"/>
        <v>#REF!</v>
      </c>
      <c r="AJ243" s="79" t="e">
        <f t="shared" si="89"/>
        <v>#REF!</v>
      </c>
      <c r="AK243" s="75" t="e">
        <f>PMT(#REF!,#REF!,-#REF!,0,0)</f>
        <v>#REF!</v>
      </c>
      <c r="AL243" s="75"/>
      <c r="AM243" s="7" t="e">
        <f>AJ243*(#REF!/12)</f>
        <v>#REF!</v>
      </c>
      <c r="AN243" s="7" t="e">
        <f t="shared" si="90"/>
        <v>#REF!</v>
      </c>
      <c r="AO243" s="75" t="e">
        <f t="shared" si="86"/>
        <v>#REF!</v>
      </c>
      <c r="AP243" s="75" t="e">
        <f t="shared" si="91"/>
        <v>#REF!</v>
      </c>
      <c r="AQ243" s="7" t="e">
        <f t="shared" si="88"/>
        <v>#REF!</v>
      </c>
    </row>
    <row r="244" spans="34:43" x14ac:dyDescent="0.25">
      <c r="AH244" s="7" t="e">
        <f t="shared" si="87"/>
        <v>#REF!</v>
      </c>
      <c r="AI244" s="79" t="e">
        <f t="shared" si="85"/>
        <v>#REF!</v>
      </c>
      <c r="AJ244" s="79" t="e">
        <f t="shared" si="89"/>
        <v>#REF!</v>
      </c>
      <c r="AK244" s="75" t="e">
        <f>PMT(#REF!,#REF!,-#REF!,0,0)</f>
        <v>#REF!</v>
      </c>
      <c r="AL244" s="75"/>
      <c r="AM244" s="7" t="e">
        <f>AJ244*(#REF!/12)</f>
        <v>#REF!</v>
      </c>
      <c r="AN244" s="7" t="e">
        <f t="shared" si="90"/>
        <v>#REF!</v>
      </c>
      <c r="AO244" s="75" t="e">
        <f t="shared" si="86"/>
        <v>#REF!</v>
      </c>
      <c r="AP244" s="75" t="e">
        <f t="shared" si="91"/>
        <v>#REF!</v>
      </c>
      <c r="AQ244" s="7" t="e">
        <f t="shared" si="88"/>
        <v>#REF!</v>
      </c>
    </row>
    <row r="245" spans="34:43" x14ac:dyDescent="0.25">
      <c r="AH245" s="7" t="e">
        <f t="shared" si="87"/>
        <v>#REF!</v>
      </c>
      <c r="AI245" s="79" t="e">
        <f t="shared" si="85"/>
        <v>#REF!</v>
      </c>
      <c r="AJ245" s="79" t="e">
        <f t="shared" si="89"/>
        <v>#REF!</v>
      </c>
      <c r="AK245" s="75" t="e">
        <f>PMT(#REF!,#REF!,-#REF!,0,0)</f>
        <v>#REF!</v>
      </c>
      <c r="AL245" s="75"/>
      <c r="AM245" s="7" t="e">
        <f>AJ245*(#REF!/12)</f>
        <v>#REF!</v>
      </c>
      <c r="AN245" s="7" t="e">
        <f t="shared" si="90"/>
        <v>#REF!</v>
      </c>
      <c r="AO245" s="75" t="e">
        <f t="shared" si="86"/>
        <v>#REF!</v>
      </c>
      <c r="AP245" s="75" t="e">
        <f t="shared" si="91"/>
        <v>#REF!</v>
      </c>
      <c r="AQ245" s="7" t="e">
        <f t="shared" si="88"/>
        <v>#REF!</v>
      </c>
    </row>
    <row r="246" spans="34:43" x14ac:dyDescent="0.25">
      <c r="AH246" s="7" t="e">
        <f t="shared" si="87"/>
        <v>#REF!</v>
      </c>
      <c r="AI246" s="79" t="e">
        <f t="shared" si="85"/>
        <v>#REF!</v>
      </c>
      <c r="AJ246" s="79" t="e">
        <f t="shared" si="89"/>
        <v>#REF!</v>
      </c>
      <c r="AK246" s="75" t="e">
        <f>PMT(#REF!,#REF!,-#REF!,0,0)</f>
        <v>#REF!</v>
      </c>
      <c r="AL246" s="75"/>
      <c r="AM246" s="7" t="e">
        <f>AJ246*(#REF!/12)</f>
        <v>#REF!</v>
      </c>
      <c r="AN246" s="7" t="e">
        <f t="shared" si="90"/>
        <v>#REF!</v>
      </c>
      <c r="AO246" s="75" t="e">
        <f t="shared" si="86"/>
        <v>#REF!</v>
      </c>
      <c r="AP246" s="75" t="e">
        <f t="shared" si="91"/>
        <v>#REF!</v>
      </c>
      <c r="AQ246" s="7" t="e">
        <f t="shared" si="88"/>
        <v>#REF!</v>
      </c>
    </row>
    <row r="247" spans="34:43" x14ac:dyDescent="0.25">
      <c r="AH247" s="7" t="e">
        <f t="shared" si="87"/>
        <v>#REF!</v>
      </c>
      <c r="AI247" s="79" t="e">
        <f t="shared" si="85"/>
        <v>#REF!</v>
      </c>
      <c r="AJ247" s="79" t="e">
        <f t="shared" si="89"/>
        <v>#REF!</v>
      </c>
      <c r="AK247" s="75" t="e">
        <f>PMT(#REF!,#REF!,-#REF!,0,0)</f>
        <v>#REF!</v>
      </c>
      <c r="AL247" s="75"/>
      <c r="AM247" s="7" t="e">
        <f>AJ247*(#REF!/12)</f>
        <v>#REF!</v>
      </c>
      <c r="AN247" s="7" t="e">
        <f t="shared" si="90"/>
        <v>#REF!</v>
      </c>
      <c r="AO247" s="75" t="e">
        <f t="shared" si="86"/>
        <v>#REF!</v>
      </c>
      <c r="AP247" s="75" t="e">
        <f t="shared" si="91"/>
        <v>#REF!</v>
      </c>
      <c r="AQ247" s="7" t="e">
        <f t="shared" si="88"/>
        <v>#REF!</v>
      </c>
    </row>
    <row r="248" spans="34:43" x14ac:dyDescent="0.25">
      <c r="AH248" s="7" t="e">
        <f t="shared" si="87"/>
        <v>#REF!</v>
      </c>
      <c r="AI248" s="79" t="e">
        <f t="shared" si="85"/>
        <v>#REF!</v>
      </c>
      <c r="AJ248" s="79" t="e">
        <f t="shared" si="89"/>
        <v>#REF!</v>
      </c>
      <c r="AK248" s="75" t="e">
        <f>PMT(#REF!,#REF!,-#REF!,0,0)</f>
        <v>#REF!</v>
      </c>
      <c r="AL248" s="75"/>
      <c r="AM248" s="7" t="e">
        <f>AJ248*(#REF!/12)</f>
        <v>#REF!</v>
      </c>
      <c r="AN248" s="7" t="e">
        <f t="shared" si="90"/>
        <v>#REF!</v>
      </c>
      <c r="AO248" s="75" t="e">
        <f t="shared" si="86"/>
        <v>#REF!</v>
      </c>
      <c r="AP248" s="75" t="e">
        <f t="shared" si="91"/>
        <v>#REF!</v>
      </c>
      <c r="AQ248" s="7" t="e">
        <f t="shared" si="88"/>
        <v>#REF!</v>
      </c>
    </row>
    <row r="249" spans="34:43" x14ac:dyDescent="0.25">
      <c r="AH249" s="7" t="e">
        <f t="shared" si="87"/>
        <v>#REF!</v>
      </c>
      <c r="AI249" s="79" t="e">
        <f t="shared" si="85"/>
        <v>#REF!</v>
      </c>
      <c r="AJ249" s="79" t="e">
        <f t="shared" si="89"/>
        <v>#REF!</v>
      </c>
      <c r="AK249" s="75" t="e">
        <f>PMT(#REF!,#REF!,-#REF!,0,0)</f>
        <v>#REF!</v>
      </c>
      <c r="AL249" s="75"/>
      <c r="AM249" s="7" t="e">
        <f>AJ249*(#REF!/12)</f>
        <v>#REF!</v>
      </c>
      <c r="AN249" s="7" t="e">
        <f t="shared" si="90"/>
        <v>#REF!</v>
      </c>
      <c r="AO249" s="75" t="e">
        <f t="shared" si="86"/>
        <v>#REF!</v>
      </c>
      <c r="AP249" s="75" t="e">
        <f t="shared" si="91"/>
        <v>#REF!</v>
      </c>
      <c r="AQ249" s="7" t="e">
        <f t="shared" si="88"/>
        <v>#REF!</v>
      </c>
    </row>
    <row r="250" spans="34:43" x14ac:dyDescent="0.25">
      <c r="AH250" s="7" t="e">
        <f t="shared" si="87"/>
        <v>#REF!</v>
      </c>
      <c r="AI250" s="79" t="e">
        <f t="shared" si="85"/>
        <v>#REF!</v>
      </c>
      <c r="AJ250" s="79" t="e">
        <f t="shared" si="89"/>
        <v>#REF!</v>
      </c>
      <c r="AK250" s="75" t="e">
        <f>PMT(#REF!,#REF!,-#REF!,0,0)</f>
        <v>#REF!</v>
      </c>
      <c r="AL250" s="75"/>
      <c r="AM250" s="7" t="e">
        <f>AJ250*(#REF!/12)</f>
        <v>#REF!</v>
      </c>
      <c r="AN250" s="7" t="e">
        <f t="shared" si="90"/>
        <v>#REF!</v>
      </c>
      <c r="AO250" s="75" t="e">
        <f t="shared" si="86"/>
        <v>#REF!</v>
      </c>
      <c r="AP250" s="75" t="e">
        <f t="shared" si="91"/>
        <v>#REF!</v>
      </c>
      <c r="AQ250" s="7" t="e">
        <f t="shared" si="88"/>
        <v>#REF!</v>
      </c>
    </row>
    <row r="251" spans="34:43" x14ac:dyDescent="0.25">
      <c r="AH251" s="7" t="e">
        <f t="shared" si="87"/>
        <v>#REF!</v>
      </c>
      <c r="AI251" s="79" t="e">
        <f t="shared" si="85"/>
        <v>#REF!</v>
      </c>
      <c r="AJ251" s="79" t="e">
        <f t="shared" si="89"/>
        <v>#REF!</v>
      </c>
      <c r="AK251" s="75" t="e">
        <f>PMT(#REF!,#REF!,-#REF!,0,0)</f>
        <v>#REF!</v>
      </c>
      <c r="AL251" s="75"/>
      <c r="AM251" s="7" t="e">
        <f>AJ251*(#REF!/12)</f>
        <v>#REF!</v>
      </c>
      <c r="AN251" s="7" t="e">
        <f t="shared" si="90"/>
        <v>#REF!</v>
      </c>
      <c r="AO251" s="75" t="e">
        <f t="shared" si="86"/>
        <v>#REF!</v>
      </c>
      <c r="AP251" s="75" t="e">
        <f t="shared" si="91"/>
        <v>#REF!</v>
      </c>
      <c r="AQ251" s="7" t="e">
        <f t="shared" si="88"/>
        <v>#REF!</v>
      </c>
    </row>
    <row r="252" spans="34:43" x14ac:dyDescent="0.25">
      <c r="AH252" s="7" t="e">
        <f t="shared" si="87"/>
        <v>#REF!</v>
      </c>
      <c r="AI252" s="79" t="e">
        <f t="shared" si="85"/>
        <v>#REF!</v>
      </c>
      <c r="AJ252" s="79" t="e">
        <f t="shared" si="89"/>
        <v>#REF!</v>
      </c>
      <c r="AK252" s="75" t="e">
        <f>PMT(#REF!,#REF!,-#REF!,0,0)</f>
        <v>#REF!</v>
      </c>
      <c r="AL252" s="75"/>
      <c r="AM252" s="7" t="e">
        <f>AJ252*(#REF!/12)</f>
        <v>#REF!</v>
      </c>
      <c r="AN252" s="7" t="e">
        <f t="shared" si="90"/>
        <v>#REF!</v>
      </c>
      <c r="AO252" s="75" t="e">
        <f t="shared" si="86"/>
        <v>#REF!</v>
      </c>
      <c r="AP252" s="75" t="e">
        <f t="shared" si="91"/>
        <v>#REF!</v>
      </c>
      <c r="AQ252" s="7" t="e">
        <f t="shared" si="88"/>
        <v>#REF!</v>
      </c>
    </row>
    <row r="253" spans="34:43" x14ac:dyDescent="0.25">
      <c r="AH253" s="7" t="e">
        <f t="shared" si="87"/>
        <v>#REF!</v>
      </c>
      <c r="AI253" s="79" t="e">
        <f t="shared" si="85"/>
        <v>#REF!</v>
      </c>
      <c r="AJ253" s="79" t="e">
        <f t="shared" si="89"/>
        <v>#REF!</v>
      </c>
      <c r="AK253" s="75" t="e">
        <f>PMT(#REF!,#REF!,-#REF!,0,0)</f>
        <v>#REF!</v>
      </c>
      <c r="AL253" s="75"/>
      <c r="AM253" s="7" t="e">
        <f>AJ253*(#REF!/12)</f>
        <v>#REF!</v>
      </c>
      <c r="AN253" s="7" t="e">
        <f t="shared" si="90"/>
        <v>#REF!</v>
      </c>
      <c r="AO253" s="75" t="e">
        <f t="shared" si="86"/>
        <v>#REF!</v>
      </c>
      <c r="AP253" s="75" t="e">
        <f t="shared" si="91"/>
        <v>#REF!</v>
      </c>
      <c r="AQ253" s="7" t="e">
        <f t="shared" si="88"/>
        <v>#REF!</v>
      </c>
    </row>
    <row r="254" spans="34:43" x14ac:dyDescent="0.25">
      <c r="AH254" s="7" t="e">
        <f t="shared" si="87"/>
        <v>#REF!</v>
      </c>
      <c r="AI254" s="79" t="e">
        <f t="shared" si="85"/>
        <v>#REF!</v>
      </c>
      <c r="AJ254" s="79" t="e">
        <f t="shared" si="89"/>
        <v>#REF!</v>
      </c>
      <c r="AK254" s="75" t="e">
        <f>PMT(#REF!,#REF!,-#REF!,0,0)</f>
        <v>#REF!</v>
      </c>
      <c r="AL254" s="75"/>
      <c r="AM254" s="7" t="e">
        <f>AJ254*(#REF!/12)</f>
        <v>#REF!</v>
      </c>
      <c r="AN254" s="7" t="e">
        <f t="shared" si="90"/>
        <v>#REF!</v>
      </c>
      <c r="AO254" s="75" t="e">
        <f t="shared" si="86"/>
        <v>#REF!</v>
      </c>
      <c r="AP254" s="75" t="e">
        <f t="shared" si="91"/>
        <v>#REF!</v>
      </c>
      <c r="AQ254" s="7" t="e">
        <f t="shared" si="88"/>
        <v>#REF!</v>
      </c>
    </row>
    <row r="255" spans="34:43" x14ac:dyDescent="0.25">
      <c r="AH255" s="7" t="e">
        <f t="shared" si="87"/>
        <v>#REF!</v>
      </c>
      <c r="AI255" s="79" t="e">
        <f t="shared" si="85"/>
        <v>#REF!</v>
      </c>
      <c r="AJ255" s="79" t="e">
        <f t="shared" si="89"/>
        <v>#REF!</v>
      </c>
      <c r="AK255" s="75" t="e">
        <f>PMT(#REF!,#REF!,-#REF!,0,0)</f>
        <v>#REF!</v>
      </c>
      <c r="AL255" s="75"/>
      <c r="AM255" s="7" t="e">
        <f>AJ255*(#REF!/12)</f>
        <v>#REF!</v>
      </c>
      <c r="AN255" s="7" t="e">
        <f t="shared" si="90"/>
        <v>#REF!</v>
      </c>
      <c r="AO255" s="75" t="e">
        <f t="shared" si="86"/>
        <v>#REF!</v>
      </c>
      <c r="AP255" s="75" t="e">
        <f t="shared" si="91"/>
        <v>#REF!</v>
      </c>
      <c r="AQ255" s="7" t="e">
        <f t="shared" si="88"/>
        <v>#REF!</v>
      </c>
    </row>
    <row r="256" spans="34:43" x14ac:dyDescent="0.25">
      <c r="AH256" s="7" t="e">
        <f t="shared" si="87"/>
        <v>#REF!</v>
      </c>
      <c r="AI256" s="79" t="e">
        <f t="shared" si="85"/>
        <v>#REF!</v>
      </c>
      <c r="AJ256" s="79" t="e">
        <f t="shared" si="89"/>
        <v>#REF!</v>
      </c>
      <c r="AK256" s="75" t="e">
        <f>PMT(#REF!,#REF!,-#REF!,0,0)</f>
        <v>#REF!</v>
      </c>
      <c r="AL256" s="75"/>
      <c r="AM256" s="7" t="e">
        <f>AJ256*(#REF!/12)</f>
        <v>#REF!</v>
      </c>
      <c r="AN256" s="7" t="e">
        <f t="shared" si="90"/>
        <v>#REF!</v>
      </c>
      <c r="AO256" s="75" t="e">
        <f t="shared" si="86"/>
        <v>#REF!</v>
      </c>
      <c r="AP256" s="75" t="e">
        <f t="shared" si="91"/>
        <v>#REF!</v>
      </c>
      <c r="AQ256" s="7" t="e">
        <f t="shared" si="88"/>
        <v>#REF!</v>
      </c>
    </row>
    <row r="257" spans="34:43" x14ac:dyDescent="0.25">
      <c r="AH257" s="7" t="e">
        <f t="shared" si="87"/>
        <v>#REF!</v>
      </c>
      <c r="AI257" s="79" t="e">
        <f t="shared" ref="AI257:AI301" si="92">AI256+AH258-AH257</f>
        <v>#REF!</v>
      </c>
      <c r="AJ257" s="79" t="e">
        <f t="shared" si="89"/>
        <v>#REF!</v>
      </c>
      <c r="AK257" s="75" t="e">
        <f>PMT(#REF!,#REF!,-#REF!,0,0)</f>
        <v>#REF!</v>
      </c>
      <c r="AL257" s="75"/>
      <c r="AM257" s="7" t="e">
        <f>AJ257*(#REF!/12)</f>
        <v>#REF!</v>
      </c>
      <c r="AN257" s="7" t="e">
        <f t="shared" si="90"/>
        <v>#REF!</v>
      </c>
      <c r="AO257" s="75" t="e">
        <f t="shared" si="86"/>
        <v>#REF!</v>
      </c>
      <c r="AP257" s="75" t="e">
        <f t="shared" si="91"/>
        <v>#REF!</v>
      </c>
      <c r="AQ257" s="7" t="e">
        <f t="shared" si="88"/>
        <v>#REF!</v>
      </c>
    </row>
    <row r="258" spans="34:43" x14ac:dyDescent="0.25">
      <c r="AH258" s="7" t="e">
        <f t="shared" si="87"/>
        <v>#REF!</v>
      </c>
      <c r="AI258" s="79" t="e">
        <f t="shared" si="92"/>
        <v>#REF!</v>
      </c>
      <c r="AJ258" s="79" t="e">
        <f t="shared" si="89"/>
        <v>#REF!</v>
      </c>
      <c r="AK258" s="75" t="e">
        <f>PMT(#REF!,#REF!,-#REF!,0,0)</f>
        <v>#REF!</v>
      </c>
      <c r="AL258" s="75"/>
      <c r="AM258" s="7" t="e">
        <f>AJ258*(#REF!/12)</f>
        <v>#REF!</v>
      </c>
      <c r="AN258" s="7" t="e">
        <f t="shared" si="90"/>
        <v>#REF!</v>
      </c>
      <c r="AO258" s="75" t="e">
        <f t="shared" ref="AO258:AO302" si="93">AK258-AM258</f>
        <v>#REF!</v>
      </c>
      <c r="AP258" s="75" t="e">
        <f t="shared" si="91"/>
        <v>#REF!</v>
      </c>
      <c r="AQ258" s="7" t="e">
        <f t="shared" si="88"/>
        <v>#REF!</v>
      </c>
    </row>
    <row r="259" spans="34:43" x14ac:dyDescent="0.25">
      <c r="AH259" s="7" t="e">
        <f t="shared" ref="AH259:AH302" si="94">AH258*(1+$C$5)</f>
        <v>#REF!</v>
      </c>
      <c r="AI259" s="79" t="e">
        <f t="shared" si="92"/>
        <v>#REF!</v>
      </c>
      <c r="AJ259" s="79" t="e">
        <f t="shared" si="89"/>
        <v>#REF!</v>
      </c>
      <c r="AK259" s="75" t="e">
        <f>PMT(#REF!,#REF!,-#REF!,0,0)</f>
        <v>#REF!</v>
      </c>
      <c r="AL259" s="75"/>
      <c r="AM259" s="7" t="e">
        <f>AJ259*(#REF!/12)</f>
        <v>#REF!</v>
      </c>
      <c r="AN259" s="7" t="e">
        <f t="shared" si="90"/>
        <v>#REF!</v>
      </c>
      <c r="AO259" s="75" t="e">
        <f t="shared" si="93"/>
        <v>#REF!</v>
      </c>
      <c r="AP259" s="75" t="e">
        <f t="shared" si="91"/>
        <v>#REF!</v>
      </c>
      <c r="AQ259" s="7" t="e">
        <f t="shared" si="88"/>
        <v>#REF!</v>
      </c>
    </row>
    <row r="260" spans="34:43" x14ac:dyDescent="0.25">
      <c r="AH260" s="7" t="e">
        <f t="shared" si="94"/>
        <v>#REF!</v>
      </c>
      <c r="AI260" s="79" t="e">
        <f t="shared" si="92"/>
        <v>#REF!</v>
      </c>
      <c r="AJ260" s="79" t="e">
        <f t="shared" si="89"/>
        <v>#REF!</v>
      </c>
      <c r="AK260" s="75" t="e">
        <f>PMT(#REF!,#REF!,-#REF!,0,0)</f>
        <v>#REF!</v>
      </c>
      <c r="AL260" s="75"/>
      <c r="AM260" s="7" t="e">
        <f>AJ260*(#REF!/12)</f>
        <v>#REF!</v>
      </c>
      <c r="AN260" s="7" t="e">
        <f t="shared" si="90"/>
        <v>#REF!</v>
      </c>
      <c r="AO260" s="75" t="e">
        <f t="shared" si="93"/>
        <v>#REF!</v>
      </c>
      <c r="AP260" s="75" t="e">
        <f t="shared" si="91"/>
        <v>#REF!</v>
      </c>
      <c r="AQ260" s="7" t="e">
        <f t="shared" ref="AQ260:AQ302" si="95">AJ260-(AO260+AL260)</f>
        <v>#REF!</v>
      </c>
    </row>
    <row r="261" spans="34:43" x14ac:dyDescent="0.25">
      <c r="AH261" s="7" t="e">
        <f t="shared" si="94"/>
        <v>#REF!</v>
      </c>
      <c r="AI261" s="79" t="e">
        <f t="shared" si="92"/>
        <v>#REF!</v>
      </c>
      <c r="AJ261" s="79" t="e">
        <f t="shared" ref="AJ261:AJ302" si="96">AQ260</f>
        <v>#REF!</v>
      </c>
      <c r="AK261" s="75" t="e">
        <f>PMT(#REF!,#REF!,-#REF!,0,0)</f>
        <v>#REF!</v>
      </c>
      <c r="AL261" s="75"/>
      <c r="AM261" s="7" t="e">
        <f>AJ261*(#REF!/12)</f>
        <v>#REF!</v>
      </c>
      <c r="AN261" s="7" t="e">
        <f t="shared" ref="AN261:AN302" si="97">AN260+AM261</f>
        <v>#REF!</v>
      </c>
      <c r="AO261" s="75" t="e">
        <f t="shared" si="93"/>
        <v>#REF!</v>
      </c>
      <c r="AP261" s="75" t="e">
        <f t="shared" ref="AP261:AP302" si="98">AP260+AO261</f>
        <v>#REF!</v>
      </c>
      <c r="AQ261" s="7" t="e">
        <f t="shared" si="95"/>
        <v>#REF!</v>
      </c>
    </row>
    <row r="262" spans="34:43" x14ac:dyDescent="0.25">
      <c r="AH262" s="7" t="e">
        <f t="shared" si="94"/>
        <v>#REF!</v>
      </c>
      <c r="AI262" s="79" t="e">
        <f t="shared" si="92"/>
        <v>#REF!</v>
      </c>
      <c r="AJ262" s="79" t="e">
        <f t="shared" si="96"/>
        <v>#REF!</v>
      </c>
      <c r="AK262" s="75" t="e">
        <f>PMT(#REF!,#REF!,-#REF!,0,0)</f>
        <v>#REF!</v>
      </c>
      <c r="AL262" s="75"/>
      <c r="AM262" s="7" t="e">
        <f>AJ262*(#REF!/12)</f>
        <v>#REF!</v>
      </c>
      <c r="AN262" s="7" t="e">
        <f t="shared" si="97"/>
        <v>#REF!</v>
      </c>
      <c r="AO262" s="75" t="e">
        <f t="shared" si="93"/>
        <v>#REF!</v>
      </c>
      <c r="AP262" s="75" t="e">
        <f t="shared" si="98"/>
        <v>#REF!</v>
      </c>
      <c r="AQ262" s="7" t="e">
        <f t="shared" si="95"/>
        <v>#REF!</v>
      </c>
    </row>
    <row r="263" spans="34:43" x14ac:dyDescent="0.25">
      <c r="AH263" s="7" t="e">
        <f t="shared" si="94"/>
        <v>#REF!</v>
      </c>
      <c r="AI263" s="79" t="e">
        <f t="shared" si="92"/>
        <v>#REF!</v>
      </c>
      <c r="AJ263" s="79" t="e">
        <f t="shared" si="96"/>
        <v>#REF!</v>
      </c>
      <c r="AK263" s="75" t="e">
        <f>PMT(#REF!,#REF!,-#REF!,0,0)</f>
        <v>#REF!</v>
      </c>
      <c r="AL263" s="75"/>
      <c r="AM263" s="7" t="e">
        <f>AJ263*(#REF!/12)</f>
        <v>#REF!</v>
      </c>
      <c r="AN263" s="7" t="e">
        <f t="shared" si="97"/>
        <v>#REF!</v>
      </c>
      <c r="AO263" s="75" t="e">
        <f t="shared" si="93"/>
        <v>#REF!</v>
      </c>
      <c r="AP263" s="75" t="e">
        <f t="shared" si="98"/>
        <v>#REF!</v>
      </c>
      <c r="AQ263" s="7" t="e">
        <f t="shared" si="95"/>
        <v>#REF!</v>
      </c>
    </row>
    <row r="264" spans="34:43" x14ac:dyDescent="0.25">
      <c r="AH264" s="7" t="e">
        <f t="shared" si="94"/>
        <v>#REF!</v>
      </c>
      <c r="AI264" s="79" t="e">
        <f t="shared" si="92"/>
        <v>#REF!</v>
      </c>
      <c r="AJ264" s="79" t="e">
        <f t="shared" si="96"/>
        <v>#REF!</v>
      </c>
      <c r="AK264" s="75" t="e">
        <f>PMT(#REF!,#REF!,-#REF!,0,0)</f>
        <v>#REF!</v>
      </c>
      <c r="AL264" s="75"/>
      <c r="AM264" s="7" t="e">
        <f>AJ264*(#REF!/12)</f>
        <v>#REF!</v>
      </c>
      <c r="AN264" s="7" t="e">
        <f t="shared" si="97"/>
        <v>#REF!</v>
      </c>
      <c r="AO264" s="75" t="e">
        <f t="shared" si="93"/>
        <v>#REF!</v>
      </c>
      <c r="AP264" s="75" t="e">
        <f t="shared" si="98"/>
        <v>#REF!</v>
      </c>
      <c r="AQ264" s="7" t="e">
        <f t="shared" si="95"/>
        <v>#REF!</v>
      </c>
    </row>
    <row r="265" spans="34:43" x14ac:dyDescent="0.25">
      <c r="AH265" s="7" t="e">
        <f t="shared" si="94"/>
        <v>#REF!</v>
      </c>
      <c r="AI265" s="79" t="e">
        <f t="shared" si="92"/>
        <v>#REF!</v>
      </c>
      <c r="AJ265" s="79" t="e">
        <f t="shared" si="96"/>
        <v>#REF!</v>
      </c>
      <c r="AK265" s="75" t="e">
        <f>PMT(#REF!,#REF!,-#REF!,0,0)</f>
        <v>#REF!</v>
      </c>
      <c r="AL265" s="75"/>
      <c r="AM265" s="7" t="e">
        <f>AJ265*(#REF!/12)</f>
        <v>#REF!</v>
      </c>
      <c r="AN265" s="7" t="e">
        <f t="shared" si="97"/>
        <v>#REF!</v>
      </c>
      <c r="AO265" s="75" t="e">
        <f t="shared" si="93"/>
        <v>#REF!</v>
      </c>
      <c r="AP265" s="75" t="e">
        <f t="shared" si="98"/>
        <v>#REF!</v>
      </c>
      <c r="AQ265" s="7" t="e">
        <f t="shared" si="95"/>
        <v>#REF!</v>
      </c>
    </row>
    <row r="266" spans="34:43" x14ac:dyDescent="0.25">
      <c r="AH266" s="7" t="e">
        <f t="shared" si="94"/>
        <v>#REF!</v>
      </c>
      <c r="AI266" s="79" t="e">
        <f t="shared" si="92"/>
        <v>#REF!</v>
      </c>
      <c r="AJ266" s="79" t="e">
        <f t="shared" si="96"/>
        <v>#REF!</v>
      </c>
      <c r="AK266" s="75" t="e">
        <f>PMT(#REF!,#REF!,-#REF!,0,0)</f>
        <v>#REF!</v>
      </c>
      <c r="AL266" s="75"/>
      <c r="AM266" s="7" t="e">
        <f>AJ266*(#REF!/12)</f>
        <v>#REF!</v>
      </c>
      <c r="AN266" s="7" t="e">
        <f t="shared" si="97"/>
        <v>#REF!</v>
      </c>
      <c r="AO266" s="75" t="e">
        <f t="shared" si="93"/>
        <v>#REF!</v>
      </c>
      <c r="AP266" s="75" t="e">
        <f t="shared" si="98"/>
        <v>#REF!</v>
      </c>
      <c r="AQ266" s="7" t="e">
        <f t="shared" si="95"/>
        <v>#REF!</v>
      </c>
    </row>
    <row r="267" spans="34:43" x14ac:dyDescent="0.25">
      <c r="AH267" s="7" t="e">
        <f t="shared" si="94"/>
        <v>#REF!</v>
      </c>
      <c r="AI267" s="79" t="e">
        <f t="shared" si="92"/>
        <v>#REF!</v>
      </c>
      <c r="AJ267" s="79" t="e">
        <f t="shared" si="96"/>
        <v>#REF!</v>
      </c>
      <c r="AK267" s="75" t="e">
        <f>PMT(#REF!,#REF!,-#REF!,0,0)</f>
        <v>#REF!</v>
      </c>
      <c r="AL267" s="75"/>
      <c r="AM267" s="7" t="e">
        <f>AJ267*(#REF!/12)</f>
        <v>#REF!</v>
      </c>
      <c r="AN267" s="7" t="e">
        <f t="shared" si="97"/>
        <v>#REF!</v>
      </c>
      <c r="AO267" s="75" t="e">
        <f t="shared" si="93"/>
        <v>#REF!</v>
      </c>
      <c r="AP267" s="75" t="e">
        <f t="shared" si="98"/>
        <v>#REF!</v>
      </c>
      <c r="AQ267" s="7" t="e">
        <f t="shared" si="95"/>
        <v>#REF!</v>
      </c>
    </row>
    <row r="268" spans="34:43" x14ac:dyDescent="0.25">
      <c r="AH268" s="7" t="e">
        <f t="shared" si="94"/>
        <v>#REF!</v>
      </c>
      <c r="AI268" s="79" t="e">
        <f t="shared" si="92"/>
        <v>#REF!</v>
      </c>
      <c r="AJ268" s="79" t="e">
        <f t="shared" si="96"/>
        <v>#REF!</v>
      </c>
      <c r="AK268" s="75" t="e">
        <f>PMT(#REF!,#REF!,-#REF!,0,0)</f>
        <v>#REF!</v>
      </c>
      <c r="AL268" s="75"/>
      <c r="AM268" s="7" t="e">
        <f>AJ268*(#REF!/12)</f>
        <v>#REF!</v>
      </c>
      <c r="AN268" s="7" t="e">
        <f t="shared" si="97"/>
        <v>#REF!</v>
      </c>
      <c r="AO268" s="75" t="e">
        <f t="shared" si="93"/>
        <v>#REF!</v>
      </c>
      <c r="AP268" s="75" t="e">
        <f t="shared" si="98"/>
        <v>#REF!</v>
      </c>
      <c r="AQ268" s="7" t="e">
        <f t="shared" si="95"/>
        <v>#REF!</v>
      </c>
    </row>
    <row r="269" spans="34:43" x14ac:dyDescent="0.25">
      <c r="AH269" s="7" t="e">
        <f t="shared" si="94"/>
        <v>#REF!</v>
      </c>
      <c r="AI269" s="79" t="e">
        <f t="shared" si="92"/>
        <v>#REF!</v>
      </c>
      <c r="AJ269" s="79" t="e">
        <f t="shared" si="96"/>
        <v>#REF!</v>
      </c>
      <c r="AK269" s="75" t="e">
        <f>PMT(#REF!,#REF!,-#REF!,0,0)</f>
        <v>#REF!</v>
      </c>
      <c r="AL269" s="75"/>
      <c r="AM269" s="7" t="e">
        <f>AJ269*(#REF!/12)</f>
        <v>#REF!</v>
      </c>
      <c r="AN269" s="7" t="e">
        <f t="shared" si="97"/>
        <v>#REF!</v>
      </c>
      <c r="AO269" s="75" t="e">
        <f t="shared" si="93"/>
        <v>#REF!</v>
      </c>
      <c r="AP269" s="75" t="e">
        <f t="shared" si="98"/>
        <v>#REF!</v>
      </c>
      <c r="AQ269" s="7" t="e">
        <f t="shared" si="95"/>
        <v>#REF!</v>
      </c>
    </row>
    <row r="270" spans="34:43" x14ac:dyDescent="0.25">
      <c r="AH270" s="7" t="e">
        <f t="shared" si="94"/>
        <v>#REF!</v>
      </c>
      <c r="AI270" s="79" t="e">
        <f t="shared" si="92"/>
        <v>#REF!</v>
      </c>
      <c r="AJ270" s="79" t="e">
        <f t="shared" si="96"/>
        <v>#REF!</v>
      </c>
      <c r="AK270" s="75" t="e">
        <f>PMT(#REF!,#REF!,-#REF!,0,0)</f>
        <v>#REF!</v>
      </c>
      <c r="AL270" s="75"/>
      <c r="AM270" s="7" t="e">
        <f>AJ270*(#REF!/12)</f>
        <v>#REF!</v>
      </c>
      <c r="AN270" s="7" t="e">
        <f t="shared" si="97"/>
        <v>#REF!</v>
      </c>
      <c r="AO270" s="75" t="e">
        <f t="shared" si="93"/>
        <v>#REF!</v>
      </c>
      <c r="AP270" s="75" t="e">
        <f t="shared" si="98"/>
        <v>#REF!</v>
      </c>
      <c r="AQ270" s="7" t="e">
        <f t="shared" si="95"/>
        <v>#REF!</v>
      </c>
    </row>
    <row r="271" spans="34:43" x14ac:dyDescent="0.25">
      <c r="AH271" s="7" t="e">
        <f t="shared" si="94"/>
        <v>#REF!</v>
      </c>
      <c r="AI271" s="79" t="e">
        <f t="shared" si="92"/>
        <v>#REF!</v>
      </c>
      <c r="AJ271" s="79" t="e">
        <f t="shared" si="96"/>
        <v>#REF!</v>
      </c>
      <c r="AK271" s="75" t="e">
        <f>PMT(#REF!,#REF!,-#REF!,0,0)</f>
        <v>#REF!</v>
      </c>
      <c r="AL271" s="75"/>
      <c r="AM271" s="7" t="e">
        <f>AJ271*(#REF!/12)</f>
        <v>#REF!</v>
      </c>
      <c r="AN271" s="7" t="e">
        <f t="shared" si="97"/>
        <v>#REF!</v>
      </c>
      <c r="AO271" s="75" t="e">
        <f t="shared" si="93"/>
        <v>#REF!</v>
      </c>
      <c r="AP271" s="75" t="e">
        <f t="shared" si="98"/>
        <v>#REF!</v>
      </c>
      <c r="AQ271" s="7" t="e">
        <f t="shared" si="95"/>
        <v>#REF!</v>
      </c>
    </row>
    <row r="272" spans="34:43" x14ac:dyDescent="0.25">
      <c r="AH272" s="7" t="e">
        <f t="shared" si="94"/>
        <v>#REF!</v>
      </c>
      <c r="AI272" s="79" t="e">
        <f t="shared" si="92"/>
        <v>#REF!</v>
      </c>
      <c r="AJ272" s="79" t="e">
        <f t="shared" si="96"/>
        <v>#REF!</v>
      </c>
      <c r="AK272" s="75" t="e">
        <f>PMT(#REF!,#REF!,-#REF!,0,0)</f>
        <v>#REF!</v>
      </c>
      <c r="AL272" s="75"/>
      <c r="AM272" s="7" t="e">
        <f>AJ272*(#REF!/12)</f>
        <v>#REF!</v>
      </c>
      <c r="AN272" s="7" t="e">
        <f t="shared" si="97"/>
        <v>#REF!</v>
      </c>
      <c r="AO272" s="75" t="e">
        <f t="shared" si="93"/>
        <v>#REF!</v>
      </c>
      <c r="AP272" s="75" t="e">
        <f t="shared" si="98"/>
        <v>#REF!</v>
      </c>
      <c r="AQ272" s="7" t="e">
        <f t="shared" si="95"/>
        <v>#REF!</v>
      </c>
    </row>
    <row r="273" spans="34:43" x14ac:dyDescent="0.25">
      <c r="AH273" s="7" t="e">
        <f t="shared" si="94"/>
        <v>#REF!</v>
      </c>
      <c r="AI273" s="79" t="e">
        <f t="shared" si="92"/>
        <v>#REF!</v>
      </c>
      <c r="AJ273" s="79" t="e">
        <f t="shared" si="96"/>
        <v>#REF!</v>
      </c>
      <c r="AK273" s="75" t="e">
        <f>PMT(#REF!,#REF!,-#REF!,0,0)</f>
        <v>#REF!</v>
      </c>
      <c r="AL273" s="75"/>
      <c r="AM273" s="7" t="e">
        <f>AJ273*(#REF!/12)</f>
        <v>#REF!</v>
      </c>
      <c r="AN273" s="7" t="e">
        <f t="shared" si="97"/>
        <v>#REF!</v>
      </c>
      <c r="AO273" s="75" t="e">
        <f t="shared" si="93"/>
        <v>#REF!</v>
      </c>
      <c r="AP273" s="75" t="e">
        <f t="shared" si="98"/>
        <v>#REF!</v>
      </c>
      <c r="AQ273" s="7" t="e">
        <f t="shared" si="95"/>
        <v>#REF!</v>
      </c>
    </row>
    <row r="274" spans="34:43" x14ac:dyDescent="0.25">
      <c r="AH274" s="7" t="e">
        <f t="shared" si="94"/>
        <v>#REF!</v>
      </c>
      <c r="AI274" s="79" t="e">
        <f t="shared" si="92"/>
        <v>#REF!</v>
      </c>
      <c r="AJ274" s="79" t="e">
        <f t="shared" si="96"/>
        <v>#REF!</v>
      </c>
      <c r="AK274" s="75" t="e">
        <f>PMT(#REF!,#REF!,-#REF!,0,0)</f>
        <v>#REF!</v>
      </c>
      <c r="AL274" s="75"/>
      <c r="AM274" s="7" t="e">
        <f>AJ274*(#REF!/12)</f>
        <v>#REF!</v>
      </c>
      <c r="AN274" s="7" t="e">
        <f t="shared" si="97"/>
        <v>#REF!</v>
      </c>
      <c r="AO274" s="75" t="e">
        <f t="shared" si="93"/>
        <v>#REF!</v>
      </c>
      <c r="AP274" s="75" t="e">
        <f t="shared" si="98"/>
        <v>#REF!</v>
      </c>
      <c r="AQ274" s="7" t="e">
        <f t="shared" si="95"/>
        <v>#REF!</v>
      </c>
    </row>
    <row r="275" spans="34:43" x14ac:dyDescent="0.25">
      <c r="AH275" s="7" t="e">
        <f t="shared" si="94"/>
        <v>#REF!</v>
      </c>
      <c r="AI275" s="79" t="e">
        <f t="shared" si="92"/>
        <v>#REF!</v>
      </c>
      <c r="AJ275" s="79" t="e">
        <f t="shared" si="96"/>
        <v>#REF!</v>
      </c>
      <c r="AK275" s="75" t="e">
        <f>PMT(#REF!,#REF!,-#REF!,0,0)</f>
        <v>#REF!</v>
      </c>
      <c r="AL275" s="75"/>
      <c r="AM275" s="7" t="e">
        <f>AJ275*(#REF!/12)</f>
        <v>#REF!</v>
      </c>
      <c r="AN275" s="7" t="e">
        <f t="shared" si="97"/>
        <v>#REF!</v>
      </c>
      <c r="AO275" s="75" t="e">
        <f t="shared" si="93"/>
        <v>#REF!</v>
      </c>
      <c r="AP275" s="75" t="e">
        <f t="shared" si="98"/>
        <v>#REF!</v>
      </c>
      <c r="AQ275" s="7" t="e">
        <f t="shared" si="95"/>
        <v>#REF!</v>
      </c>
    </row>
    <row r="276" spans="34:43" x14ac:dyDescent="0.25">
      <c r="AH276" s="7" t="e">
        <f t="shared" si="94"/>
        <v>#REF!</v>
      </c>
      <c r="AI276" s="79" t="e">
        <f t="shared" si="92"/>
        <v>#REF!</v>
      </c>
      <c r="AJ276" s="79" t="e">
        <f t="shared" si="96"/>
        <v>#REF!</v>
      </c>
      <c r="AK276" s="75" t="e">
        <f>PMT(#REF!,#REF!,-#REF!,0,0)</f>
        <v>#REF!</v>
      </c>
      <c r="AL276" s="75"/>
      <c r="AM276" s="7" t="e">
        <f>AJ276*(#REF!/12)</f>
        <v>#REF!</v>
      </c>
      <c r="AN276" s="7" t="e">
        <f t="shared" si="97"/>
        <v>#REF!</v>
      </c>
      <c r="AO276" s="75" t="e">
        <f t="shared" si="93"/>
        <v>#REF!</v>
      </c>
      <c r="AP276" s="75" t="e">
        <f t="shared" si="98"/>
        <v>#REF!</v>
      </c>
      <c r="AQ276" s="7" t="e">
        <f t="shared" si="95"/>
        <v>#REF!</v>
      </c>
    </row>
    <row r="277" spans="34:43" x14ac:dyDescent="0.25">
      <c r="AH277" s="7" t="e">
        <f t="shared" si="94"/>
        <v>#REF!</v>
      </c>
      <c r="AI277" s="79" t="e">
        <f t="shared" si="92"/>
        <v>#REF!</v>
      </c>
      <c r="AJ277" s="79" t="e">
        <f t="shared" si="96"/>
        <v>#REF!</v>
      </c>
      <c r="AK277" s="75" t="e">
        <f>PMT(#REF!,#REF!,-#REF!,0,0)</f>
        <v>#REF!</v>
      </c>
      <c r="AL277" s="75"/>
      <c r="AM277" s="7" t="e">
        <f>AJ277*(#REF!/12)</f>
        <v>#REF!</v>
      </c>
      <c r="AN277" s="7" t="e">
        <f t="shared" si="97"/>
        <v>#REF!</v>
      </c>
      <c r="AO277" s="75" t="e">
        <f t="shared" si="93"/>
        <v>#REF!</v>
      </c>
      <c r="AP277" s="75" t="e">
        <f t="shared" si="98"/>
        <v>#REF!</v>
      </c>
      <c r="AQ277" s="7" t="e">
        <f t="shared" si="95"/>
        <v>#REF!</v>
      </c>
    </row>
    <row r="278" spans="34:43" x14ac:dyDescent="0.25">
      <c r="AH278" s="7" t="e">
        <f t="shared" si="94"/>
        <v>#REF!</v>
      </c>
      <c r="AI278" s="79" t="e">
        <f t="shared" si="92"/>
        <v>#REF!</v>
      </c>
      <c r="AJ278" s="79" t="e">
        <f t="shared" si="96"/>
        <v>#REF!</v>
      </c>
      <c r="AK278" s="75" t="e">
        <f>PMT(#REF!,#REF!,-#REF!,0,0)</f>
        <v>#REF!</v>
      </c>
      <c r="AL278" s="75"/>
      <c r="AM278" s="7" t="e">
        <f>AJ278*(#REF!/12)</f>
        <v>#REF!</v>
      </c>
      <c r="AN278" s="7" t="e">
        <f t="shared" si="97"/>
        <v>#REF!</v>
      </c>
      <c r="AO278" s="75" t="e">
        <f t="shared" si="93"/>
        <v>#REF!</v>
      </c>
      <c r="AP278" s="75" t="e">
        <f t="shared" si="98"/>
        <v>#REF!</v>
      </c>
      <c r="AQ278" s="7" t="e">
        <f t="shared" si="95"/>
        <v>#REF!</v>
      </c>
    </row>
    <row r="279" spans="34:43" x14ac:dyDescent="0.25">
      <c r="AH279" s="7" t="e">
        <f t="shared" si="94"/>
        <v>#REF!</v>
      </c>
      <c r="AI279" s="79" t="e">
        <f t="shared" si="92"/>
        <v>#REF!</v>
      </c>
      <c r="AJ279" s="79" t="e">
        <f t="shared" si="96"/>
        <v>#REF!</v>
      </c>
      <c r="AK279" s="75" t="e">
        <f>PMT(#REF!,#REF!,-#REF!,0,0)</f>
        <v>#REF!</v>
      </c>
      <c r="AL279" s="75"/>
      <c r="AM279" s="7" t="e">
        <f>AJ279*(#REF!/12)</f>
        <v>#REF!</v>
      </c>
      <c r="AN279" s="7" t="e">
        <f t="shared" si="97"/>
        <v>#REF!</v>
      </c>
      <c r="AO279" s="75" t="e">
        <f t="shared" si="93"/>
        <v>#REF!</v>
      </c>
      <c r="AP279" s="75" t="e">
        <f t="shared" si="98"/>
        <v>#REF!</v>
      </c>
      <c r="AQ279" s="7" t="e">
        <f t="shared" si="95"/>
        <v>#REF!</v>
      </c>
    </row>
    <row r="280" spans="34:43" x14ac:dyDescent="0.25">
      <c r="AH280" s="7" t="e">
        <f t="shared" si="94"/>
        <v>#REF!</v>
      </c>
      <c r="AI280" s="79" t="e">
        <f t="shared" si="92"/>
        <v>#REF!</v>
      </c>
      <c r="AJ280" s="79" t="e">
        <f t="shared" si="96"/>
        <v>#REF!</v>
      </c>
      <c r="AK280" s="75" t="e">
        <f>PMT(#REF!,#REF!,-#REF!,0,0)</f>
        <v>#REF!</v>
      </c>
      <c r="AL280" s="75"/>
      <c r="AM280" s="7" t="e">
        <f>AJ280*(#REF!/12)</f>
        <v>#REF!</v>
      </c>
      <c r="AN280" s="7" t="e">
        <f t="shared" si="97"/>
        <v>#REF!</v>
      </c>
      <c r="AO280" s="75" t="e">
        <f t="shared" si="93"/>
        <v>#REF!</v>
      </c>
      <c r="AP280" s="75" t="e">
        <f t="shared" si="98"/>
        <v>#REF!</v>
      </c>
      <c r="AQ280" s="7" t="e">
        <f t="shared" si="95"/>
        <v>#REF!</v>
      </c>
    </row>
    <row r="281" spans="34:43" x14ac:dyDescent="0.25">
      <c r="AH281" s="7" t="e">
        <f t="shared" si="94"/>
        <v>#REF!</v>
      </c>
      <c r="AI281" s="79" t="e">
        <f t="shared" si="92"/>
        <v>#REF!</v>
      </c>
      <c r="AJ281" s="79" t="e">
        <f t="shared" si="96"/>
        <v>#REF!</v>
      </c>
      <c r="AK281" s="75" t="e">
        <f>PMT(#REF!,#REF!,-#REF!,0,0)</f>
        <v>#REF!</v>
      </c>
      <c r="AL281" s="75"/>
      <c r="AM281" s="7" t="e">
        <f>AJ281*(#REF!/12)</f>
        <v>#REF!</v>
      </c>
      <c r="AN281" s="7" t="e">
        <f t="shared" si="97"/>
        <v>#REF!</v>
      </c>
      <c r="AO281" s="75" t="e">
        <f t="shared" si="93"/>
        <v>#REF!</v>
      </c>
      <c r="AP281" s="75" t="e">
        <f t="shared" si="98"/>
        <v>#REF!</v>
      </c>
      <c r="AQ281" s="7" t="e">
        <f t="shared" si="95"/>
        <v>#REF!</v>
      </c>
    </row>
    <row r="282" spans="34:43" x14ac:dyDescent="0.25">
      <c r="AH282" s="7" t="e">
        <f t="shared" si="94"/>
        <v>#REF!</v>
      </c>
      <c r="AI282" s="79" t="e">
        <f t="shared" si="92"/>
        <v>#REF!</v>
      </c>
      <c r="AJ282" s="79" t="e">
        <f t="shared" si="96"/>
        <v>#REF!</v>
      </c>
      <c r="AK282" s="75" t="e">
        <f>PMT(#REF!,#REF!,-#REF!,0,0)</f>
        <v>#REF!</v>
      </c>
      <c r="AL282" s="75"/>
      <c r="AM282" s="7" t="e">
        <f>AJ282*(#REF!/12)</f>
        <v>#REF!</v>
      </c>
      <c r="AN282" s="7" t="e">
        <f t="shared" si="97"/>
        <v>#REF!</v>
      </c>
      <c r="AO282" s="75" t="e">
        <f t="shared" si="93"/>
        <v>#REF!</v>
      </c>
      <c r="AP282" s="75" t="e">
        <f t="shared" si="98"/>
        <v>#REF!</v>
      </c>
      <c r="AQ282" s="7" t="e">
        <f t="shared" si="95"/>
        <v>#REF!</v>
      </c>
    </row>
    <row r="283" spans="34:43" x14ac:dyDescent="0.25">
      <c r="AH283" s="7" t="e">
        <f t="shared" si="94"/>
        <v>#REF!</v>
      </c>
      <c r="AI283" s="79" t="e">
        <f t="shared" si="92"/>
        <v>#REF!</v>
      </c>
      <c r="AJ283" s="79" t="e">
        <f t="shared" si="96"/>
        <v>#REF!</v>
      </c>
      <c r="AK283" s="75" t="e">
        <f>PMT(#REF!,#REF!,-#REF!,0,0)</f>
        <v>#REF!</v>
      </c>
      <c r="AL283" s="75"/>
      <c r="AM283" s="7" t="e">
        <f>AJ283*(#REF!/12)</f>
        <v>#REF!</v>
      </c>
      <c r="AN283" s="7" t="e">
        <f t="shared" si="97"/>
        <v>#REF!</v>
      </c>
      <c r="AO283" s="75" t="e">
        <f t="shared" si="93"/>
        <v>#REF!</v>
      </c>
      <c r="AP283" s="75" t="e">
        <f t="shared" si="98"/>
        <v>#REF!</v>
      </c>
      <c r="AQ283" s="7" t="e">
        <f t="shared" si="95"/>
        <v>#REF!</v>
      </c>
    </row>
    <row r="284" spans="34:43" x14ac:dyDescent="0.25">
      <c r="AH284" s="7" t="e">
        <f t="shared" si="94"/>
        <v>#REF!</v>
      </c>
      <c r="AI284" s="79" t="e">
        <f t="shared" si="92"/>
        <v>#REF!</v>
      </c>
      <c r="AJ284" s="79" t="e">
        <f t="shared" si="96"/>
        <v>#REF!</v>
      </c>
      <c r="AK284" s="75" t="e">
        <f>PMT(#REF!,#REF!,-#REF!,0,0)</f>
        <v>#REF!</v>
      </c>
      <c r="AL284" s="75"/>
      <c r="AM284" s="7" t="e">
        <f>AJ284*(#REF!/12)</f>
        <v>#REF!</v>
      </c>
      <c r="AN284" s="7" t="e">
        <f t="shared" si="97"/>
        <v>#REF!</v>
      </c>
      <c r="AO284" s="75" t="e">
        <f t="shared" si="93"/>
        <v>#REF!</v>
      </c>
      <c r="AP284" s="75" t="e">
        <f t="shared" si="98"/>
        <v>#REF!</v>
      </c>
      <c r="AQ284" s="7" t="e">
        <f t="shared" si="95"/>
        <v>#REF!</v>
      </c>
    </row>
    <row r="285" spans="34:43" x14ac:dyDescent="0.25">
      <c r="AH285" s="7" t="e">
        <f t="shared" si="94"/>
        <v>#REF!</v>
      </c>
      <c r="AI285" s="79" t="e">
        <f t="shared" si="92"/>
        <v>#REF!</v>
      </c>
      <c r="AJ285" s="79" t="e">
        <f t="shared" si="96"/>
        <v>#REF!</v>
      </c>
      <c r="AK285" s="75" t="e">
        <f>PMT(#REF!,#REF!,-#REF!,0,0)</f>
        <v>#REF!</v>
      </c>
      <c r="AL285" s="75"/>
      <c r="AM285" s="7" t="e">
        <f>AJ285*(#REF!/12)</f>
        <v>#REF!</v>
      </c>
      <c r="AN285" s="7" t="e">
        <f t="shared" si="97"/>
        <v>#REF!</v>
      </c>
      <c r="AO285" s="75" t="e">
        <f t="shared" si="93"/>
        <v>#REF!</v>
      </c>
      <c r="AP285" s="75" t="e">
        <f t="shared" si="98"/>
        <v>#REF!</v>
      </c>
      <c r="AQ285" s="7" t="e">
        <f t="shared" si="95"/>
        <v>#REF!</v>
      </c>
    </row>
    <row r="286" spans="34:43" x14ac:dyDescent="0.25">
      <c r="AH286" s="7" t="e">
        <f t="shared" si="94"/>
        <v>#REF!</v>
      </c>
      <c r="AI286" s="79" t="e">
        <f t="shared" si="92"/>
        <v>#REF!</v>
      </c>
      <c r="AJ286" s="79" t="e">
        <f t="shared" si="96"/>
        <v>#REF!</v>
      </c>
      <c r="AK286" s="75" t="e">
        <f>PMT(#REF!,#REF!,-#REF!,0,0)</f>
        <v>#REF!</v>
      </c>
      <c r="AL286" s="75"/>
      <c r="AM286" s="7" t="e">
        <f>AJ286*(#REF!/12)</f>
        <v>#REF!</v>
      </c>
      <c r="AN286" s="7" t="e">
        <f t="shared" si="97"/>
        <v>#REF!</v>
      </c>
      <c r="AO286" s="75" t="e">
        <f t="shared" si="93"/>
        <v>#REF!</v>
      </c>
      <c r="AP286" s="75" t="e">
        <f t="shared" si="98"/>
        <v>#REF!</v>
      </c>
      <c r="AQ286" s="7" t="e">
        <f t="shared" si="95"/>
        <v>#REF!</v>
      </c>
    </row>
    <row r="287" spans="34:43" x14ac:dyDescent="0.25">
      <c r="AH287" s="7" t="e">
        <f t="shared" si="94"/>
        <v>#REF!</v>
      </c>
      <c r="AI287" s="79" t="e">
        <f t="shared" si="92"/>
        <v>#REF!</v>
      </c>
      <c r="AJ287" s="79" t="e">
        <f t="shared" si="96"/>
        <v>#REF!</v>
      </c>
      <c r="AK287" s="75" t="e">
        <f>PMT(#REF!,#REF!,-#REF!,0,0)</f>
        <v>#REF!</v>
      </c>
      <c r="AL287" s="75"/>
      <c r="AM287" s="7" t="e">
        <f>AJ287*(#REF!/12)</f>
        <v>#REF!</v>
      </c>
      <c r="AN287" s="7" t="e">
        <f t="shared" si="97"/>
        <v>#REF!</v>
      </c>
      <c r="AO287" s="75" t="e">
        <f t="shared" si="93"/>
        <v>#REF!</v>
      </c>
      <c r="AP287" s="75" t="e">
        <f t="shared" si="98"/>
        <v>#REF!</v>
      </c>
      <c r="AQ287" s="7" t="e">
        <f t="shared" si="95"/>
        <v>#REF!</v>
      </c>
    </row>
    <row r="288" spans="34:43" x14ac:dyDescent="0.25">
      <c r="AH288" s="7" t="e">
        <f t="shared" si="94"/>
        <v>#REF!</v>
      </c>
      <c r="AI288" s="79" t="e">
        <f t="shared" si="92"/>
        <v>#REF!</v>
      </c>
      <c r="AJ288" s="79" t="e">
        <f t="shared" si="96"/>
        <v>#REF!</v>
      </c>
      <c r="AK288" s="75" t="e">
        <f>PMT(#REF!,#REF!,-#REF!,0,0)</f>
        <v>#REF!</v>
      </c>
      <c r="AL288" s="75"/>
      <c r="AM288" s="7" t="e">
        <f>AJ288*(#REF!/12)</f>
        <v>#REF!</v>
      </c>
      <c r="AN288" s="7" t="e">
        <f t="shared" si="97"/>
        <v>#REF!</v>
      </c>
      <c r="AO288" s="75" t="e">
        <f t="shared" si="93"/>
        <v>#REF!</v>
      </c>
      <c r="AP288" s="75" t="e">
        <f t="shared" si="98"/>
        <v>#REF!</v>
      </c>
      <c r="AQ288" s="7" t="e">
        <f t="shared" si="95"/>
        <v>#REF!</v>
      </c>
    </row>
    <row r="289" spans="34:43" x14ac:dyDescent="0.25">
      <c r="AH289" s="7" t="e">
        <f t="shared" si="94"/>
        <v>#REF!</v>
      </c>
      <c r="AI289" s="79" t="e">
        <f t="shared" si="92"/>
        <v>#REF!</v>
      </c>
      <c r="AJ289" s="79" t="e">
        <f t="shared" si="96"/>
        <v>#REF!</v>
      </c>
      <c r="AK289" s="75" t="e">
        <f>PMT(#REF!,#REF!,-#REF!,0,0)</f>
        <v>#REF!</v>
      </c>
      <c r="AL289" s="75"/>
      <c r="AM289" s="7" t="e">
        <f>AJ289*(#REF!/12)</f>
        <v>#REF!</v>
      </c>
      <c r="AN289" s="7" t="e">
        <f t="shared" si="97"/>
        <v>#REF!</v>
      </c>
      <c r="AO289" s="75" t="e">
        <f t="shared" si="93"/>
        <v>#REF!</v>
      </c>
      <c r="AP289" s="75" t="e">
        <f t="shared" si="98"/>
        <v>#REF!</v>
      </c>
      <c r="AQ289" s="7" t="e">
        <f t="shared" si="95"/>
        <v>#REF!</v>
      </c>
    </row>
    <row r="290" spans="34:43" x14ac:dyDescent="0.25">
      <c r="AH290" s="7" t="e">
        <f t="shared" si="94"/>
        <v>#REF!</v>
      </c>
      <c r="AI290" s="79" t="e">
        <f t="shared" si="92"/>
        <v>#REF!</v>
      </c>
      <c r="AJ290" s="79" t="e">
        <f t="shared" si="96"/>
        <v>#REF!</v>
      </c>
      <c r="AK290" s="75" t="e">
        <f>PMT(#REF!,#REF!,-#REF!,0,0)</f>
        <v>#REF!</v>
      </c>
      <c r="AL290" s="75"/>
      <c r="AM290" s="7" t="e">
        <f>AJ290*(#REF!/12)</f>
        <v>#REF!</v>
      </c>
      <c r="AN290" s="7" t="e">
        <f t="shared" si="97"/>
        <v>#REF!</v>
      </c>
      <c r="AO290" s="75" t="e">
        <f t="shared" si="93"/>
        <v>#REF!</v>
      </c>
      <c r="AP290" s="75" t="e">
        <f t="shared" si="98"/>
        <v>#REF!</v>
      </c>
      <c r="AQ290" s="7" t="e">
        <f t="shared" si="95"/>
        <v>#REF!</v>
      </c>
    </row>
    <row r="291" spans="34:43" x14ac:dyDescent="0.25">
      <c r="AH291" s="7" t="e">
        <f t="shared" si="94"/>
        <v>#REF!</v>
      </c>
      <c r="AI291" s="79" t="e">
        <f t="shared" si="92"/>
        <v>#REF!</v>
      </c>
      <c r="AJ291" s="79" t="e">
        <f t="shared" si="96"/>
        <v>#REF!</v>
      </c>
      <c r="AK291" s="75" t="e">
        <f>PMT(#REF!,#REF!,-#REF!,0,0)</f>
        <v>#REF!</v>
      </c>
      <c r="AL291" s="75"/>
      <c r="AM291" s="7" t="e">
        <f>AJ291*(#REF!/12)</f>
        <v>#REF!</v>
      </c>
      <c r="AN291" s="7" t="e">
        <f t="shared" si="97"/>
        <v>#REF!</v>
      </c>
      <c r="AO291" s="75" t="e">
        <f t="shared" si="93"/>
        <v>#REF!</v>
      </c>
      <c r="AP291" s="75" t="e">
        <f t="shared" si="98"/>
        <v>#REF!</v>
      </c>
      <c r="AQ291" s="7" t="e">
        <f t="shared" si="95"/>
        <v>#REF!</v>
      </c>
    </row>
    <row r="292" spans="34:43" x14ac:dyDescent="0.25">
      <c r="AH292" s="7" t="e">
        <f t="shared" si="94"/>
        <v>#REF!</v>
      </c>
      <c r="AI292" s="79" t="e">
        <f t="shared" si="92"/>
        <v>#REF!</v>
      </c>
      <c r="AJ292" s="79" t="e">
        <f t="shared" si="96"/>
        <v>#REF!</v>
      </c>
      <c r="AK292" s="75" t="e">
        <f>PMT(#REF!,#REF!,-#REF!,0,0)</f>
        <v>#REF!</v>
      </c>
      <c r="AL292" s="75"/>
      <c r="AM292" s="7" t="e">
        <f>AJ292*(#REF!/12)</f>
        <v>#REF!</v>
      </c>
      <c r="AN292" s="7" t="e">
        <f t="shared" si="97"/>
        <v>#REF!</v>
      </c>
      <c r="AO292" s="75" t="e">
        <f t="shared" si="93"/>
        <v>#REF!</v>
      </c>
      <c r="AP292" s="75" t="e">
        <f t="shared" si="98"/>
        <v>#REF!</v>
      </c>
      <c r="AQ292" s="7" t="e">
        <f t="shared" si="95"/>
        <v>#REF!</v>
      </c>
    </row>
    <row r="293" spans="34:43" x14ac:dyDescent="0.25">
      <c r="AH293" s="7" t="e">
        <f t="shared" si="94"/>
        <v>#REF!</v>
      </c>
      <c r="AI293" s="79" t="e">
        <f t="shared" si="92"/>
        <v>#REF!</v>
      </c>
      <c r="AJ293" s="79" t="e">
        <f t="shared" si="96"/>
        <v>#REF!</v>
      </c>
      <c r="AK293" s="75" t="e">
        <f>PMT(#REF!,#REF!,-#REF!,0,0)</f>
        <v>#REF!</v>
      </c>
      <c r="AL293" s="75"/>
      <c r="AM293" s="7" t="e">
        <f>AJ293*(#REF!/12)</f>
        <v>#REF!</v>
      </c>
      <c r="AN293" s="7" t="e">
        <f t="shared" si="97"/>
        <v>#REF!</v>
      </c>
      <c r="AO293" s="75" t="e">
        <f t="shared" si="93"/>
        <v>#REF!</v>
      </c>
      <c r="AP293" s="75" t="e">
        <f t="shared" si="98"/>
        <v>#REF!</v>
      </c>
      <c r="AQ293" s="7" t="e">
        <f t="shared" si="95"/>
        <v>#REF!</v>
      </c>
    </row>
    <row r="294" spans="34:43" x14ac:dyDescent="0.25">
      <c r="AH294" s="7" t="e">
        <f t="shared" si="94"/>
        <v>#REF!</v>
      </c>
      <c r="AI294" s="79" t="e">
        <f t="shared" si="92"/>
        <v>#REF!</v>
      </c>
      <c r="AJ294" s="79" t="e">
        <f t="shared" si="96"/>
        <v>#REF!</v>
      </c>
      <c r="AK294" s="75" t="e">
        <f>PMT(#REF!,#REF!,-#REF!,0,0)</f>
        <v>#REF!</v>
      </c>
      <c r="AL294" s="75"/>
      <c r="AM294" s="7" t="e">
        <f>AJ294*(#REF!/12)</f>
        <v>#REF!</v>
      </c>
      <c r="AN294" s="7" t="e">
        <f t="shared" si="97"/>
        <v>#REF!</v>
      </c>
      <c r="AO294" s="75" t="e">
        <f t="shared" si="93"/>
        <v>#REF!</v>
      </c>
      <c r="AP294" s="75" t="e">
        <f t="shared" si="98"/>
        <v>#REF!</v>
      </c>
      <c r="AQ294" s="7" t="e">
        <f t="shared" si="95"/>
        <v>#REF!</v>
      </c>
    </row>
    <row r="295" spans="34:43" x14ac:dyDescent="0.25">
      <c r="AH295" s="7" t="e">
        <f t="shared" si="94"/>
        <v>#REF!</v>
      </c>
      <c r="AI295" s="79" t="e">
        <f t="shared" si="92"/>
        <v>#REF!</v>
      </c>
      <c r="AJ295" s="79" t="e">
        <f t="shared" si="96"/>
        <v>#REF!</v>
      </c>
      <c r="AK295" s="75" t="e">
        <f>PMT(#REF!,#REF!,-#REF!,0,0)</f>
        <v>#REF!</v>
      </c>
      <c r="AL295" s="75"/>
      <c r="AM295" s="7" t="e">
        <f>AJ295*(#REF!/12)</f>
        <v>#REF!</v>
      </c>
      <c r="AN295" s="7" t="e">
        <f t="shared" si="97"/>
        <v>#REF!</v>
      </c>
      <c r="AO295" s="75" t="e">
        <f t="shared" si="93"/>
        <v>#REF!</v>
      </c>
      <c r="AP295" s="75" t="e">
        <f t="shared" si="98"/>
        <v>#REF!</v>
      </c>
      <c r="AQ295" s="7" t="e">
        <f t="shared" si="95"/>
        <v>#REF!</v>
      </c>
    </row>
    <row r="296" spans="34:43" x14ac:dyDescent="0.25">
      <c r="AH296" s="7" t="e">
        <f t="shared" si="94"/>
        <v>#REF!</v>
      </c>
      <c r="AI296" s="79" t="e">
        <f t="shared" si="92"/>
        <v>#REF!</v>
      </c>
      <c r="AJ296" s="79" t="e">
        <f t="shared" si="96"/>
        <v>#REF!</v>
      </c>
      <c r="AK296" s="75" t="e">
        <f>PMT(#REF!,#REF!,-#REF!,0,0)</f>
        <v>#REF!</v>
      </c>
      <c r="AL296" s="75"/>
      <c r="AM296" s="7" t="e">
        <f>AJ296*(#REF!/12)</f>
        <v>#REF!</v>
      </c>
      <c r="AN296" s="7" t="e">
        <f t="shared" si="97"/>
        <v>#REF!</v>
      </c>
      <c r="AO296" s="75" t="e">
        <f t="shared" si="93"/>
        <v>#REF!</v>
      </c>
      <c r="AP296" s="75" t="e">
        <f t="shared" si="98"/>
        <v>#REF!</v>
      </c>
      <c r="AQ296" s="7" t="e">
        <f t="shared" si="95"/>
        <v>#REF!</v>
      </c>
    </row>
    <row r="297" spans="34:43" x14ac:dyDescent="0.25">
      <c r="AH297" s="7" t="e">
        <f t="shared" si="94"/>
        <v>#REF!</v>
      </c>
      <c r="AI297" s="79" t="e">
        <f t="shared" si="92"/>
        <v>#REF!</v>
      </c>
      <c r="AJ297" s="79" t="e">
        <f t="shared" si="96"/>
        <v>#REF!</v>
      </c>
      <c r="AK297" s="75" t="e">
        <f>PMT(#REF!,#REF!,-#REF!,0,0)</f>
        <v>#REF!</v>
      </c>
      <c r="AL297" s="75"/>
      <c r="AM297" s="7" t="e">
        <f>AJ297*(#REF!/12)</f>
        <v>#REF!</v>
      </c>
      <c r="AN297" s="7" t="e">
        <f t="shared" si="97"/>
        <v>#REF!</v>
      </c>
      <c r="AO297" s="75" t="e">
        <f t="shared" si="93"/>
        <v>#REF!</v>
      </c>
      <c r="AP297" s="75" t="e">
        <f t="shared" si="98"/>
        <v>#REF!</v>
      </c>
      <c r="AQ297" s="7" t="e">
        <f t="shared" si="95"/>
        <v>#REF!</v>
      </c>
    </row>
    <row r="298" spans="34:43" x14ac:dyDescent="0.25">
      <c r="AH298" s="7" t="e">
        <f t="shared" si="94"/>
        <v>#REF!</v>
      </c>
      <c r="AI298" s="79" t="e">
        <f t="shared" si="92"/>
        <v>#REF!</v>
      </c>
      <c r="AJ298" s="79" t="e">
        <f t="shared" si="96"/>
        <v>#REF!</v>
      </c>
      <c r="AK298" s="75" t="e">
        <f>PMT(#REF!,#REF!,-#REF!,0,0)</f>
        <v>#REF!</v>
      </c>
      <c r="AL298" s="75"/>
      <c r="AM298" s="7" t="e">
        <f>AJ298*(#REF!/12)</f>
        <v>#REF!</v>
      </c>
      <c r="AN298" s="7" t="e">
        <f t="shared" si="97"/>
        <v>#REF!</v>
      </c>
      <c r="AO298" s="75" t="e">
        <f t="shared" si="93"/>
        <v>#REF!</v>
      </c>
      <c r="AP298" s="75" t="e">
        <f t="shared" si="98"/>
        <v>#REF!</v>
      </c>
      <c r="AQ298" s="7" t="e">
        <f t="shared" si="95"/>
        <v>#REF!</v>
      </c>
    </row>
    <row r="299" spans="34:43" x14ac:dyDescent="0.25">
      <c r="AH299" s="7" t="e">
        <f t="shared" si="94"/>
        <v>#REF!</v>
      </c>
      <c r="AI299" s="79" t="e">
        <f t="shared" si="92"/>
        <v>#REF!</v>
      </c>
      <c r="AJ299" s="79" t="e">
        <f t="shared" si="96"/>
        <v>#REF!</v>
      </c>
      <c r="AK299" s="75" t="e">
        <f>PMT(#REF!,#REF!,-#REF!,0,0)</f>
        <v>#REF!</v>
      </c>
      <c r="AL299" s="75"/>
      <c r="AM299" s="7" t="e">
        <f>AJ299*(#REF!/12)</f>
        <v>#REF!</v>
      </c>
      <c r="AN299" s="7" t="e">
        <f t="shared" si="97"/>
        <v>#REF!</v>
      </c>
      <c r="AO299" s="75" t="e">
        <f t="shared" si="93"/>
        <v>#REF!</v>
      </c>
      <c r="AP299" s="75" t="e">
        <f t="shared" si="98"/>
        <v>#REF!</v>
      </c>
      <c r="AQ299" s="7" t="e">
        <f t="shared" si="95"/>
        <v>#REF!</v>
      </c>
    </row>
    <row r="300" spans="34:43" x14ac:dyDescent="0.25">
      <c r="AH300" s="7" t="e">
        <f t="shared" si="94"/>
        <v>#REF!</v>
      </c>
      <c r="AI300" s="79" t="e">
        <f t="shared" si="92"/>
        <v>#REF!</v>
      </c>
      <c r="AJ300" s="79" t="e">
        <f t="shared" si="96"/>
        <v>#REF!</v>
      </c>
      <c r="AK300" s="75" t="e">
        <f>PMT(#REF!,#REF!,-#REF!,0,0)</f>
        <v>#REF!</v>
      </c>
      <c r="AL300" s="75"/>
      <c r="AM300" s="7" t="e">
        <f>AJ300*(#REF!/12)</f>
        <v>#REF!</v>
      </c>
      <c r="AN300" s="7" t="e">
        <f t="shared" si="97"/>
        <v>#REF!</v>
      </c>
      <c r="AO300" s="75" t="e">
        <f t="shared" si="93"/>
        <v>#REF!</v>
      </c>
      <c r="AP300" s="75" t="e">
        <f t="shared" si="98"/>
        <v>#REF!</v>
      </c>
      <c r="AQ300" s="7" t="e">
        <f t="shared" si="95"/>
        <v>#REF!</v>
      </c>
    </row>
    <row r="301" spans="34:43" x14ac:dyDescent="0.25">
      <c r="AH301" s="7" t="e">
        <f t="shared" si="94"/>
        <v>#REF!</v>
      </c>
      <c r="AI301" s="79" t="e">
        <f t="shared" si="92"/>
        <v>#REF!</v>
      </c>
      <c r="AJ301" s="79" t="e">
        <f t="shared" si="96"/>
        <v>#REF!</v>
      </c>
      <c r="AK301" s="75" t="e">
        <f>PMT(#REF!,#REF!,-#REF!,0,0)</f>
        <v>#REF!</v>
      </c>
      <c r="AL301" s="75"/>
      <c r="AM301" s="7" t="e">
        <f>AJ301*(#REF!/12)</f>
        <v>#REF!</v>
      </c>
      <c r="AN301" s="7" t="e">
        <f t="shared" si="97"/>
        <v>#REF!</v>
      </c>
      <c r="AO301" s="75" t="e">
        <f t="shared" si="93"/>
        <v>#REF!</v>
      </c>
      <c r="AP301" s="75" t="e">
        <f t="shared" si="98"/>
        <v>#REF!</v>
      </c>
      <c r="AQ301" s="7" t="e">
        <f t="shared" si="95"/>
        <v>#REF!</v>
      </c>
    </row>
    <row r="302" spans="34:43" x14ac:dyDescent="0.25">
      <c r="AH302" s="19" t="e">
        <f t="shared" si="94"/>
        <v>#REF!</v>
      </c>
      <c r="AI302" s="85" t="e">
        <f>AI301+#REF!-AH302</f>
        <v>#REF!</v>
      </c>
      <c r="AJ302" s="85" t="e">
        <f t="shared" si="96"/>
        <v>#REF!</v>
      </c>
      <c r="AK302" s="84" t="e">
        <f>PMT(#REF!,#REF!,-#REF!,0,0)</f>
        <v>#REF!</v>
      </c>
      <c r="AL302" s="84"/>
      <c r="AM302" s="19" t="e">
        <f>AJ302*(#REF!/12)</f>
        <v>#REF!</v>
      </c>
      <c r="AN302" s="19" t="e">
        <f t="shared" si="97"/>
        <v>#REF!</v>
      </c>
      <c r="AO302" s="84" t="e">
        <f t="shared" si="93"/>
        <v>#REF!</v>
      </c>
      <c r="AP302" s="84" t="e">
        <f t="shared" si="98"/>
        <v>#REF!</v>
      </c>
      <c r="AQ302" s="7" t="e">
        <f t="shared" si="95"/>
        <v>#REF!</v>
      </c>
    </row>
    <row r="303" spans="34:43" x14ac:dyDescent="0.25">
      <c r="AH303" s="74"/>
      <c r="AI303" s="74"/>
      <c r="AJ303" s="41"/>
      <c r="AK303" s="41"/>
      <c r="AL303" s="41"/>
      <c r="AM303" s="74"/>
      <c r="AO303" s="41"/>
      <c r="AP303" s="41"/>
    </row>
    <row r="304" spans="34:43" x14ac:dyDescent="0.25">
      <c r="AP304" s="41"/>
    </row>
    <row r="305" spans="42:42" x14ac:dyDescent="0.25">
      <c r="AP305" s="41"/>
    </row>
    <row r="306" spans="42:42" x14ac:dyDescent="0.25">
      <c r="AP306" s="41"/>
    </row>
    <row r="307" spans="42:42" x14ac:dyDescent="0.25">
      <c r="AP307" s="41"/>
    </row>
    <row r="308" spans="42:42" x14ac:dyDescent="0.25">
      <c r="AP308" s="41"/>
    </row>
    <row r="309" spans="42:42" x14ac:dyDescent="0.25">
      <c r="AP309" s="41"/>
    </row>
    <row r="310" spans="42:42" x14ac:dyDescent="0.25">
      <c r="AP310" s="41"/>
    </row>
    <row r="311" spans="42:42" x14ac:dyDescent="0.25">
      <c r="AP311" s="41"/>
    </row>
    <row r="312" spans="42:42" x14ac:dyDescent="0.25">
      <c r="AP312" s="41"/>
    </row>
    <row r="313" spans="42:42" x14ac:dyDescent="0.25">
      <c r="AP313" s="41"/>
    </row>
    <row r="314" spans="42:42" x14ac:dyDescent="0.25">
      <c r="AP314" s="41"/>
    </row>
    <row r="315" spans="42:42" x14ac:dyDescent="0.25">
      <c r="AP315" s="41"/>
    </row>
    <row r="316" spans="42:42" x14ac:dyDescent="0.25">
      <c r="AP316" s="41"/>
    </row>
    <row r="317" spans="42:42" x14ac:dyDescent="0.25">
      <c r="AP317" s="41"/>
    </row>
    <row r="318" spans="42:42" x14ac:dyDescent="0.25">
      <c r="AP318" s="41"/>
    </row>
    <row r="319" spans="42:42" x14ac:dyDescent="0.25">
      <c r="AP319" s="41"/>
    </row>
    <row r="320" spans="42:42" x14ac:dyDescent="0.25">
      <c r="AP320" s="41"/>
    </row>
    <row r="321" spans="42:42" x14ac:dyDescent="0.25">
      <c r="AP321" s="41"/>
    </row>
    <row r="322" spans="42:42" x14ac:dyDescent="0.25">
      <c r="AP322" s="41"/>
    </row>
    <row r="323" spans="42:42" x14ac:dyDescent="0.25">
      <c r="AP323" s="41"/>
    </row>
    <row r="324" spans="42:42" x14ac:dyDescent="0.25">
      <c r="AP324" s="41"/>
    </row>
    <row r="325" spans="42:42" x14ac:dyDescent="0.25">
      <c r="AP325" s="41"/>
    </row>
    <row r="326" spans="42:42" x14ac:dyDescent="0.25">
      <c r="AP326" s="41"/>
    </row>
    <row r="327" spans="42:42" x14ac:dyDescent="0.25">
      <c r="AP327" s="41"/>
    </row>
    <row r="328" spans="42:42" x14ac:dyDescent="0.25">
      <c r="AP328" s="41"/>
    </row>
    <row r="329" spans="42:42" x14ac:dyDescent="0.25">
      <c r="AP329" s="41"/>
    </row>
    <row r="330" spans="42:42" x14ac:dyDescent="0.25">
      <c r="AP330" s="41"/>
    </row>
    <row r="331" spans="42:42" x14ac:dyDescent="0.25">
      <c r="AP331" s="41"/>
    </row>
    <row r="332" spans="42:42" x14ac:dyDescent="0.25">
      <c r="AP332" s="41"/>
    </row>
    <row r="333" spans="42:42" x14ac:dyDescent="0.25">
      <c r="AP333" s="41"/>
    </row>
    <row r="334" spans="42:42" x14ac:dyDescent="0.25">
      <c r="AP334" s="41"/>
    </row>
    <row r="335" spans="42:42" x14ac:dyDescent="0.25">
      <c r="AP335" s="41"/>
    </row>
    <row r="336" spans="42:42" x14ac:dyDescent="0.25">
      <c r="AP336" s="41"/>
    </row>
    <row r="337" spans="42:42" x14ac:dyDescent="0.25">
      <c r="AP337" s="41"/>
    </row>
    <row r="338" spans="42:42" x14ac:dyDescent="0.25">
      <c r="AP338" s="41"/>
    </row>
    <row r="339" spans="42:42" x14ac:dyDescent="0.25">
      <c r="AP339" s="41"/>
    </row>
    <row r="340" spans="42:42" x14ac:dyDescent="0.25">
      <c r="AP340" s="41"/>
    </row>
    <row r="341" spans="42:42" x14ac:dyDescent="0.25">
      <c r="AP341" s="41"/>
    </row>
    <row r="342" spans="42:42" x14ac:dyDescent="0.25">
      <c r="AP342" s="41"/>
    </row>
    <row r="343" spans="42:42" x14ac:dyDescent="0.25">
      <c r="AP343" s="41"/>
    </row>
    <row r="344" spans="42:42" x14ac:dyDescent="0.25">
      <c r="AP344" s="41"/>
    </row>
    <row r="345" spans="42:42" x14ac:dyDescent="0.25">
      <c r="AP345" s="41"/>
    </row>
    <row r="346" spans="42:42" x14ac:dyDescent="0.25">
      <c r="AP346" s="41"/>
    </row>
    <row r="347" spans="42:42" x14ac:dyDescent="0.25">
      <c r="AP347" s="41"/>
    </row>
    <row r="348" spans="42:42" x14ac:dyDescent="0.25">
      <c r="AP348" s="41"/>
    </row>
    <row r="349" spans="42:42" x14ac:dyDescent="0.25">
      <c r="AP349" s="41"/>
    </row>
    <row r="350" spans="42:42" x14ac:dyDescent="0.25">
      <c r="AP350" s="41"/>
    </row>
    <row r="351" spans="42:42" x14ac:dyDescent="0.25">
      <c r="AP351" s="41"/>
    </row>
    <row r="352" spans="42:42" x14ac:dyDescent="0.25">
      <c r="AP352" s="41"/>
    </row>
    <row r="353" spans="42:42" x14ac:dyDescent="0.25">
      <c r="AP353" s="41"/>
    </row>
    <row r="354" spans="42:42" x14ac:dyDescent="0.25">
      <c r="AP354" s="41"/>
    </row>
    <row r="355" spans="42:42" x14ac:dyDescent="0.25">
      <c r="AP355" s="41"/>
    </row>
    <row r="356" spans="42:42" x14ac:dyDescent="0.25">
      <c r="AP356" s="41"/>
    </row>
    <row r="357" spans="42:42" x14ac:dyDescent="0.25">
      <c r="AP357" s="41"/>
    </row>
    <row r="358" spans="42:42" x14ac:dyDescent="0.25">
      <c r="AP358" s="41"/>
    </row>
    <row r="359" spans="42:42" x14ac:dyDescent="0.25">
      <c r="AP359" s="41"/>
    </row>
    <row r="360" spans="42:42" x14ac:dyDescent="0.25">
      <c r="AP360" s="41"/>
    </row>
    <row r="361" spans="42:42" x14ac:dyDescent="0.25">
      <c r="AP361" s="41"/>
    </row>
  </sheetData>
  <mergeCells count="3">
    <mergeCell ref="J1:W1"/>
    <mergeCell ref="Y1:AF1"/>
    <mergeCell ref="AH1:AQ1"/>
  </mergeCells>
  <conditionalFormatting sqref="K3:K194">
    <cfRule type="colorScale" priority="7">
      <colorScale>
        <cfvo type="min"/>
        <cfvo type="max"/>
        <color rgb="FFFCFCFF"/>
        <color rgb="FF63BE7B"/>
      </colorScale>
    </cfRule>
  </conditionalFormatting>
  <conditionalFormatting sqref="R1:R3 C3 R195:R1048576">
    <cfRule type="dataBar" priority="5">
      <dataBar>
        <cfvo type="min"/>
        <cfvo type="max"/>
        <color rgb="FFFFB628"/>
      </dataBar>
      <extLst>
        <ext xmlns:x14="http://schemas.microsoft.com/office/spreadsheetml/2009/9/main" uri="{B025F937-C7B1-47D3-B67F-A62EFF666E3E}">
          <x14:id>{25CF6D75-C537-447E-BD62-E2A1162C95D2}</x14:id>
        </ext>
      </extLst>
    </cfRule>
  </conditionalFormatting>
  <conditionalFormatting sqref="R1:R3 R195:R1048576">
    <cfRule type="dataBar" priority="6">
      <dataBar>
        <cfvo type="min"/>
        <cfvo type="max"/>
        <color rgb="FFFFB628"/>
      </dataBar>
      <extLst>
        <ext xmlns:x14="http://schemas.microsoft.com/office/spreadsheetml/2009/9/main" uri="{B025F937-C7B1-47D3-B67F-A62EFF666E3E}">
          <x14:id>{AE7BC8E9-21AA-4035-BAAD-17405417F78B}</x14:id>
        </ext>
      </extLst>
    </cfRule>
  </conditionalFormatting>
  <conditionalFormatting sqref="R3">
    <cfRule type="dataBar" priority="9">
      <dataBar>
        <cfvo type="min"/>
        <cfvo type="max"/>
        <color rgb="FFFFB628"/>
      </dataBar>
      <extLst>
        <ext xmlns:x14="http://schemas.microsoft.com/office/spreadsheetml/2009/9/main" uri="{B025F937-C7B1-47D3-B67F-A62EFF666E3E}">
          <x14:id>{6BA9832E-8FF8-47F0-9010-032F8B0EF7F1}</x14:id>
        </ext>
      </extLst>
    </cfRule>
  </conditionalFormatting>
  <conditionalFormatting sqref="R4:R194">
    <cfRule type="dataBar" priority="3">
      <dataBar>
        <cfvo type="min"/>
        <cfvo type="max"/>
        <color rgb="FFFFB628"/>
      </dataBar>
      <extLst>
        <ext xmlns:x14="http://schemas.microsoft.com/office/spreadsheetml/2009/9/main" uri="{B025F937-C7B1-47D3-B67F-A62EFF666E3E}">
          <x14:id>{1E232D0D-BDE4-4313-88BB-47A0F9A74588}</x14:id>
        </ext>
      </extLst>
    </cfRule>
  </conditionalFormatting>
  <conditionalFormatting sqref="AC1:AC1048576">
    <cfRule type="dataBar" priority="1">
      <dataBar>
        <cfvo type="min"/>
        <cfvo type="max"/>
        <color rgb="FF63C384"/>
      </dataBar>
      <extLst>
        <ext xmlns:x14="http://schemas.microsoft.com/office/spreadsheetml/2009/9/main" uri="{B025F937-C7B1-47D3-B67F-A62EFF666E3E}">
          <x14:id>{379323D8-62EB-41BC-809C-CCFD9E82EA0D}</x14:id>
        </ext>
      </extLst>
    </cfRule>
    <cfRule type="colorScale" priority="2">
      <colorScale>
        <cfvo type="min"/>
        <cfvo type="percentile" val="50"/>
        <cfvo type="max"/>
        <color rgb="FFF8696B"/>
        <color rgb="FFFFEB84"/>
        <color rgb="FF63BE7B"/>
      </colorScale>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25CF6D75-C537-447E-BD62-E2A1162C95D2}">
            <x14:dataBar minLength="0" maxLength="100" border="1" negativeBarBorderColorSameAsPositive="0">
              <x14:cfvo type="autoMin"/>
              <x14:cfvo type="autoMax"/>
              <x14:borderColor rgb="FFFFB628"/>
              <x14:negativeFillColor rgb="FFFF0000"/>
              <x14:negativeBorderColor rgb="FFFF0000"/>
              <x14:axisColor rgb="FF000000"/>
            </x14:dataBar>
          </x14:cfRule>
          <xm:sqref>R1:R3 C3 R195:R1048576</xm:sqref>
        </x14:conditionalFormatting>
        <x14:conditionalFormatting xmlns:xm="http://schemas.microsoft.com/office/excel/2006/main">
          <x14:cfRule type="dataBar" id="{AE7BC8E9-21AA-4035-BAAD-17405417F78B}">
            <x14:dataBar minLength="0" maxLength="100" border="1" negativeBarBorderColorSameAsPositive="0">
              <x14:cfvo type="autoMin"/>
              <x14:cfvo type="autoMax"/>
              <x14:borderColor rgb="FFFFB628"/>
              <x14:negativeFillColor rgb="FFFF0000"/>
              <x14:negativeBorderColor rgb="FFFF0000"/>
              <x14:axisColor rgb="FF000000"/>
            </x14:dataBar>
          </x14:cfRule>
          <xm:sqref>R1:R3 R195:R1048576</xm:sqref>
        </x14:conditionalFormatting>
        <x14:conditionalFormatting xmlns:xm="http://schemas.microsoft.com/office/excel/2006/main">
          <x14:cfRule type="dataBar" id="{6BA9832E-8FF8-47F0-9010-032F8B0EF7F1}">
            <x14:dataBar minLength="0" maxLength="100" border="1" negativeBarBorderColorSameAsPositive="0">
              <x14:cfvo type="autoMin"/>
              <x14:cfvo type="autoMax"/>
              <x14:borderColor rgb="FFFFB628"/>
              <x14:negativeFillColor rgb="FFFF0000"/>
              <x14:negativeBorderColor rgb="FFFF0000"/>
              <x14:axisColor rgb="FF000000"/>
            </x14:dataBar>
          </x14:cfRule>
          <xm:sqref>R3</xm:sqref>
        </x14:conditionalFormatting>
        <x14:conditionalFormatting xmlns:xm="http://schemas.microsoft.com/office/excel/2006/main">
          <x14:cfRule type="dataBar" id="{1E232D0D-BDE4-4313-88BB-47A0F9A74588}">
            <x14:dataBar minLength="0" maxLength="100" border="1" negativeBarBorderColorSameAsPositive="0">
              <x14:cfvo type="autoMin"/>
              <x14:cfvo type="autoMax"/>
              <x14:borderColor rgb="FFFFB628"/>
              <x14:negativeFillColor rgb="FFFF0000"/>
              <x14:negativeBorderColor rgb="FFFF0000"/>
              <x14:axisColor rgb="FF000000"/>
            </x14:dataBar>
          </x14:cfRule>
          <xm:sqref>R4:R194</xm:sqref>
        </x14:conditionalFormatting>
        <x14:conditionalFormatting xmlns:xm="http://schemas.microsoft.com/office/excel/2006/main">
          <x14:cfRule type="dataBar" id="{379323D8-62EB-41BC-809C-CCFD9E82EA0D}">
            <x14:dataBar minLength="0" maxLength="100" border="1" negativeBarBorderColorSameAsPositive="0">
              <x14:cfvo type="autoMin"/>
              <x14:cfvo type="autoMax"/>
              <x14:borderColor rgb="FF63C384"/>
              <x14:negativeFillColor rgb="FFFF0000"/>
              <x14:negativeBorderColor rgb="FFFF0000"/>
              <x14:axisColor rgb="FF000000"/>
            </x14:dataBar>
          </x14:cfRule>
          <xm:sqref>AC1:AC1048576</xm:sqref>
        </x14:conditionalFormatting>
      </x14:conditionalFormatting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73E4D1-68EE-488C-A6D9-08C448A2F03A}">
  <dimension ref="B1:AT361"/>
  <sheetViews>
    <sheetView zoomScaleNormal="100" workbookViewId="0">
      <pane ySplit="2" topLeftCell="A3" activePane="bottomLeft" state="frozen"/>
      <selection pane="bottomLeft" activeCell="E50" sqref="E50"/>
    </sheetView>
  </sheetViews>
  <sheetFormatPr defaultRowHeight="13.2" x14ac:dyDescent="0.25"/>
  <cols>
    <col min="1" max="1" width="3.109375" customWidth="1"/>
    <col min="2" max="2" width="35.6640625" customWidth="1"/>
    <col min="3" max="3" width="34.21875" bestFit="1" customWidth="1"/>
    <col min="4" max="4" width="18.109375" bestFit="1" customWidth="1"/>
    <col min="5" max="5" width="36.6640625" bestFit="1" customWidth="1"/>
    <col min="6" max="6" width="18.6640625" bestFit="1" customWidth="1"/>
    <col min="7" max="7" width="24" bestFit="1" customWidth="1"/>
    <col min="8" max="8" width="24" customWidth="1"/>
    <col min="9" max="9" width="6.6640625" customWidth="1"/>
    <col min="10" max="10" width="4.44140625" bestFit="1" customWidth="1"/>
    <col min="11" max="11" width="5.109375" bestFit="1" customWidth="1"/>
    <col min="12" max="12" width="10.109375" bestFit="1" customWidth="1"/>
    <col min="13" max="13" width="12.5546875" bestFit="1" customWidth="1"/>
    <col min="14" max="14" width="19.44140625" bestFit="1" customWidth="1"/>
    <col min="15" max="15" width="19.77734375" bestFit="1" customWidth="1"/>
    <col min="16" max="16" width="19.77734375" customWidth="1"/>
    <col min="17" max="17" width="18.21875" bestFit="1" customWidth="1"/>
    <col min="18" max="18" width="10.5546875" bestFit="1" customWidth="1"/>
    <col min="19" max="19" width="22.21875" bestFit="1" customWidth="1"/>
    <col min="20" max="20" width="12.109375" bestFit="1" customWidth="1"/>
    <col min="21" max="21" width="11.6640625" bestFit="1" customWidth="1"/>
    <col min="22" max="22" width="19.21875" bestFit="1" customWidth="1"/>
    <col min="23" max="23" width="13.77734375" bestFit="1" customWidth="1"/>
    <col min="24" max="24" width="6.6640625" style="22" customWidth="1"/>
    <col min="25" max="25" width="38.109375" bestFit="1" customWidth="1"/>
    <col min="26" max="26" width="20.21875" bestFit="1" customWidth="1"/>
    <col min="27" max="27" width="20.21875" customWidth="1"/>
    <col min="28" max="28" width="26.77734375" bestFit="1" customWidth="1"/>
    <col min="29" max="29" width="18.44140625" bestFit="1" customWidth="1"/>
    <col min="30" max="30" width="21.6640625" bestFit="1" customWidth="1"/>
    <col min="31" max="31" width="15.6640625" bestFit="1" customWidth="1"/>
    <col min="32" max="32" width="13.5546875" bestFit="1" customWidth="1"/>
    <col min="33" max="33" width="7.6640625" style="22" customWidth="1"/>
    <col min="34" max="34" width="28.21875" bestFit="1" customWidth="1"/>
    <col min="35" max="35" width="31.6640625" bestFit="1" customWidth="1"/>
    <col min="36" max="36" width="14.6640625" bestFit="1" customWidth="1"/>
    <col min="37" max="37" width="38.77734375" bestFit="1" customWidth="1"/>
    <col min="38" max="38" width="31.6640625" bestFit="1" customWidth="1"/>
    <col min="39" max="39" width="11.44140625" bestFit="1" customWidth="1"/>
    <col min="40" max="40" width="19.5546875" bestFit="1" customWidth="1"/>
    <col min="41" max="41" width="14.77734375" bestFit="1" customWidth="1"/>
    <col min="42" max="42" width="20" bestFit="1" customWidth="1"/>
    <col min="43" max="43" width="15.21875" bestFit="1" customWidth="1"/>
    <col min="44" max="44" width="15.109375" bestFit="1" customWidth="1"/>
    <col min="45" max="45" width="11.6640625" bestFit="1" customWidth="1"/>
    <col min="46" max="46" width="9" bestFit="1" customWidth="1"/>
  </cols>
  <sheetData>
    <row r="1" spans="2:44" x14ac:dyDescent="0.25">
      <c r="J1" s="350" t="s">
        <v>241</v>
      </c>
      <c r="K1" s="350"/>
      <c r="L1" s="350"/>
      <c r="M1" s="350"/>
      <c r="N1" s="350"/>
      <c r="O1" s="350"/>
      <c r="P1" s="350"/>
      <c r="Q1" s="350"/>
      <c r="R1" s="350"/>
      <c r="S1" s="350"/>
      <c r="T1" s="350"/>
      <c r="U1" s="350"/>
      <c r="V1" s="350"/>
      <c r="W1" s="350"/>
      <c r="Y1" s="350" t="s">
        <v>242</v>
      </c>
      <c r="Z1" s="350"/>
      <c r="AA1" s="350"/>
      <c r="AB1" s="350"/>
      <c r="AC1" s="350"/>
      <c r="AD1" s="350"/>
      <c r="AE1" s="350"/>
      <c r="AF1" s="350"/>
      <c r="AH1" s="350" t="s">
        <v>243</v>
      </c>
      <c r="AI1" s="350"/>
      <c r="AJ1" s="350"/>
      <c r="AK1" s="350"/>
      <c r="AL1" s="350"/>
      <c r="AM1" s="350"/>
      <c r="AN1" s="350"/>
      <c r="AO1" s="350"/>
      <c r="AP1" s="350"/>
      <c r="AQ1" s="350"/>
    </row>
    <row r="2" spans="2:44" x14ac:dyDescent="0.25">
      <c r="B2" s="34" t="s">
        <v>244</v>
      </c>
      <c r="C2" s="94">
        <v>2026</v>
      </c>
      <c r="J2" s="38" t="s">
        <v>2</v>
      </c>
      <c r="K2" s="143" t="s">
        <v>3</v>
      </c>
      <c r="L2" s="143" t="s">
        <v>17</v>
      </c>
      <c r="M2" s="143" t="s">
        <v>283</v>
      </c>
      <c r="N2" s="143" t="s">
        <v>246</v>
      </c>
      <c r="O2" s="143" t="s">
        <v>247</v>
      </c>
      <c r="P2" s="143" t="s">
        <v>248</v>
      </c>
      <c r="Q2" s="38" t="s">
        <v>284</v>
      </c>
      <c r="R2" s="38" t="s">
        <v>250</v>
      </c>
      <c r="S2" s="38" t="s">
        <v>251</v>
      </c>
      <c r="T2" s="38" t="s">
        <v>252</v>
      </c>
      <c r="U2" s="38" t="s">
        <v>137</v>
      </c>
      <c r="V2" s="38" t="s">
        <v>24</v>
      </c>
      <c r="W2" s="38" t="s">
        <v>253</v>
      </c>
      <c r="X2" s="35"/>
      <c r="Y2" s="38" t="s">
        <v>254</v>
      </c>
      <c r="Z2" s="38" t="s">
        <v>255</v>
      </c>
      <c r="AA2" s="38" t="s">
        <v>256</v>
      </c>
      <c r="AB2" s="38" t="s">
        <v>257</v>
      </c>
      <c r="AC2" s="38" t="s">
        <v>258</v>
      </c>
      <c r="AD2" s="38" t="s">
        <v>259</v>
      </c>
      <c r="AE2" s="78" t="s">
        <v>260</v>
      </c>
      <c r="AF2" s="38" t="s">
        <v>261</v>
      </c>
      <c r="AH2" s="38" t="s">
        <v>262</v>
      </c>
      <c r="AI2" s="77" t="s">
        <v>263</v>
      </c>
      <c r="AJ2" s="77" t="s">
        <v>264</v>
      </c>
      <c r="AK2" s="38" t="s">
        <v>265</v>
      </c>
      <c r="AL2" s="38" t="s">
        <v>266</v>
      </c>
      <c r="AM2" s="38" t="s">
        <v>122</v>
      </c>
      <c r="AN2" s="38" t="s">
        <v>267</v>
      </c>
      <c r="AO2" s="38" t="s">
        <v>123</v>
      </c>
      <c r="AP2" s="38" t="s">
        <v>268</v>
      </c>
      <c r="AQ2" s="38" t="s">
        <v>124</v>
      </c>
      <c r="AR2" s="40"/>
    </row>
    <row r="3" spans="2:44" x14ac:dyDescent="0.25">
      <c r="B3" s="5" t="s">
        <v>269</v>
      </c>
      <c r="C3" s="5">
        <v>7</v>
      </c>
      <c r="J3" s="5">
        <f>K3-1998</f>
        <v>28</v>
      </c>
      <c r="K3" s="64">
        <f>$C$2</f>
        <v>2026</v>
      </c>
      <c r="L3" s="34" t="s">
        <v>31</v>
      </c>
      <c r="M3" s="70">
        <v>350</v>
      </c>
      <c r="N3" s="70">
        <f t="shared" ref="N3:N66" si="0">M3*(1-S3)</f>
        <v>262.5</v>
      </c>
      <c r="O3" s="71"/>
      <c r="P3" s="86"/>
      <c r="Q3" s="51">
        <v>0</v>
      </c>
      <c r="R3" s="5"/>
      <c r="S3" s="6">
        <v>0.25</v>
      </c>
      <c r="T3" s="8">
        <f>Q3*N3</f>
        <v>0</v>
      </c>
      <c r="U3" s="8" t="e">
        <f>#REF!</f>
        <v>#REF!</v>
      </c>
      <c r="V3" s="8"/>
      <c r="W3" s="8" t="e">
        <f>T3-U3</f>
        <v>#REF!</v>
      </c>
      <c r="X3" s="27"/>
      <c r="Y3" s="26" t="e">
        <f>INDEX(#REF!,MATCH('Wedding Business Cash Flow (2)'!$C$2,#REF!,0),2)-CashToClose+T3-U3</f>
        <v>#REF!</v>
      </c>
      <c r="Z3" s="95" t="e">
        <f>#REF!*2</f>
        <v>#REF!</v>
      </c>
      <c r="AA3" s="95"/>
      <c r="AB3" s="8">
        <f>'Business_172 PH Rd Budget'!$C$25</f>
        <v>2155.2899999999995</v>
      </c>
      <c r="AC3" s="8" t="e">
        <f>Y3+Z3+AA3-AB3</f>
        <v>#REF!</v>
      </c>
      <c r="AD3" s="8" t="e">
        <f>AC3</f>
        <v>#REF!</v>
      </c>
      <c r="AE3" s="76" t="e">
        <f t="shared" ref="AE3:AE66" si="1">IF(AC3&lt;$C$8,0,AC3-AD3)</f>
        <v>#REF!</v>
      </c>
      <c r="AF3" s="8" t="e">
        <f t="shared" ref="AF3:AF66" si="2">AE3*(1+$C$7)-AE3</f>
        <v>#REF!</v>
      </c>
      <c r="AH3" s="7" t="e">
        <f>#REF!</f>
        <v>#REF!</v>
      </c>
      <c r="AI3" s="79" t="e">
        <f>AH4-AH3</f>
        <v>#REF!</v>
      </c>
      <c r="AJ3" s="79" t="e">
        <f>#REF!</f>
        <v>#REF!</v>
      </c>
      <c r="AK3" s="75" t="e">
        <f>PMT(#REF!,#REF!,-#REF!,0,0)</f>
        <v>#REF!</v>
      </c>
      <c r="AL3" s="75"/>
      <c r="AM3" s="7" t="e">
        <f>#REF!*(#REF!/12)</f>
        <v>#REF!</v>
      </c>
      <c r="AN3" s="7" t="e">
        <f>AM3</f>
        <v>#REF!</v>
      </c>
      <c r="AO3" s="75" t="e">
        <f t="shared" ref="AO3:AO66" si="3">AK3-AM3</f>
        <v>#REF!</v>
      </c>
      <c r="AP3" s="75" t="e">
        <f>AO3</f>
        <v>#REF!</v>
      </c>
      <c r="AQ3" s="7" t="e">
        <f>AJ3-(AO3+AL3)</f>
        <v>#REF!</v>
      </c>
    </row>
    <row r="4" spans="2:44" x14ac:dyDescent="0.25">
      <c r="B4" s="34" t="s">
        <v>270</v>
      </c>
      <c r="C4" s="21">
        <f>3.5%</f>
        <v>3.5000000000000003E-2</v>
      </c>
      <c r="D4" s="82"/>
      <c r="E4" s="82"/>
      <c r="J4" s="5">
        <f t="shared" ref="J4:J67" si="4">K4-1998</f>
        <v>28</v>
      </c>
      <c r="K4" s="64">
        <f t="shared" ref="K4:K14" si="5">$C$2</f>
        <v>2026</v>
      </c>
      <c r="L4" s="34" t="s">
        <v>33</v>
      </c>
      <c r="M4" s="70">
        <f>M3*(1+O4)</f>
        <v>350</v>
      </c>
      <c r="N4" s="70">
        <f t="shared" si="0"/>
        <v>262.5</v>
      </c>
      <c r="O4" s="71"/>
      <c r="P4" s="86"/>
      <c r="Q4" s="51">
        <v>0</v>
      </c>
      <c r="R4" s="88" t="str">
        <f>IFERROR(Q4/P4,"")</f>
        <v/>
      </c>
      <c r="S4" s="6">
        <v>0.25</v>
      </c>
      <c r="T4" s="8">
        <f t="shared" ref="T4:T67" si="6">Q4*N4</f>
        <v>0</v>
      </c>
      <c r="U4" s="8" t="e">
        <f>#REF!</f>
        <v>#REF!</v>
      </c>
      <c r="V4" s="8"/>
      <c r="W4" s="8" t="e">
        <f t="shared" ref="W4:W67" si="7">T4-U4</f>
        <v>#REF!</v>
      </c>
      <c r="X4" s="27"/>
      <c r="Y4" s="26" t="e">
        <f>(AC3+T4)-U4</f>
        <v>#REF!</v>
      </c>
      <c r="Z4" s="95" t="e">
        <f>#REF!*2</f>
        <v>#REF!</v>
      </c>
      <c r="AA4" s="95"/>
      <c r="AB4" s="8">
        <f>'Business_172 PH Rd Budget'!$C$25</f>
        <v>2155.2899999999995</v>
      </c>
      <c r="AC4" s="8" t="e">
        <f>(Y4+Z4+AA4)-AB4</f>
        <v>#REF!</v>
      </c>
      <c r="AD4" s="8" t="e">
        <f t="shared" ref="AD4:AD44" si="8">AC4</f>
        <v>#REF!</v>
      </c>
      <c r="AE4" s="76" t="e">
        <f t="shared" si="1"/>
        <v>#REF!</v>
      </c>
      <c r="AF4" s="8" t="e">
        <f t="shared" si="2"/>
        <v>#REF!</v>
      </c>
      <c r="AH4" s="7" t="e">
        <f t="shared" ref="AH4:AH67" si="9">AH3*(1+$C$5)</f>
        <v>#REF!</v>
      </c>
      <c r="AI4" s="79" t="e">
        <f>AI3+AH5-AH4</f>
        <v>#REF!</v>
      </c>
      <c r="AJ4" s="79" t="e">
        <f>AQ3</f>
        <v>#REF!</v>
      </c>
      <c r="AK4" s="75" t="e">
        <f>PMT(#REF!,#REF!,-#REF!,0,0)</f>
        <v>#REF!</v>
      </c>
      <c r="AL4" s="75"/>
      <c r="AM4" s="7" t="e">
        <f>AJ4*(#REF!/12)</f>
        <v>#REF!</v>
      </c>
      <c r="AN4" s="7" t="e">
        <f>AN3+AM4</f>
        <v>#REF!</v>
      </c>
      <c r="AO4" s="75" t="e">
        <f t="shared" si="3"/>
        <v>#REF!</v>
      </c>
      <c r="AP4" s="75" t="e">
        <f>AP3+AO4</f>
        <v>#REF!</v>
      </c>
      <c r="AQ4" s="7" t="e">
        <f t="shared" ref="AQ4:AQ67" si="10">AJ4-(AO4+AL4)</f>
        <v>#REF!</v>
      </c>
      <c r="AR4" s="41"/>
    </row>
    <row r="5" spans="2:44" x14ac:dyDescent="0.25">
      <c r="B5" s="34" t="s">
        <v>271</v>
      </c>
      <c r="C5" s="21">
        <f>C4/12</f>
        <v>2.9166666666666668E-3</v>
      </c>
      <c r="D5" s="82"/>
      <c r="E5" s="82"/>
      <c r="J5" s="5">
        <f t="shared" si="4"/>
        <v>28</v>
      </c>
      <c r="K5" s="64">
        <f t="shared" si="5"/>
        <v>2026</v>
      </c>
      <c r="L5" s="34" t="s">
        <v>36</v>
      </c>
      <c r="M5" s="70">
        <f t="shared" ref="M5:M68" si="11">M4*(1+O5)</f>
        <v>350</v>
      </c>
      <c r="N5" s="70">
        <f t="shared" si="0"/>
        <v>280</v>
      </c>
      <c r="O5" s="71"/>
      <c r="P5" s="86"/>
      <c r="Q5" s="51">
        <v>0</v>
      </c>
      <c r="R5" s="88" t="str">
        <f t="shared" ref="R5:R68" si="12">IFERROR(Q5/P5,"")</f>
        <v/>
      </c>
      <c r="S5" s="6">
        <v>0.2</v>
      </c>
      <c r="T5" s="8">
        <f t="shared" si="6"/>
        <v>0</v>
      </c>
      <c r="U5" s="8" t="e">
        <f>#REF!</f>
        <v>#REF!</v>
      </c>
      <c r="V5" s="8"/>
      <c r="W5" s="8" t="e">
        <f t="shared" si="7"/>
        <v>#REF!</v>
      </c>
      <c r="X5" s="27"/>
      <c r="Y5" s="26" t="e">
        <f t="shared" ref="Y5:Y68" si="13">(AC4+T5)-U5</f>
        <v>#REF!</v>
      </c>
      <c r="Z5" s="95" t="e">
        <f>#REF!*2</f>
        <v>#REF!</v>
      </c>
      <c r="AA5" s="95"/>
      <c r="AB5" s="8">
        <f>'Business_172 PH Rd Budget'!$C$25</f>
        <v>2155.2899999999995</v>
      </c>
      <c r="AC5" s="8" t="e">
        <f t="shared" ref="AC5:AC68" si="14">(Y5+Z5+AA5)-AB5</f>
        <v>#REF!</v>
      </c>
      <c r="AD5" s="8" t="e">
        <f t="shared" si="8"/>
        <v>#REF!</v>
      </c>
      <c r="AE5" s="76" t="e">
        <f t="shared" si="1"/>
        <v>#REF!</v>
      </c>
      <c r="AF5" s="8" t="e">
        <f t="shared" si="2"/>
        <v>#REF!</v>
      </c>
      <c r="AH5" s="7" t="e">
        <f t="shared" si="9"/>
        <v>#REF!</v>
      </c>
      <c r="AI5" s="79" t="e">
        <f t="shared" ref="AI5:AI68" si="15">AI4+AH6-AH5</f>
        <v>#REF!</v>
      </c>
      <c r="AJ5" s="79" t="e">
        <f>AQ4</f>
        <v>#REF!</v>
      </c>
      <c r="AK5" s="75" t="e">
        <f>PMT(#REF!,#REF!,-#REF!,0,0)</f>
        <v>#REF!</v>
      </c>
      <c r="AL5" s="75"/>
      <c r="AM5" s="7" t="e">
        <f>AJ5*(#REF!/12)</f>
        <v>#REF!</v>
      </c>
      <c r="AN5" s="7" t="e">
        <f t="shared" ref="AN5:AN68" si="16">AN4+AM5</f>
        <v>#REF!</v>
      </c>
      <c r="AO5" s="75" t="e">
        <f t="shared" si="3"/>
        <v>#REF!</v>
      </c>
      <c r="AP5" s="75" t="e">
        <f t="shared" ref="AP5:AP68" si="17">AP4+AO5</f>
        <v>#REF!</v>
      </c>
      <c r="AQ5" s="7" t="e">
        <f t="shared" si="10"/>
        <v>#REF!</v>
      </c>
      <c r="AR5" s="41"/>
    </row>
    <row r="6" spans="2:44" x14ac:dyDescent="0.25">
      <c r="B6" s="34" t="s">
        <v>272</v>
      </c>
      <c r="C6" s="21">
        <f>0.05</f>
        <v>0.05</v>
      </c>
      <c r="D6" s="82"/>
      <c r="E6" s="82"/>
      <c r="J6" s="5">
        <f t="shared" si="4"/>
        <v>28</v>
      </c>
      <c r="K6" s="64">
        <f t="shared" si="5"/>
        <v>2026</v>
      </c>
      <c r="L6" s="34" t="s">
        <v>38</v>
      </c>
      <c r="M6" s="70">
        <f t="shared" si="11"/>
        <v>350</v>
      </c>
      <c r="N6" s="70">
        <f t="shared" si="0"/>
        <v>315</v>
      </c>
      <c r="O6" s="71"/>
      <c r="P6" s="86"/>
      <c r="Q6" s="51">
        <v>0</v>
      </c>
      <c r="R6" s="88" t="str">
        <f t="shared" si="12"/>
        <v/>
      </c>
      <c r="S6" s="6">
        <v>0.1</v>
      </c>
      <c r="T6" s="8">
        <f t="shared" si="6"/>
        <v>0</v>
      </c>
      <c r="U6" s="8" t="e">
        <f>#REF!</f>
        <v>#REF!</v>
      </c>
      <c r="V6" s="8"/>
      <c r="W6" s="8" t="e">
        <f t="shared" si="7"/>
        <v>#REF!</v>
      </c>
      <c r="X6" s="27"/>
      <c r="Y6" s="26" t="e">
        <f t="shared" si="13"/>
        <v>#REF!</v>
      </c>
      <c r="Z6" s="95" t="e">
        <f>#REF!*2</f>
        <v>#REF!</v>
      </c>
      <c r="AA6" s="95"/>
      <c r="AB6" s="8">
        <f>'Business_172 PH Rd Budget'!$C$25</f>
        <v>2155.2899999999995</v>
      </c>
      <c r="AC6" s="8" t="e">
        <f t="shared" si="14"/>
        <v>#REF!</v>
      </c>
      <c r="AD6" s="8" t="e">
        <f t="shared" si="8"/>
        <v>#REF!</v>
      </c>
      <c r="AE6" s="76" t="e">
        <f t="shared" si="1"/>
        <v>#REF!</v>
      </c>
      <c r="AF6" s="8" t="e">
        <f t="shared" si="2"/>
        <v>#REF!</v>
      </c>
      <c r="AH6" s="7" t="e">
        <f t="shared" si="9"/>
        <v>#REF!</v>
      </c>
      <c r="AI6" s="79" t="e">
        <f t="shared" si="15"/>
        <v>#REF!</v>
      </c>
      <c r="AJ6" s="79" t="e">
        <f t="shared" ref="AJ6:AJ69" si="18">AQ5</f>
        <v>#REF!</v>
      </c>
      <c r="AK6" s="75" t="e">
        <f>PMT(#REF!,#REF!,-#REF!,0,0)</f>
        <v>#REF!</v>
      </c>
      <c r="AL6" s="75"/>
      <c r="AM6" s="7" t="e">
        <f>AJ6*(#REF!/12)</f>
        <v>#REF!</v>
      </c>
      <c r="AN6" s="7" t="e">
        <f t="shared" si="16"/>
        <v>#REF!</v>
      </c>
      <c r="AO6" s="75" t="e">
        <f t="shared" si="3"/>
        <v>#REF!</v>
      </c>
      <c r="AP6" s="75" t="e">
        <f t="shared" si="17"/>
        <v>#REF!</v>
      </c>
      <c r="AQ6" s="7" t="e">
        <f t="shared" si="10"/>
        <v>#REF!</v>
      </c>
      <c r="AR6" s="41"/>
    </row>
    <row r="7" spans="2:44" x14ac:dyDescent="0.25">
      <c r="B7" s="34" t="s">
        <v>273</v>
      </c>
      <c r="C7" s="21">
        <f>0.05/12</f>
        <v>4.1666666666666666E-3</v>
      </c>
      <c r="D7" s="82"/>
      <c r="E7" s="82"/>
      <c r="J7" s="5">
        <f t="shared" si="4"/>
        <v>28</v>
      </c>
      <c r="K7" s="64">
        <f t="shared" si="5"/>
        <v>2026</v>
      </c>
      <c r="L7" s="34" t="s">
        <v>40</v>
      </c>
      <c r="M7" s="70">
        <f t="shared" si="11"/>
        <v>350</v>
      </c>
      <c r="N7" s="70">
        <f t="shared" si="0"/>
        <v>350</v>
      </c>
      <c r="O7" s="71"/>
      <c r="P7" s="86">
        <v>5</v>
      </c>
      <c r="Q7" s="51">
        <v>0</v>
      </c>
      <c r="R7" s="88">
        <f t="shared" si="12"/>
        <v>0</v>
      </c>
      <c r="S7" s="6">
        <v>0</v>
      </c>
      <c r="T7" s="8">
        <f t="shared" si="6"/>
        <v>0</v>
      </c>
      <c r="U7" s="8" t="e">
        <f>#REF!</f>
        <v>#REF!</v>
      </c>
      <c r="V7" s="8"/>
      <c r="W7" s="8" t="e">
        <f t="shared" si="7"/>
        <v>#REF!</v>
      </c>
      <c r="X7" s="27"/>
      <c r="Y7" s="26" t="e">
        <f t="shared" si="13"/>
        <v>#REF!</v>
      </c>
      <c r="Z7" s="95" t="e">
        <f>#REF!*2</f>
        <v>#REF!</v>
      </c>
      <c r="AA7" s="95"/>
      <c r="AB7" s="8">
        <f>'Business_172 PH Rd Budget'!$C$25</f>
        <v>2155.2899999999995</v>
      </c>
      <c r="AC7" s="8" t="e">
        <f t="shared" si="14"/>
        <v>#REF!</v>
      </c>
      <c r="AD7" s="8" t="e">
        <f t="shared" si="8"/>
        <v>#REF!</v>
      </c>
      <c r="AE7" s="76" t="e">
        <f t="shared" si="1"/>
        <v>#REF!</v>
      </c>
      <c r="AF7" s="8" t="e">
        <f t="shared" si="2"/>
        <v>#REF!</v>
      </c>
      <c r="AH7" s="7" t="e">
        <f t="shared" si="9"/>
        <v>#REF!</v>
      </c>
      <c r="AI7" s="79" t="e">
        <f t="shared" si="15"/>
        <v>#REF!</v>
      </c>
      <c r="AJ7" s="79" t="e">
        <f t="shared" si="18"/>
        <v>#REF!</v>
      </c>
      <c r="AK7" s="75" t="e">
        <f>PMT(#REF!,#REF!,-#REF!,0,0)</f>
        <v>#REF!</v>
      </c>
      <c r="AL7" s="75"/>
      <c r="AM7" s="7" t="e">
        <f>AJ7*(#REF!/12)</f>
        <v>#REF!</v>
      </c>
      <c r="AN7" s="7" t="e">
        <f t="shared" si="16"/>
        <v>#REF!</v>
      </c>
      <c r="AO7" s="75" t="e">
        <f t="shared" si="3"/>
        <v>#REF!</v>
      </c>
      <c r="AP7" s="75" t="e">
        <f t="shared" si="17"/>
        <v>#REF!</v>
      </c>
      <c r="AQ7" s="7" t="e">
        <f t="shared" si="10"/>
        <v>#REF!</v>
      </c>
      <c r="AR7" s="41"/>
    </row>
    <row r="8" spans="2:44" x14ac:dyDescent="0.25">
      <c r="B8" s="34" t="s">
        <v>274</v>
      </c>
      <c r="C8" s="9">
        <v>350000</v>
      </c>
      <c r="D8" s="83"/>
      <c r="E8" s="83"/>
      <c r="J8" s="5">
        <f t="shared" si="4"/>
        <v>28</v>
      </c>
      <c r="K8" s="64">
        <f t="shared" si="5"/>
        <v>2026</v>
      </c>
      <c r="L8" s="34" t="s">
        <v>42</v>
      </c>
      <c r="M8" s="70">
        <f t="shared" si="11"/>
        <v>350</v>
      </c>
      <c r="N8" s="70">
        <f t="shared" si="0"/>
        <v>350</v>
      </c>
      <c r="O8" s="71"/>
      <c r="P8" s="86">
        <v>4</v>
      </c>
      <c r="Q8" s="51">
        <v>0</v>
      </c>
      <c r="R8" s="88">
        <f t="shared" si="12"/>
        <v>0</v>
      </c>
      <c r="S8" s="6">
        <v>0</v>
      </c>
      <c r="T8" s="8">
        <f t="shared" si="6"/>
        <v>0</v>
      </c>
      <c r="U8" s="8" t="e">
        <f>#REF!</f>
        <v>#REF!</v>
      </c>
      <c r="V8" s="8"/>
      <c r="W8" s="8" t="e">
        <f t="shared" si="7"/>
        <v>#REF!</v>
      </c>
      <c r="X8" s="27"/>
      <c r="Y8" s="26" t="e">
        <f t="shared" si="13"/>
        <v>#REF!</v>
      </c>
      <c r="Z8" s="95" t="e">
        <f>#REF!*2</f>
        <v>#REF!</v>
      </c>
      <c r="AA8" s="95"/>
      <c r="AB8" s="8">
        <f>'Business_172 PH Rd Budget'!$C$25</f>
        <v>2155.2899999999995</v>
      </c>
      <c r="AC8" s="8" t="e">
        <f t="shared" si="14"/>
        <v>#REF!</v>
      </c>
      <c r="AD8" s="8" t="e">
        <f t="shared" si="8"/>
        <v>#REF!</v>
      </c>
      <c r="AE8" s="76" t="e">
        <f t="shared" si="1"/>
        <v>#REF!</v>
      </c>
      <c r="AF8" s="8" t="e">
        <f t="shared" si="2"/>
        <v>#REF!</v>
      </c>
      <c r="AH8" s="7" t="e">
        <f t="shared" si="9"/>
        <v>#REF!</v>
      </c>
      <c r="AI8" s="79" t="e">
        <f t="shared" si="15"/>
        <v>#REF!</v>
      </c>
      <c r="AJ8" s="79" t="e">
        <f t="shared" si="18"/>
        <v>#REF!</v>
      </c>
      <c r="AK8" s="75" t="e">
        <f>PMT(#REF!,#REF!,-#REF!,0,0)</f>
        <v>#REF!</v>
      </c>
      <c r="AL8" s="75"/>
      <c r="AM8" s="7" t="e">
        <f>AJ8*(#REF!/12)</f>
        <v>#REF!</v>
      </c>
      <c r="AN8" s="7" t="e">
        <f t="shared" si="16"/>
        <v>#REF!</v>
      </c>
      <c r="AO8" s="75" t="e">
        <f t="shared" si="3"/>
        <v>#REF!</v>
      </c>
      <c r="AP8" s="75" t="e">
        <f t="shared" si="17"/>
        <v>#REF!</v>
      </c>
      <c r="AQ8" s="7" t="e">
        <f t="shared" si="10"/>
        <v>#REF!</v>
      </c>
      <c r="AR8" s="41"/>
    </row>
    <row r="9" spans="2:44" x14ac:dyDescent="0.25">
      <c r="J9" s="5">
        <f t="shared" si="4"/>
        <v>28</v>
      </c>
      <c r="K9" s="64">
        <f t="shared" si="5"/>
        <v>2026</v>
      </c>
      <c r="L9" s="34" t="s">
        <v>44</v>
      </c>
      <c r="M9" s="70">
        <f t="shared" si="11"/>
        <v>350</v>
      </c>
      <c r="N9" s="70">
        <f t="shared" si="0"/>
        <v>350</v>
      </c>
      <c r="O9" s="71"/>
      <c r="P9" s="86">
        <v>4</v>
      </c>
      <c r="Q9" s="51">
        <v>0</v>
      </c>
      <c r="R9" s="88">
        <f t="shared" si="12"/>
        <v>0</v>
      </c>
      <c r="S9" s="6">
        <v>0</v>
      </c>
      <c r="T9" s="8">
        <f t="shared" si="6"/>
        <v>0</v>
      </c>
      <c r="U9" s="8" t="e">
        <f>#REF!</f>
        <v>#REF!</v>
      </c>
      <c r="V9" s="8"/>
      <c r="W9" s="8" t="e">
        <f t="shared" si="7"/>
        <v>#REF!</v>
      </c>
      <c r="X9" s="27"/>
      <c r="Y9" s="26" t="e">
        <f t="shared" si="13"/>
        <v>#REF!</v>
      </c>
      <c r="Z9" s="95" t="e">
        <f>#REF!*2</f>
        <v>#REF!</v>
      </c>
      <c r="AA9" s="95"/>
      <c r="AB9" s="8">
        <f>'Business_172 PH Rd Budget'!$C$25</f>
        <v>2155.2899999999995</v>
      </c>
      <c r="AC9" s="8" t="e">
        <f t="shared" si="14"/>
        <v>#REF!</v>
      </c>
      <c r="AD9" s="8" t="e">
        <f t="shared" si="8"/>
        <v>#REF!</v>
      </c>
      <c r="AE9" s="76" t="e">
        <f t="shared" si="1"/>
        <v>#REF!</v>
      </c>
      <c r="AF9" s="8" t="e">
        <f t="shared" si="2"/>
        <v>#REF!</v>
      </c>
      <c r="AH9" s="7" t="e">
        <f t="shared" si="9"/>
        <v>#REF!</v>
      </c>
      <c r="AI9" s="79" t="e">
        <f t="shared" si="15"/>
        <v>#REF!</v>
      </c>
      <c r="AJ9" s="79" t="e">
        <f t="shared" si="18"/>
        <v>#REF!</v>
      </c>
      <c r="AK9" s="75" t="e">
        <f>PMT(#REF!,#REF!,-#REF!,0,0)</f>
        <v>#REF!</v>
      </c>
      <c r="AL9" s="75"/>
      <c r="AM9" s="7" t="e">
        <f>AJ9*(#REF!/12)</f>
        <v>#REF!</v>
      </c>
      <c r="AN9" s="7" t="e">
        <f t="shared" si="16"/>
        <v>#REF!</v>
      </c>
      <c r="AO9" s="75" t="e">
        <f t="shared" si="3"/>
        <v>#REF!</v>
      </c>
      <c r="AP9" s="75" t="e">
        <f t="shared" si="17"/>
        <v>#REF!</v>
      </c>
      <c r="AQ9" s="7" t="e">
        <f t="shared" si="10"/>
        <v>#REF!</v>
      </c>
      <c r="AR9" s="41"/>
    </row>
    <row r="10" spans="2:44" x14ac:dyDescent="0.25">
      <c r="C10" s="40" t="s">
        <v>275</v>
      </c>
      <c r="D10" s="40" t="s">
        <v>276</v>
      </c>
      <c r="E10" s="40" t="s">
        <v>277</v>
      </c>
      <c r="F10" s="40" t="s">
        <v>278</v>
      </c>
      <c r="G10" s="40" t="s">
        <v>279</v>
      </c>
      <c r="H10" s="40" t="s">
        <v>280</v>
      </c>
      <c r="J10" s="5">
        <f t="shared" si="4"/>
        <v>28</v>
      </c>
      <c r="K10" s="64">
        <f t="shared" si="5"/>
        <v>2026</v>
      </c>
      <c r="L10" s="34" t="s">
        <v>47</v>
      </c>
      <c r="M10" s="70">
        <f t="shared" si="11"/>
        <v>350</v>
      </c>
      <c r="N10" s="70">
        <f t="shared" si="0"/>
        <v>350</v>
      </c>
      <c r="O10" s="71"/>
      <c r="P10" s="86">
        <v>5</v>
      </c>
      <c r="Q10" s="44">
        <v>0</v>
      </c>
      <c r="R10" s="88">
        <f t="shared" si="12"/>
        <v>0</v>
      </c>
      <c r="S10" s="6">
        <v>0</v>
      </c>
      <c r="T10" s="8">
        <f t="shared" si="6"/>
        <v>0</v>
      </c>
      <c r="U10" s="8" t="e">
        <f>#REF!</f>
        <v>#REF!</v>
      </c>
      <c r="V10" s="8"/>
      <c r="W10" s="8" t="e">
        <f t="shared" si="7"/>
        <v>#REF!</v>
      </c>
      <c r="X10" s="27"/>
      <c r="Y10" s="26" t="e">
        <f t="shared" si="13"/>
        <v>#REF!</v>
      </c>
      <c r="Z10" s="95" t="e">
        <f>#REF!*2</f>
        <v>#REF!</v>
      </c>
      <c r="AA10" s="95"/>
      <c r="AB10" s="8">
        <f>'Business_172 PH Rd Budget'!$C$25</f>
        <v>2155.2899999999995</v>
      </c>
      <c r="AC10" s="8" t="e">
        <f t="shared" si="14"/>
        <v>#REF!</v>
      </c>
      <c r="AD10" s="8" t="e">
        <f t="shared" si="8"/>
        <v>#REF!</v>
      </c>
      <c r="AE10" s="76" t="e">
        <f t="shared" si="1"/>
        <v>#REF!</v>
      </c>
      <c r="AF10" s="8" t="e">
        <f t="shared" si="2"/>
        <v>#REF!</v>
      </c>
      <c r="AH10" s="7" t="e">
        <f t="shared" si="9"/>
        <v>#REF!</v>
      </c>
      <c r="AI10" s="79" t="e">
        <f t="shared" si="15"/>
        <v>#REF!</v>
      </c>
      <c r="AJ10" s="79" t="e">
        <f t="shared" si="18"/>
        <v>#REF!</v>
      </c>
      <c r="AK10" s="75" t="e">
        <f>PMT(#REF!,#REF!,-#REF!,0,0)</f>
        <v>#REF!</v>
      </c>
      <c r="AL10" s="75"/>
      <c r="AM10" s="7" t="e">
        <f>AJ10*(#REF!/12)</f>
        <v>#REF!</v>
      </c>
      <c r="AN10" s="7" t="e">
        <f t="shared" si="16"/>
        <v>#REF!</v>
      </c>
      <c r="AO10" s="75" t="e">
        <f t="shared" si="3"/>
        <v>#REF!</v>
      </c>
      <c r="AP10" s="75" t="e">
        <f t="shared" si="17"/>
        <v>#REF!</v>
      </c>
      <c r="AQ10" s="7" t="e">
        <f t="shared" si="10"/>
        <v>#REF!</v>
      </c>
      <c r="AR10" s="41"/>
    </row>
    <row r="11" spans="2:44" x14ac:dyDescent="0.25">
      <c r="B11" s="5">
        <f>C2</f>
        <v>2026</v>
      </c>
      <c r="C11" s="7">
        <f t="shared" ref="C11:C26" si="19">SUMIF($K$3:$K$194,$B11,$T$3:$T$194)</f>
        <v>0</v>
      </c>
      <c r="D11" s="7" t="e">
        <f>SUMIF($K$3:$K$194,$B11,$U$3:$U$194)</f>
        <v>#REF!</v>
      </c>
      <c r="E11" s="7" t="e">
        <f t="shared" ref="E11:E22" si="20">SUMIF($K$3:$K$194,B11,$AM$3:$AM$302)</f>
        <v>#REF!</v>
      </c>
      <c r="F11" s="7">
        <f>SUMIF($K$3:$K$194,$B11,$V$3:$V$194)</f>
        <v>0</v>
      </c>
      <c r="G11" s="7" t="e">
        <f>C11-(D11+F11)</f>
        <v>#REF!</v>
      </c>
      <c r="H11" s="7" t="e">
        <f>C11-(D11+F11)+($Z$3*12)</f>
        <v>#REF!</v>
      </c>
      <c r="J11" s="5">
        <f t="shared" si="4"/>
        <v>28</v>
      </c>
      <c r="K11" s="64">
        <f t="shared" si="5"/>
        <v>2026</v>
      </c>
      <c r="L11" s="34" t="s">
        <v>49</v>
      </c>
      <c r="M11" s="70">
        <f t="shared" si="11"/>
        <v>350</v>
      </c>
      <c r="N11" s="70">
        <f t="shared" si="0"/>
        <v>350</v>
      </c>
      <c r="O11" s="71"/>
      <c r="P11" s="86">
        <v>4</v>
      </c>
      <c r="Q11" s="44">
        <v>0</v>
      </c>
      <c r="R11" s="88">
        <f t="shared" si="12"/>
        <v>0</v>
      </c>
      <c r="S11" s="6">
        <v>0</v>
      </c>
      <c r="T11" s="8">
        <f t="shared" si="6"/>
        <v>0</v>
      </c>
      <c r="U11" s="8" t="e">
        <f>#REF!</f>
        <v>#REF!</v>
      </c>
      <c r="V11" s="8"/>
      <c r="W11" s="8" t="e">
        <f t="shared" si="7"/>
        <v>#REF!</v>
      </c>
      <c r="X11" s="27"/>
      <c r="Y11" s="26" t="e">
        <f t="shared" si="13"/>
        <v>#REF!</v>
      </c>
      <c r="Z11" s="95" t="e">
        <f>#REF!*2</f>
        <v>#REF!</v>
      </c>
      <c r="AA11" s="95"/>
      <c r="AB11" s="8">
        <f>'Business_172 PH Rd Budget'!$C$25</f>
        <v>2155.2899999999995</v>
      </c>
      <c r="AC11" s="8" t="e">
        <f t="shared" si="14"/>
        <v>#REF!</v>
      </c>
      <c r="AD11" s="8" t="e">
        <f t="shared" si="8"/>
        <v>#REF!</v>
      </c>
      <c r="AE11" s="76" t="e">
        <f t="shared" si="1"/>
        <v>#REF!</v>
      </c>
      <c r="AF11" s="8" t="e">
        <f t="shared" si="2"/>
        <v>#REF!</v>
      </c>
      <c r="AH11" s="7" t="e">
        <f t="shared" si="9"/>
        <v>#REF!</v>
      </c>
      <c r="AI11" s="79" t="e">
        <f t="shared" si="15"/>
        <v>#REF!</v>
      </c>
      <c r="AJ11" s="79" t="e">
        <f t="shared" si="18"/>
        <v>#REF!</v>
      </c>
      <c r="AK11" s="75" t="e">
        <f>PMT(#REF!,#REF!,-#REF!,0,0)</f>
        <v>#REF!</v>
      </c>
      <c r="AL11" s="75"/>
      <c r="AM11" s="7" t="e">
        <f>AJ11*(#REF!/12)</f>
        <v>#REF!</v>
      </c>
      <c r="AN11" s="7" t="e">
        <f t="shared" si="16"/>
        <v>#REF!</v>
      </c>
      <c r="AO11" s="75" t="e">
        <f t="shared" si="3"/>
        <v>#REF!</v>
      </c>
      <c r="AP11" s="75" t="e">
        <f t="shared" si="17"/>
        <v>#REF!</v>
      </c>
      <c r="AQ11" s="7" t="e">
        <f t="shared" si="10"/>
        <v>#REF!</v>
      </c>
      <c r="AR11" s="41"/>
    </row>
    <row r="12" spans="2:44" x14ac:dyDescent="0.25">
      <c r="B12" s="5">
        <f>B11+1</f>
        <v>2027</v>
      </c>
      <c r="C12" s="7">
        <f>SUMIF($K$3:$K$194,$B12,$T$3:$T$194)</f>
        <v>4042.5</v>
      </c>
      <c r="D12" s="7" t="e">
        <f t="shared" ref="D12:D26" si="21">SUMIF($K$3:$K$194,$B12,$U$3:$U$194)</f>
        <v>#REF!</v>
      </c>
      <c r="E12" s="7" t="e">
        <f t="shared" si="20"/>
        <v>#REF!</v>
      </c>
      <c r="F12" s="7">
        <f t="shared" ref="F12:F26" si="22">SUMIF($K$3:$K$194,$B12,$V$3:$V$194)</f>
        <v>0</v>
      </c>
      <c r="G12" s="7" t="e">
        <f t="shared" ref="G12:G26" si="23">C12-(D12+F12)</f>
        <v>#REF!</v>
      </c>
      <c r="H12" s="7" t="e">
        <f t="shared" ref="H12:H26" si="24">C12-(D12+F12)+($Z$3*12)</f>
        <v>#REF!</v>
      </c>
      <c r="J12" s="5">
        <f t="shared" si="4"/>
        <v>28</v>
      </c>
      <c r="K12" s="64">
        <f t="shared" si="5"/>
        <v>2026</v>
      </c>
      <c r="L12" s="34" t="s">
        <v>51</v>
      </c>
      <c r="M12" s="70">
        <f t="shared" si="11"/>
        <v>350</v>
      </c>
      <c r="N12" s="70">
        <f t="shared" si="0"/>
        <v>350</v>
      </c>
      <c r="O12" s="71"/>
      <c r="P12" s="86">
        <v>5</v>
      </c>
      <c r="Q12" s="44">
        <v>0</v>
      </c>
      <c r="R12" s="88">
        <f t="shared" si="12"/>
        <v>0</v>
      </c>
      <c r="S12" s="6">
        <v>0</v>
      </c>
      <c r="T12" s="8">
        <f t="shared" si="6"/>
        <v>0</v>
      </c>
      <c r="U12" s="8" t="e">
        <f>#REF!</f>
        <v>#REF!</v>
      </c>
      <c r="V12" s="8"/>
      <c r="W12" s="8" t="e">
        <f t="shared" si="7"/>
        <v>#REF!</v>
      </c>
      <c r="X12" s="27"/>
      <c r="Y12" s="26" t="e">
        <f t="shared" si="13"/>
        <v>#REF!</v>
      </c>
      <c r="Z12" s="95" t="e">
        <f>#REF!*2</f>
        <v>#REF!</v>
      </c>
      <c r="AA12" s="95"/>
      <c r="AB12" s="8">
        <f>'Business_172 PH Rd Budget'!$C$25</f>
        <v>2155.2899999999995</v>
      </c>
      <c r="AC12" s="8" t="e">
        <f t="shared" si="14"/>
        <v>#REF!</v>
      </c>
      <c r="AD12" s="8" t="e">
        <f t="shared" si="8"/>
        <v>#REF!</v>
      </c>
      <c r="AE12" s="76" t="e">
        <f t="shared" si="1"/>
        <v>#REF!</v>
      </c>
      <c r="AF12" s="8" t="e">
        <f t="shared" si="2"/>
        <v>#REF!</v>
      </c>
      <c r="AH12" s="7" t="e">
        <f t="shared" si="9"/>
        <v>#REF!</v>
      </c>
      <c r="AI12" s="79" t="e">
        <f t="shared" si="15"/>
        <v>#REF!</v>
      </c>
      <c r="AJ12" s="79" t="e">
        <f t="shared" si="18"/>
        <v>#REF!</v>
      </c>
      <c r="AK12" s="75" t="e">
        <f>PMT(#REF!,#REF!,-#REF!,0,0)</f>
        <v>#REF!</v>
      </c>
      <c r="AL12" s="75"/>
      <c r="AM12" s="7" t="e">
        <f>AJ12*(#REF!/12)</f>
        <v>#REF!</v>
      </c>
      <c r="AN12" s="7" t="e">
        <f t="shared" si="16"/>
        <v>#REF!</v>
      </c>
      <c r="AO12" s="75" t="e">
        <f t="shared" si="3"/>
        <v>#REF!</v>
      </c>
      <c r="AP12" s="75" t="e">
        <f t="shared" si="17"/>
        <v>#REF!</v>
      </c>
      <c r="AQ12" s="7" t="e">
        <f t="shared" si="10"/>
        <v>#REF!</v>
      </c>
      <c r="AR12" s="41"/>
    </row>
    <row r="13" spans="2:44" x14ac:dyDescent="0.25">
      <c r="B13" s="5">
        <f t="shared" ref="B13:B26" si="25">B12+1</f>
        <v>2028</v>
      </c>
      <c r="C13" s="7">
        <f t="shared" si="19"/>
        <v>6945.75</v>
      </c>
      <c r="D13" s="7" t="e">
        <f t="shared" si="21"/>
        <v>#REF!</v>
      </c>
      <c r="E13" s="7" t="e">
        <f t="shared" si="20"/>
        <v>#REF!</v>
      </c>
      <c r="F13" s="7">
        <f t="shared" si="22"/>
        <v>0</v>
      </c>
      <c r="G13" s="7" t="e">
        <f t="shared" si="23"/>
        <v>#REF!</v>
      </c>
      <c r="H13" s="7" t="e">
        <f t="shared" si="24"/>
        <v>#REF!</v>
      </c>
      <c r="J13" s="5">
        <f t="shared" si="4"/>
        <v>28</v>
      </c>
      <c r="K13" s="64">
        <f t="shared" si="5"/>
        <v>2026</v>
      </c>
      <c r="L13" s="34" t="s">
        <v>53</v>
      </c>
      <c r="M13" s="70">
        <f t="shared" si="11"/>
        <v>350</v>
      </c>
      <c r="N13" s="70">
        <f t="shared" si="0"/>
        <v>315</v>
      </c>
      <c r="O13" s="71"/>
      <c r="P13" s="86"/>
      <c r="Q13" s="51">
        <v>0</v>
      </c>
      <c r="R13" s="88" t="str">
        <f t="shared" si="12"/>
        <v/>
      </c>
      <c r="S13" s="6">
        <v>0.1</v>
      </c>
      <c r="T13" s="8">
        <f t="shared" si="6"/>
        <v>0</v>
      </c>
      <c r="U13" s="8" t="e">
        <f>#REF!</f>
        <v>#REF!</v>
      </c>
      <c r="V13" s="8"/>
      <c r="W13" s="8" t="e">
        <f t="shared" si="7"/>
        <v>#REF!</v>
      </c>
      <c r="X13" s="27"/>
      <c r="Y13" s="26" t="e">
        <f t="shared" si="13"/>
        <v>#REF!</v>
      </c>
      <c r="Z13" s="95" t="e">
        <f>#REF!*2</f>
        <v>#REF!</v>
      </c>
      <c r="AA13" s="95"/>
      <c r="AB13" s="8">
        <f>'Business_172 PH Rd Budget'!$C$25</f>
        <v>2155.2899999999995</v>
      </c>
      <c r="AC13" s="8" t="e">
        <f t="shared" si="14"/>
        <v>#REF!</v>
      </c>
      <c r="AD13" s="8" t="e">
        <f t="shared" si="8"/>
        <v>#REF!</v>
      </c>
      <c r="AE13" s="76" t="e">
        <f t="shared" si="1"/>
        <v>#REF!</v>
      </c>
      <c r="AF13" s="8" t="e">
        <f t="shared" si="2"/>
        <v>#REF!</v>
      </c>
      <c r="AH13" s="7" t="e">
        <f t="shared" si="9"/>
        <v>#REF!</v>
      </c>
      <c r="AI13" s="79" t="e">
        <f t="shared" si="15"/>
        <v>#REF!</v>
      </c>
      <c r="AJ13" s="79" t="e">
        <f t="shared" si="18"/>
        <v>#REF!</v>
      </c>
      <c r="AK13" s="75" t="e">
        <f>PMT(#REF!,#REF!,-#REF!,0,0)</f>
        <v>#REF!</v>
      </c>
      <c r="AL13" s="75"/>
      <c r="AM13" s="7" t="e">
        <f>AJ13*(#REF!/12)</f>
        <v>#REF!</v>
      </c>
      <c r="AN13" s="7" t="e">
        <f t="shared" si="16"/>
        <v>#REF!</v>
      </c>
      <c r="AO13" s="75" t="e">
        <f t="shared" si="3"/>
        <v>#REF!</v>
      </c>
      <c r="AP13" s="75" t="e">
        <f t="shared" si="17"/>
        <v>#REF!</v>
      </c>
      <c r="AQ13" s="7" t="e">
        <f t="shared" si="10"/>
        <v>#REF!</v>
      </c>
      <c r="AR13" s="41"/>
    </row>
    <row r="14" spans="2:44" x14ac:dyDescent="0.25">
      <c r="B14" s="5">
        <f t="shared" si="25"/>
        <v>2029</v>
      </c>
      <c r="C14" s="7">
        <f t="shared" si="19"/>
        <v>8913.7125000000015</v>
      </c>
      <c r="D14" s="7" t="e">
        <f t="shared" si="21"/>
        <v>#REF!</v>
      </c>
      <c r="E14" s="7" t="e">
        <f t="shared" si="20"/>
        <v>#REF!</v>
      </c>
      <c r="F14" s="7">
        <f t="shared" si="22"/>
        <v>0</v>
      </c>
      <c r="G14" s="7" t="e">
        <f t="shared" si="23"/>
        <v>#REF!</v>
      </c>
      <c r="H14" s="7" t="e">
        <f t="shared" si="24"/>
        <v>#REF!</v>
      </c>
      <c r="J14" s="5">
        <f t="shared" si="4"/>
        <v>28</v>
      </c>
      <c r="K14" s="64">
        <f t="shared" si="5"/>
        <v>2026</v>
      </c>
      <c r="L14" s="34" t="s">
        <v>55</v>
      </c>
      <c r="M14" s="70">
        <f t="shared" si="11"/>
        <v>350</v>
      </c>
      <c r="N14" s="70">
        <f t="shared" si="0"/>
        <v>280</v>
      </c>
      <c r="O14" s="71"/>
      <c r="P14" s="86"/>
      <c r="Q14" s="51">
        <v>0</v>
      </c>
      <c r="R14" s="88" t="str">
        <f t="shared" si="12"/>
        <v/>
      </c>
      <c r="S14" s="6">
        <v>0.2</v>
      </c>
      <c r="T14" s="8">
        <f t="shared" si="6"/>
        <v>0</v>
      </c>
      <c r="U14" s="8" t="e">
        <f>#REF!</f>
        <v>#REF!</v>
      </c>
      <c r="V14" s="8"/>
      <c r="W14" s="8" t="e">
        <f t="shared" si="7"/>
        <v>#REF!</v>
      </c>
      <c r="X14" s="27"/>
      <c r="Y14" s="26" t="e">
        <f t="shared" si="13"/>
        <v>#REF!</v>
      </c>
      <c r="Z14" s="95" t="e">
        <f>#REF!*2</f>
        <v>#REF!</v>
      </c>
      <c r="AA14" s="95"/>
      <c r="AB14" s="8">
        <f>'Business_172 PH Rd Budget'!$C$25</f>
        <v>2155.2899999999995</v>
      </c>
      <c r="AC14" s="8" t="e">
        <f t="shared" si="14"/>
        <v>#REF!</v>
      </c>
      <c r="AD14" s="8" t="e">
        <f t="shared" si="8"/>
        <v>#REF!</v>
      </c>
      <c r="AE14" s="76" t="e">
        <f t="shared" si="1"/>
        <v>#REF!</v>
      </c>
      <c r="AF14" s="8" t="e">
        <f t="shared" si="2"/>
        <v>#REF!</v>
      </c>
      <c r="AH14" s="7" t="e">
        <f t="shared" si="9"/>
        <v>#REF!</v>
      </c>
      <c r="AI14" s="79" t="e">
        <f t="shared" si="15"/>
        <v>#REF!</v>
      </c>
      <c r="AJ14" s="79" t="e">
        <f t="shared" si="18"/>
        <v>#REF!</v>
      </c>
      <c r="AK14" s="75" t="e">
        <f>PMT(#REF!,#REF!,-#REF!,0,0)</f>
        <v>#REF!</v>
      </c>
      <c r="AL14" s="75"/>
      <c r="AM14" s="7" t="e">
        <f>AJ14*(#REF!/12)</f>
        <v>#REF!</v>
      </c>
      <c r="AN14" s="7" t="e">
        <f t="shared" si="16"/>
        <v>#REF!</v>
      </c>
      <c r="AO14" s="75" t="e">
        <f t="shared" si="3"/>
        <v>#REF!</v>
      </c>
      <c r="AP14" s="75" t="e">
        <f t="shared" si="17"/>
        <v>#REF!</v>
      </c>
      <c r="AQ14" s="7" t="e">
        <f t="shared" si="10"/>
        <v>#REF!</v>
      </c>
      <c r="AR14" s="41"/>
    </row>
    <row r="15" spans="2:44" x14ac:dyDescent="0.25">
      <c r="B15" s="5">
        <f t="shared" si="25"/>
        <v>2030</v>
      </c>
      <c r="C15" s="7">
        <f t="shared" si="19"/>
        <v>9359.3981249999997</v>
      </c>
      <c r="D15" s="7" t="e">
        <f t="shared" si="21"/>
        <v>#REF!</v>
      </c>
      <c r="E15" s="7" t="e">
        <f t="shared" si="20"/>
        <v>#REF!</v>
      </c>
      <c r="F15" s="7">
        <f t="shared" si="22"/>
        <v>0</v>
      </c>
      <c r="G15" s="7" t="e">
        <f t="shared" si="23"/>
        <v>#REF!</v>
      </c>
      <c r="H15" s="7" t="e">
        <f t="shared" si="24"/>
        <v>#REF!</v>
      </c>
      <c r="J15" s="5">
        <f t="shared" si="4"/>
        <v>29</v>
      </c>
      <c r="K15" s="5">
        <f>K3+1</f>
        <v>2027</v>
      </c>
      <c r="L15" s="34" t="s">
        <v>31</v>
      </c>
      <c r="M15" s="70">
        <f>M14*(1+O15)</f>
        <v>367.5</v>
      </c>
      <c r="N15" s="70">
        <f t="shared" si="0"/>
        <v>275.625</v>
      </c>
      <c r="O15" s="71">
        <v>0.05</v>
      </c>
      <c r="P15" s="86"/>
      <c r="Q15" s="51">
        <v>0</v>
      </c>
      <c r="R15" s="88" t="str">
        <f t="shared" si="12"/>
        <v/>
      </c>
      <c r="S15" s="6">
        <v>0.25</v>
      </c>
      <c r="T15" s="8">
        <f t="shared" si="6"/>
        <v>0</v>
      </c>
      <c r="U15" s="8" t="e">
        <f>#REF!</f>
        <v>#REF!</v>
      </c>
      <c r="V15" s="8"/>
      <c r="W15" s="8" t="e">
        <f t="shared" si="7"/>
        <v>#REF!</v>
      </c>
      <c r="X15" s="27"/>
      <c r="Y15" s="26" t="e">
        <f t="shared" si="13"/>
        <v>#REF!</v>
      </c>
      <c r="Z15" s="95" t="e">
        <f>#REF!*2</f>
        <v>#REF!</v>
      </c>
      <c r="AA15" s="95"/>
      <c r="AB15" s="8">
        <f>'Business_172 PH Rd Budget'!$C$25</f>
        <v>2155.2899999999995</v>
      </c>
      <c r="AC15" s="8" t="e">
        <f t="shared" si="14"/>
        <v>#REF!</v>
      </c>
      <c r="AD15" s="8" t="e">
        <f t="shared" si="8"/>
        <v>#REF!</v>
      </c>
      <c r="AE15" s="76" t="e">
        <f t="shared" si="1"/>
        <v>#REF!</v>
      </c>
      <c r="AF15" s="8" t="e">
        <f t="shared" si="2"/>
        <v>#REF!</v>
      </c>
      <c r="AH15" s="7" t="e">
        <f t="shared" si="9"/>
        <v>#REF!</v>
      </c>
      <c r="AI15" s="79" t="e">
        <f t="shared" si="15"/>
        <v>#REF!</v>
      </c>
      <c r="AJ15" s="79" t="e">
        <f t="shared" si="18"/>
        <v>#REF!</v>
      </c>
      <c r="AK15" s="75" t="e">
        <f>PMT(#REF!,#REF!,-#REF!,0,0)</f>
        <v>#REF!</v>
      </c>
      <c r="AL15" s="75"/>
      <c r="AM15" s="7" t="e">
        <f>AJ15*(#REF!/12)</f>
        <v>#REF!</v>
      </c>
      <c r="AN15" s="7" t="e">
        <f t="shared" si="16"/>
        <v>#REF!</v>
      </c>
      <c r="AO15" s="75" t="e">
        <f t="shared" si="3"/>
        <v>#REF!</v>
      </c>
      <c r="AP15" s="75" t="e">
        <f t="shared" si="17"/>
        <v>#REF!</v>
      </c>
      <c r="AQ15" s="7" t="e">
        <f t="shared" si="10"/>
        <v>#REF!</v>
      </c>
      <c r="AR15" s="41"/>
    </row>
    <row r="16" spans="2:44" x14ac:dyDescent="0.25">
      <c r="B16" s="5">
        <f t="shared" si="25"/>
        <v>2031</v>
      </c>
      <c r="C16" s="7">
        <f t="shared" si="19"/>
        <v>9827.3680312500019</v>
      </c>
      <c r="D16" s="7" t="e">
        <f t="shared" si="21"/>
        <v>#REF!</v>
      </c>
      <c r="E16" s="7" t="e">
        <f t="shared" si="20"/>
        <v>#REF!</v>
      </c>
      <c r="F16" s="7">
        <f t="shared" si="22"/>
        <v>0</v>
      </c>
      <c r="G16" s="7" t="e">
        <f t="shared" si="23"/>
        <v>#REF!</v>
      </c>
      <c r="H16" s="7" t="e">
        <f t="shared" si="24"/>
        <v>#REF!</v>
      </c>
      <c r="J16" s="5">
        <f t="shared" si="4"/>
        <v>29</v>
      </c>
      <c r="K16" s="5">
        <f t="shared" ref="K16:K79" si="26">K4+1</f>
        <v>2027</v>
      </c>
      <c r="L16" s="34" t="s">
        <v>33</v>
      </c>
      <c r="M16" s="70">
        <f t="shared" si="11"/>
        <v>367.5</v>
      </c>
      <c r="N16" s="70">
        <f t="shared" si="0"/>
        <v>275.625</v>
      </c>
      <c r="O16" s="71"/>
      <c r="P16" s="86"/>
      <c r="Q16" s="51">
        <v>0</v>
      </c>
      <c r="R16" s="88" t="str">
        <f t="shared" si="12"/>
        <v/>
      </c>
      <c r="S16" s="6">
        <v>0.25</v>
      </c>
      <c r="T16" s="8">
        <f t="shared" si="6"/>
        <v>0</v>
      </c>
      <c r="U16" s="8" t="e">
        <f>#REF!</f>
        <v>#REF!</v>
      </c>
      <c r="V16" s="8"/>
      <c r="W16" s="8" t="e">
        <f t="shared" si="7"/>
        <v>#REF!</v>
      </c>
      <c r="X16" s="27"/>
      <c r="Y16" s="26" t="e">
        <f t="shared" si="13"/>
        <v>#REF!</v>
      </c>
      <c r="Z16" s="95" t="e">
        <f>#REF!*2</f>
        <v>#REF!</v>
      </c>
      <c r="AA16" s="95"/>
      <c r="AB16" s="8">
        <f>'Business_172 PH Rd Budget'!$C$25</f>
        <v>2155.2899999999995</v>
      </c>
      <c r="AC16" s="8" t="e">
        <f t="shared" si="14"/>
        <v>#REF!</v>
      </c>
      <c r="AD16" s="8" t="e">
        <f t="shared" si="8"/>
        <v>#REF!</v>
      </c>
      <c r="AE16" s="76" t="e">
        <f t="shared" si="1"/>
        <v>#REF!</v>
      </c>
      <c r="AF16" s="8" t="e">
        <f t="shared" si="2"/>
        <v>#REF!</v>
      </c>
      <c r="AH16" s="7" t="e">
        <f t="shared" si="9"/>
        <v>#REF!</v>
      </c>
      <c r="AI16" s="79" t="e">
        <f t="shared" si="15"/>
        <v>#REF!</v>
      </c>
      <c r="AJ16" s="79" t="e">
        <f t="shared" si="18"/>
        <v>#REF!</v>
      </c>
      <c r="AK16" s="75" t="e">
        <f>PMT(#REF!,#REF!,-#REF!,0,0)</f>
        <v>#REF!</v>
      </c>
      <c r="AL16" s="75"/>
      <c r="AM16" s="7" t="e">
        <f>AJ16*(#REF!/12)</f>
        <v>#REF!</v>
      </c>
      <c r="AN16" s="7" t="e">
        <f t="shared" si="16"/>
        <v>#REF!</v>
      </c>
      <c r="AO16" s="75" t="e">
        <f t="shared" si="3"/>
        <v>#REF!</v>
      </c>
      <c r="AP16" s="75" t="e">
        <f t="shared" si="17"/>
        <v>#REF!</v>
      </c>
      <c r="AQ16" s="7" t="e">
        <f t="shared" si="10"/>
        <v>#REF!</v>
      </c>
      <c r="AR16" s="41"/>
    </row>
    <row r="17" spans="2:46" x14ac:dyDescent="0.25">
      <c r="B17" s="5">
        <f t="shared" si="25"/>
        <v>2032</v>
      </c>
      <c r="C17" s="7">
        <f t="shared" si="19"/>
        <v>10318.736432812502</v>
      </c>
      <c r="D17" s="7" t="e">
        <f t="shared" si="21"/>
        <v>#REF!</v>
      </c>
      <c r="E17" s="7" t="e">
        <f t="shared" si="20"/>
        <v>#REF!</v>
      </c>
      <c r="F17" s="7">
        <f t="shared" si="22"/>
        <v>0</v>
      </c>
      <c r="G17" s="7" t="e">
        <f t="shared" si="23"/>
        <v>#REF!</v>
      </c>
      <c r="H17" s="7" t="e">
        <f t="shared" si="24"/>
        <v>#REF!</v>
      </c>
      <c r="J17" s="5">
        <f t="shared" si="4"/>
        <v>29</v>
      </c>
      <c r="K17" s="5">
        <f t="shared" si="26"/>
        <v>2027</v>
      </c>
      <c r="L17" s="34" t="s">
        <v>36</v>
      </c>
      <c r="M17" s="70">
        <f t="shared" si="11"/>
        <v>367.5</v>
      </c>
      <c r="N17" s="70">
        <f t="shared" si="0"/>
        <v>294</v>
      </c>
      <c r="O17" s="71"/>
      <c r="P17" s="86"/>
      <c r="Q17" s="51">
        <v>0</v>
      </c>
      <c r="R17" s="88" t="str">
        <f t="shared" si="12"/>
        <v/>
      </c>
      <c r="S17" s="6">
        <v>0.2</v>
      </c>
      <c r="T17" s="8">
        <f t="shared" si="6"/>
        <v>0</v>
      </c>
      <c r="U17" s="8" t="e">
        <f>#REF!</f>
        <v>#REF!</v>
      </c>
      <c r="V17" s="8"/>
      <c r="W17" s="8" t="e">
        <f t="shared" si="7"/>
        <v>#REF!</v>
      </c>
      <c r="X17" s="27"/>
      <c r="Y17" s="26" t="e">
        <f t="shared" si="13"/>
        <v>#REF!</v>
      </c>
      <c r="Z17" s="95" t="e">
        <f>#REF!*2</f>
        <v>#REF!</v>
      </c>
      <c r="AA17" s="95"/>
      <c r="AB17" s="8">
        <f>'Business_172 PH Rd Budget'!$C$25</f>
        <v>2155.2899999999995</v>
      </c>
      <c r="AC17" s="8" t="e">
        <f t="shared" si="14"/>
        <v>#REF!</v>
      </c>
      <c r="AD17" s="8" t="e">
        <f t="shared" si="8"/>
        <v>#REF!</v>
      </c>
      <c r="AE17" s="76" t="e">
        <f t="shared" si="1"/>
        <v>#REF!</v>
      </c>
      <c r="AF17" s="8" t="e">
        <f t="shared" si="2"/>
        <v>#REF!</v>
      </c>
      <c r="AH17" s="7" t="e">
        <f t="shared" si="9"/>
        <v>#REF!</v>
      </c>
      <c r="AI17" s="79" t="e">
        <f t="shared" si="15"/>
        <v>#REF!</v>
      </c>
      <c r="AJ17" s="79" t="e">
        <f t="shared" si="18"/>
        <v>#REF!</v>
      </c>
      <c r="AK17" s="75" t="e">
        <f>PMT(#REF!,#REF!,-#REF!,0,0)</f>
        <v>#REF!</v>
      </c>
      <c r="AL17" s="75"/>
      <c r="AM17" s="7" t="e">
        <f>AJ17*(#REF!/12)</f>
        <v>#REF!</v>
      </c>
      <c r="AN17" s="7" t="e">
        <f t="shared" si="16"/>
        <v>#REF!</v>
      </c>
      <c r="AO17" s="75" t="e">
        <f t="shared" si="3"/>
        <v>#REF!</v>
      </c>
      <c r="AP17" s="75" t="e">
        <f t="shared" si="17"/>
        <v>#REF!</v>
      </c>
      <c r="AQ17" s="7" t="e">
        <f t="shared" si="10"/>
        <v>#REF!</v>
      </c>
      <c r="AR17" s="41"/>
      <c r="AT17" s="72"/>
    </row>
    <row r="18" spans="2:46" x14ac:dyDescent="0.25">
      <c r="B18" s="5">
        <f t="shared" si="25"/>
        <v>2033</v>
      </c>
      <c r="C18" s="7">
        <f t="shared" si="19"/>
        <v>10834.673254453128</v>
      </c>
      <c r="D18" s="7" t="e">
        <f t="shared" si="21"/>
        <v>#REF!</v>
      </c>
      <c r="E18" s="7" t="e">
        <f t="shared" si="20"/>
        <v>#REF!</v>
      </c>
      <c r="F18" s="7">
        <f t="shared" si="22"/>
        <v>0</v>
      </c>
      <c r="G18" s="7" t="e">
        <f t="shared" si="23"/>
        <v>#REF!</v>
      </c>
      <c r="H18" s="7" t="e">
        <f t="shared" si="24"/>
        <v>#REF!</v>
      </c>
      <c r="J18" s="5">
        <f t="shared" si="4"/>
        <v>29</v>
      </c>
      <c r="K18" s="5">
        <f t="shared" si="26"/>
        <v>2027</v>
      </c>
      <c r="L18" s="34" t="s">
        <v>38</v>
      </c>
      <c r="M18" s="70">
        <f>M17*(1+O18)</f>
        <v>367.5</v>
      </c>
      <c r="N18" s="70">
        <f t="shared" si="0"/>
        <v>330.75</v>
      </c>
      <c r="O18" s="71"/>
      <c r="P18" s="86"/>
      <c r="Q18" s="51">
        <v>0</v>
      </c>
      <c r="R18" s="88" t="str">
        <f t="shared" si="12"/>
        <v/>
      </c>
      <c r="S18" s="6">
        <v>0.1</v>
      </c>
      <c r="T18" s="8">
        <f t="shared" si="6"/>
        <v>0</v>
      </c>
      <c r="U18" s="8" t="e">
        <f>#REF!</f>
        <v>#REF!</v>
      </c>
      <c r="V18" s="8"/>
      <c r="W18" s="8" t="e">
        <f t="shared" si="7"/>
        <v>#REF!</v>
      </c>
      <c r="X18" s="27"/>
      <c r="Y18" s="26" t="e">
        <f t="shared" si="13"/>
        <v>#REF!</v>
      </c>
      <c r="Z18" s="95" t="e">
        <f>#REF!*2</f>
        <v>#REF!</v>
      </c>
      <c r="AA18" s="95"/>
      <c r="AB18" s="8">
        <f>'Business_172 PH Rd Budget'!$C$25</f>
        <v>2155.2899999999995</v>
      </c>
      <c r="AC18" s="8" t="e">
        <f t="shared" si="14"/>
        <v>#REF!</v>
      </c>
      <c r="AD18" s="8" t="e">
        <f t="shared" si="8"/>
        <v>#REF!</v>
      </c>
      <c r="AE18" s="76" t="e">
        <f t="shared" si="1"/>
        <v>#REF!</v>
      </c>
      <c r="AF18" s="8" t="e">
        <f t="shared" si="2"/>
        <v>#REF!</v>
      </c>
      <c r="AH18" s="7" t="e">
        <f t="shared" si="9"/>
        <v>#REF!</v>
      </c>
      <c r="AI18" s="79" t="e">
        <f t="shared" si="15"/>
        <v>#REF!</v>
      </c>
      <c r="AJ18" s="79" t="e">
        <f t="shared" si="18"/>
        <v>#REF!</v>
      </c>
      <c r="AK18" s="75" t="e">
        <f>PMT(#REF!,#REF!,-#REF!,0,0)</f>
        <v>#REF!</v>
      </c>
      <c r="AL18" s="75"/>
      <c r="AM18" s="7" t="e">
        <f>AJ18*(#REF!/12)</f>
        <v>#REF!</v>
      </c>
      <c r="AN18" s="7" t="e">
        <f t="shared" si="16"/>
        <v>#REF!</v>
      </c>
      <c r="AO18" s="75" t="e">
        <f t="shared" si="3"/>
        <v>#REF!</v>
      </c>
      <c r="AP18" s="75" t="e">
        <f t="shared" si="17"/>
        <v>#REF!</v>
      </c>
      <c r="AQ18" s="7" t="e">
        <f t="shared" si="10"/>
        <v>#REF!</v>
      </c>
      <c r="AR18" s="41"/>
    </row>
    <row r="19" spans="2:46" x14ac:dyDescent="0.25">
      <c r="B19" s="5">
        <f t="shared" si="25"/>
        <v>2034</v>
      </c>
      <c r="C19" s="7">
        <f t="shared" si="19"/>
        <v>11376.406917175784</v>
      </c>
      <c r="D19" s="7" t="e">
        <f t="shared" si="21"/>
        <v>#REF!</v>
      </c>
      <c r="E19" s="7" t="e">
        <f t="shared" si="20"/>
        <v>#REF!</v>
      </c>
      <c r="F19" s="7">
        <f t="shared" si="22"/>
        <v>0</v>
      </c>
      <c r="G19" s="7" t="e">
        <f t="shared" si="23"/>
        <v>#REF!</v>
      </c>
      <c r="H19" s="7" t="e">
        <f t="shared" si="24"/>
        <v>#REF!</v>
      </c>
      <c r="J19" s="5">
        <f t="shared" si="4"/>
        <v>29</v>
      </c>
      <c r="K19" s="5">
        <f t="shared" si="26"/>
        <v>2027</v>
      </c>
      <c r="L19" s="34" t="s">
        <v>40</v>
      </c>
      <c r="M19" s="70">
        <f>M18*(1+O19)</f>
        <v>367.5</v>
      </c>
      <c r="N19" s="70">
        <f t="shared" si="0"/>
        <v>367.5</v>
      </c>
      <c r="O19" s="71"/>
      <c r="P19" s="86">
        <v>5</v>
      </c>
      <c r="Q19" s="51">
        <v>0</v>
      </c>
      <c r="R19" s="88">
        <f t="shared" si="12"/>
        <v>0</v>
      </c>
      <c r="S19" s="6">
        <v>0</v>
      </c>
      <c r="T19" s="8">
        <f t="shared" si="6"/>
        <v>0</v>
      </c>
      <c r="U19" s="8" t="e">
        <f>#REF!</f>
        <v>#REF!</v>
      </c>
      <c r="V19" s="8"/>
      <c r="W19" s="8" t="e">
        <f t="shared" si="7"/>
        <v>#REF!</v>
      </c>
      <c r="X19" s="27"/>
      <c r="Y19" s="26" t="e">
        <f t="shared" si="13"/>
        <v>#REF!</v>
      </c>
      <c r="Z19" s="95"/>
      <c r="AA19" s="95"/>
      <c r="AB19" s="8">
        <f>'Business_172 PH Rd Budget'!$C$25</f>
        <v>2155.2899999999995</v>
      </c>
      <c r="AC19" s="8" t="e">
        <f t="shared" si="14"/>
        <v>#REF!</v>
      </c>
      <c r="AD19" s="8" t="e">
        <f t="shared" si="8"/>
        <v>#REF!</v>
      </c>
      <c r="AE19" s="76" t="e">
        <f t="shared" si="1"/>
        <v>#REF!</v>
      </c>
      <c r="AF19" s="8" t="e">
        <f t="shared" si="2"/>
        <v>#REF!</v>
      </c>
      <c r="AH19" s="7" t="e">
        <f t="shared" si="9"/>
        <v>#REF!</v>
      </c>
      <c r="AI19" s="79" t="e">
        <f t="shared" si="15"/>
        <v>#REF!</v>
      </c>
      <c r="AJ19" s="79" t="e">
        <f t="shared" si="18"/>
        <v>#REF!</v>
      </c>
      <c r="AK19" s="75" t="e">
        <f>PMT(#REF!,#REF!,-#REF!,0,0)</f>
        <v>#REF!</v>
      </c>
      <c r="AL19" s="75"/>
      <c r="AM19" s="7" t="e">
        <f>AJ19*(#REF!/12)</f>
        <v>#REF!</v>
      </c>
      <c r="AN19" s="7" t="e">
        <f t="shared" si="16"/>
        <v>#REF!</v>
      </c>
      <c r="AO19" s="75" t="e">
        <f t="shared" si="3"/>
        <v>#REF!</v>
      </c>
      <c r="AP19" s="75" t="e">
        <f t="shared" si="17"/>
        <v>#REF!</v>
      </c>
      <c r="AQ19" s="7" t="e">
        <f t="shared" si="10"/>
        <v>#REF!</v>
      </c>
      <c r="AR19" s="41"/>
    </row>
    <row r="20" spans="2:46" x14ac:dyDescent="0.25">
      <c r="B20" s="5">
        <f t="shared" si="25"/>
        <v>2035</v>
      </c>
      <c r="C20" s="7">
        <f t="shared" si="19"/>
        <v>11728.041312797583</v>
      </c>
      <c r="D20" s="7" t="e">
        <f t="shared" si="21"/>
        <v>#REF!</v>
      </c>
      <c r="E20" s="7" t="e">
        <f t="shared" si="20"/>
        <v>#REF!</v>
      </c>
      <c r="F20" s="7">
        <f t="shared" si="22"/>
        <v>0</v>
      </c>
      <c r="G20" s="7" t="e">
        <f t="shared" si="23"/>
        <v>#REF!</v>
      </c>
      <c r="H20" s="7" t="e">
        <f t="shared" si="24"/>
        <v>#REF!</v>
      </c>
      <c r="J20" s="5">
        <f t="shared" si="4"/>
        <v>29</v>
      </c>
      <c r="K20" s="5">
        <f t="shared" si="26"/>
        <v>2027</v>
      </c>
      <c r="L20" s="34" t="s">
        <v>42</v>
      </c>
      <c r="M20" s="70">
        <f t="shared" si="11"/>
        <v>367.5</v>
      </c>
      <c r="N20" s="70">
        <f t="shared" si="0"/>
        <v>367.5</v>
      </c>
      <c r="O20" s="71"/>
      <c r="P20" s="86">
        <v>4</v>
      </c>
      <c r="Q20" s="51">
        <v>2</v>
      </c>
      <c r="R20" s="88">
        <f t="shared" si="12"/>
        <v>0.5</v>
      </c>
      <c r="S20" s="6">
        <v>0</v>
      </c>
      <c r="T20" s="8">
        <f t="shared" si="6"/>
        <v>735</v>
      </c>
      <c r="U20" s="8" t="e">
        <f>#REF!</f>
        <v>#REF!</v>
      </c>
      <c r="V20" s="8"/>
      <c r="W20" s="8" t="e">
        <f t="shared" si="7"/>
        <v>#REF!</v>
      </c>
      <c r="X20" s="27"/>
      <c r="Y20" s="26" t="e">
        <f t="shared" si="13"/>
        <v>#REF!</v>
      </c>
      <c r="Z20" s="95"/>
      <c r="AA20" s="95"/>
      <c r="AB20" s="8">
        <f>'Business_172 PH Rd Budget'!$C$25</f>
        <v>2155.2899999999995</v>
      </c>
      <c r="AC20" s="8" t="e">
        <f t="shared" si="14"/>
        <v>#REF!</v>
      </c>
      <c r="AD20" s="8" t="e">
        <f t="shared" si="8"/>
        <v>#REF!</v>
      </c>
      <c r="AE20" s="76" t="e">
        <f t="shared" si="1"/>
        <v>#REF!</v>
      </c>
      <c r="AF20" s="8" t="e">
        <f t="shared" si="2"/>
        <v>#REF!</v>
      </c>
      <c r="AH20" s="7" t="e">
        <f t="shared" si="9"/>
        <v>#REF!</v>
      </c>
      <c r="AI20" s="79" t="e">
        <f t="shared" si="15"/>
        <v>#REF!</v>
      </c>
      <c r="AJ20" s="79" t="e">
        <f t="shared" si="18"/>
        <v>#REF!</v>
      </c>
      <c r="AK20" s="75" t="e">
        <f>PMT(#REF!,#REF!,-#REF!,0,0)</f>
        <v>#REF!</v>
      </c>
      <c r="AL20" s="75"/>
      <c r="AM20" s="7" t="e">
        <f>AJ20*(#REF!/12)</f>
        <v>#REF!</v>
      </c>
      <c r="AN20" s="7" t="e">
        <f t="shared" si="16"/>
        <v>#REF!</v>
      </c>
      <c r="AO20" s="75" t="e">
        <f t="shared" si="3"/>
        <v>#REF!</v>
      </c>
      <c r="AP20" s="75" t="e">
        <f t="shared" si="17"/>
        <v>#REF!</v>
      </c>
      <c r="AQ20" s="7" t="e">
        <f t="shared" si="10"/>
        <v>#REF!</v>
      </c>
      <c r="AR20" s="41"/>
    </row>
    <row r="21" spans="2:46" x14ac:dyDescent="0.25">
      <c r="B21" s="5">
        <f t="shared" si="25"/>
        <v>2036</v>
      </c>
      <c r="C21" s="7">
        <f t="shared" si="19"/>
        <v>12542.488626186305</v>
      </c>
      <c r="D21" s="7" t="e">
        <f t="shared" si="21"/>
        <v>#REF!</v>
      </c>
      <c r="E21" s="7" t="e">
        <f t="shared" si="20"/>
        <v>#REF!</v>
      </c>
      <c r="F21" s="7">
        <f t="shared" si="22"/>
        <v>0</v>
      </c>
      <c r="G21" s="7" t="e">
        <f t="shared" si="23"/>
        <v>#REF!</v>
      </c>
      <c r="H21" s="7" t="e">
        <f t="shared" si="24"/>
        <v>#REF!</v>
      </c>
      <c r="J21" s="5">
        <f t="shared" si="4"/>
        <v>29</v>
      </c>
      <c r="K21" s="5">
        <f t="shared" si="26"/>
        <v>2027</v>
      </c>
      <c r="L21" s="34" t="s">
        <v>44</v>
      </c>
      <c r="M21" s="70">
        <f t="shared" si="11"/>
        <v>367.5</v>
      </c>
      <c r="N21" s="70">
        <f t="shared" si="0"/>
        <v>367.5</v>
      </c>
      <c r="O21" s="71"/>
      <c r="P21" s="86">
        <v>5</v>
      </c>
      <c r="Q21" s="51">
        <v>2</v>
      </c>
      <c r="R21" s="88">
        <f t="shared" si="12"/>
        <v>0.4</v>
      </c>
      <c r="S21" s="6">
        <v>0</v>
      </c>
      <c r="T21" s="8">
        <f t="shared" si="6"/>
        <v>735</v>
      </c>
      <c r="U21" s="8" t="e">
        <f>#REF!</f>
        <v>#REF!</v>
      </c>
      <c r="V21" s="8"/>
      <c r="W21" s="8" t="e">
        <f t="shared" si="7"/>
        <v>#REF!</v>
      </c>
      <c r="X21" s="27"/>
      <c r="Y21" s="26" t="e">
        <f t="shared" si="13"/>
        <v>#REF!</v>
      </c>
      <c r="Z21" s="95"/>
      <c r="AA21" s="95"/>
      <c r="AB21" s="8">
        <f>'Business_172 PH Rd Budget'!$C$25</f>
        <v>2155.2899999999995</v>
      </c>
      <c r="AC21" s="8" t="e">
        <f t="shared" si="14"/>
        <v>#REF!</v>
      </c>
      <c r="AD21" s="8" t="e">
        <f t="shared" si="8"/>
        <v>#REF!</v>
      </c>
      <c r="AE21" s="76" t="e">
        <f t="shared" si="1"/>
        <v>#REF!</v>
      </c>
      <c r="AF21" s="8" t="e">
        <f t="shared" si="2"/>
        <v>#REF!</v>
      </c>
      <c r="AH21" s="7" t="e">
        <f t="shared" si="9"/>
        <v>#REF!</v>
      </c>
      <c r="AI21" s="79" t="e">
        <f t="shared" si="15"/>
        <v>#REF!</v>
      </c>
      <c r="AJ21" s="79" t="e">
        <f t="shared" si="18"/>
        <v>#REF!</v>
      </c>
      <c r="AK21" s="75" t="e">
        <f>PMT(#REF!,#REF!,-#REF!,0,0)</f>
        <v>#REF!</v>
      </c>
      <c r="AL21" s="75"/>
      <c r="AM21" s="7" t="e">
        <f>AJ21*(#REF!/12)</f>
        <v>#REF!</v>
      </c>
      <c r="AN21" s="7" t="e">
        <f t="shared" si="16"/>
        <v>#REF!</v>
      </c>
      <c r="AO21" s="75" t="e">
        <f t="shared" si="3"/>
        <v>#REF!</v>
      </c>
      <c r="AP21" s="75" t="e">
        <f t="shared" si="17"/>
        <v>#REF!</v>
      </c>
      <c r="AQ21" s="7" t="e">
        <f t="shared" si="10"/>
        <v>#REF!</v>
      </c>
      <c r="AR21" s="41"/>
    </row>
    <row r="22" spans="2:46" x14ac:dyDescent="0.25">
      <c r="B22" s="5">
        <f t="shared" si="25"/>
        <v>2037</v>
      </c>
      <c r="C22" s="7">
        <f t="shared" si="19"/>
        <v>13169.613057495622</v>
      </c>
      <c r="D22" s="7" t="e">
        <f t="shared" si="21"/>
        <v>#REF!</v>
      </c>
      <c r="E22" s="7" t="e">
        <f t="shared" si="20"/>
        <v>#REF!</v>
      </c>
      <c r="F22" s="7">
        <f t="shared" si="22"/>
        <v>0</v>
      </c>
      <c r="G22" s="7" t="e">
        <f t="shared" si="23"/>
        <v>#REF!</v>
      </c>
      <c r="H22" s="7" t="e">
        <f t="shared" si="24"/>
        <v>#REF!</v>
      </c>
      <c r="J22" s="5">
        <f t="shared" si="4"/>
        <v>29</v>
      </c>
      <c r="K22" s="5">
        <f t="shared" si="26"/>
        <v>2027</v>
      </c>
      <c r="L22" s="34" t="s">
        <v>47</v>
      </c>
      <c r="M22" s="70">
        <f t="shared" si="11"/>
        <v>367.5</v>
      </c>
      <c r="N22" s="70">
        <f t="shared" si="0"/>
        <v>367.5</v>
      </c>
      <c r="O22" s="71"/>
      <c r="P22" s="86">
        <v>4</v>
      </c>
      <c r="Q22" s="44">
        <v>2</v>
      </c>
      <c r="R22" s="88">
        <f t="shared" si="12"/>
        <v>0.5</v>
      </c>
      <c r="S22" s="6">
        <v>0</v>
      </c>
      <c r="T22" s="8">
        <f t="shared" si="6"/>
        <v>735</v>
      </c>
      <c r="U22" s="8" t="e">
        <f>#REF!</f>
        <v>#REF!</v>
      </c>
      <c r="V22" s="8"/>
      <c r="W22" s="8" t="e">
        <f t="shared" si="7"/>
        <v>#REF!</v>
      </c>
      <c r="X22" s="27"/>
      <c r="Y22" s="26" t="e">
        <f t="shared" si="13"/>
        <v>#REF!</v>
      </c>
      <c r="Z22" s="95"/>
      <c r="AA22" s="95"/>
      <c r="AB22" s="8">
        <f>'Business_172 PH Rd Budget'!$C$25</f>
        <v>2155.2899999999995</v>
      </c>
      <c r="AC22" s="8" t="e">
        <f t="shared" si="14"/>
        <v>#REF!</v>
      </c>
      <c r="AD22" s="8" t="e">
        <f t="shared" si="8"/>
        <v>#REF!</v>
      </c>
      <c r="AE22" s="76" t="e">
        <f t="shared" si="1"/>
        <v>#REF!</v>
      </c>
      <c r="AF22" s="8" t="e">
        <f t="shared" si="2"/>
        <v>#REF!</v>
      </c>
      <c r="AH22" s="7" t="e">
        <f t="shared" si="9"/>
        <v>#REF!</v>
      </c>
      <c r="AI22" s="79" t="e">
        <f t="shared" si="15"/>
        <v>#REF!</v>
      </c>
      <c r="AJ22" s="79" t="e">
        <f t="shared" si="18"/>
        <v>#REF!</v>
      </c>
      <c r="AK22" s="75" t="e">
        <f>PMT(#REF!,#REF!,-#REF!,0,0)</f>
        <v>#REF!</v>
      </c>
      <c r="AL22" s="75"/>
      <c r="AM22" s="7" t="e">
        <f>AJ22*(#REF!/12)</f>
        <v>#REF!</v>
      </c>
      <c r="AN22" s="7" t="e">
        <f t="shared" si="16"/>
        <v>#REF!</v>
      </c>
      <c r="AO22" s="75" t="e">
        <f t="shared" si="3"/>
        <v>#REF!</v>
      </c>
      <c r="AP22" s="75" t="e">
        <f t="shared" si="17"/>
        <v>#REF!</v>
      </c>
      <c r="AQ22" s="7" t="e">
        <f t="shared" si="10"/>
        <v>#REF!</v>
      </c>
      <c r="AR22" s="41"/>
    </row>
    <row r="23" spans="2:46" x14ac:dyDescent="0.25">
      <c r="B23" s="5">
        <f t="shared" si="25"/>
        <v>2038</v>
      </c>
      <c r="C23" s="7">
        <f t="shared" si="19"/>
        <v>13828.093710370405</v>
      </c>
      <c r="D23" s="7" t="e">
        <f t="shared" si="21"/>
        <v>#REF!</v>
      </c>
      <c r="E23" s="7"/>
      <c r="F23" s="7">
        <f t="shared" si="22"/>
        <v>0</v>
      </c>
      <c r="G23" s="7" t="e">
        <f t="shared" si="23"/>
        <v>#REF!</v>
      </c>
      <c r="H23" s="7" t="e">
        <f t="shared" si="24"/>
        <v>#REF!</v>
      </c>
      <c r="J23" s="5">
        <f t="shared" si="4"/>
        <v>29</v>
      </c>
      <c r="K23" s="5">
        <f t="shared" si="26"/>
        <v>2027</v>
      </c>
      <c r="L23" s="34" t="s">
        <v>49</v>
      </c>
      <c r="M23" s="70">
        <f t="shared" si="11"/>
        <v>367.5</v>
      </c>
      <c r="N23" s="70">
        <f t="shared" si="0"/>
        <v>367.5</v>
      </c>
      <c r="O23" s="71"/>
      <c r="P23" s="86">
        <v>4</v>
      </c>
      <c r="Q23" s="44">
        <v>2</v>
      </c>
      <c r="R23" s="88">
        <f t="shared" si="12"/>
        <v>0.5</v>
      </c>
      <c r="S23" s="6">
        <v>0</v>
      </c>
      <c r="T23" s="8">
        <f t="shared" si="6"/>
        <v>735</v>
      </c>
      <c r="U23" s="8" t="e">
        <f>#REF!</f>
        <v>#REF!</v>
      </c>
      <c r="V23" s="8"/>
      <c r="W23" s="8" t="e">
        <f t="shared" si="7"/>
        <v>#REF!</v>
      </c>
      <c r="X23" s="27"/>
      <c r="Y23" s="26" t="e">
        <f t="shared" si="13"/>
        <v>#REF!</v>
      </c>
      <c r="Z23" s="95"/>
      <c r="AA23" s="95"/>
      <c r="AB23" s="8">
        <f>'Business_172 PH Rd Budget'!$C$25</f>
        <v>2155.2899999999995</v>
      </c>
      <c r="AC23" s="8" t="e">
        <f t="shared" si="14"/>
        <v>#REF!</v>
      </c>
      <c r="AD23" s="8" t="e">
        <f t="shared" si="8"/>
        <v>#REF!</v>
      </c>
      <c r="AE23" s="76" t="e">
        <f t="shared" si="1"/>
        <v>#REF!</v>
      </c>
      <c r="AF23" s="8" t="e">
        <f t="shared" si="2"/>
        <v>#REF!</v>
      </c>
      <c r="AH23" s="7" t="e">
        <f t="shared" si="9"/>
        <v>#REF!</v>
      </c>
      <c r="AI23" s="79" t="e">
        <f t="shared" si="15"/>
        <v>#REF!</v>
      </c>
      <c r="AJ23" s="79" t="e">
        <f t="shared" si="18"/>
        <v>#REF!</v>
      </c>
      <c r="AK23" s="75" t="e">
        <f>PMT(#REF!,#REF!,-#REF!,0,0)</f>
        <v>#REF!</v>
      </c>
      <c r="AL23" s="75"/>
      <c r="AM23" s="7" t="e">
        <f>AJ23*(#REF!/12)</f>
        <v>#REF!</v>
      </c>
      <c r="AN23" s="7" t="e">
        <f t="shared" si="16"/>
        <v>#REF!</v>
      </c>
      <c r="AO23" s="75" t="e">
        <f t="shared" si="3"/>
        <v>#REF!</v>
      </c>
      <c r="AP23" s="75" t="e">
        <f t="shared" si="17"/>
        <v>#REF!</v>
      </c>
      <c r="AQ23" s="7" t="e">
        <f t="shared" si="10"/>
        <v>#REF!</v>
      </c>
      <c r="AR23" s="41"/>
    </row>
    <row r="24" spans="2:46" x14ac:dyDescent="0.25">
      <c r="B24" s="5">
        <f t="shared" si="25"/>
        <v>2039</v>
      </c>
      <c r="C24" s="7">
        <f t="shared" si="19"/>
        <v>14519.498395888922</v>
      </c>
      <c r="D24" s="7" t="e">
        <f t="shared" si="21"/>
        <v>#REF!</v>
      </c>
      <c r="E24" s="7"/>
      <c r="F24" s="7">
        <f t="shared" si="22"/>
        <v>0</v>
      </c>
      <c r="G24" s="7" t="e">
        <f t="shared" si="23"/>
        <v>#REF!</v>
      </c>
      <c r="H24" s="7" t="e">
        <f t="shared" si="24"/>
        <v>#REF!</v>
      </c>
      <c r="J24" s="5">
        <f t="shared" si="4"/>
        <v>29</v>
      </c>
      <c r="K24" s="5">
        <f t="shared" si="26"/>
        <v>2027</v>
      </c>
      <c r="L24" s="34" t="s">
        <v>51</v>
      </c>
      <c r="M24" s="70">
        <f t="shared" si="11"/>
        <v>367.5</v>
      </c>
      <c r="N24" s="70">
        <f t="shared" si="0"/>
        <v>367.5</v>
      </c>
      <c r="O24" s="71"/>
      <c r="P24" s="86">
        <v>5</v>
      </c>
      <c r="Q24" s="44">
        <v>3</v>
      </c>
      <c r="R24" s="88">
        <f t="shared" si="12"/>
        <v>0.6</v>
      </c>
      <c r="S24" s="6">
        <v>0</v>
      </c>
      <c r="T24" s="8">
        <f t="shared" si="6"/>
        <v>1102.5</v>
      </c>
      <c r="U24" s="8" t="e">
        <f>#REF!</f>
        <v>#REF!</v>
      </c>
      <c r="V24" s="8"/>
      <c r="W24" s="8" t="e">
        <f t="shared" si="7"/>
        <v>#REF!</v>
      </c>
      <c r="X24" s="27"/>
      <c r="Y24" s="26" t="e">
        <f t="shared" si="13"/>
        <v>#REF!</v>
      </c>
      <c r="Z24" s="95"/>
      <c r="AA24" s="95"/>
      <c r="AB24" s="8">
        <f>'Business_172 PH Rd Budget'!$C$25</f>
        <v>2155.2899999999995</v>
      </c>
      <c r="AC24" s="8" t="e">
        <f t="shared" si="14"/>
        <v>#REF!</v>
      </c>
      <c r="AD24" s="8" t="e">
        <f t="shared" si="8"/>
        <v>#REF!</v>
      </c>
      <c r="AE24" s="76" t="e">
        <f t="shared" si="1"/>
        <v>#REF!</v>
      </c>
      <c r="AF24" s="8" t="e">
        <f t="shared" si="2"/>
        <v>#REF!</v>
      </c>
      <c r="AH24" s="7" t="e">
        <f t="shared" si="9"/>
        <v>#REF!</v>
      </c>
      <c r="AI24" s="79" t="e">
        <f t="shared" si="15"/>
        <v>#REF!</v>
      </c>
      <c r="AJ24" s="79" t="e">
        <f t="shared" si="18"/>
        <v>#REF!</v>
      </c>
      <c r="AK24" s="75" t="e">
        <f>PMT(#REF!,#REF!,-#REF!,0,0)</f>
        <v>#REF!</v>
      </c>
      <c r="AL24" s="75"/>
      <c r="AM24" s="7" t="e">
        <f>AJ24*(#REF!/12)</f>
        <v>#REF!</v>
      </c>
      <c r="AN24" s="7" t="e">
        <f t="shared" si="16"/>
        <v>#REF!</v>
      </c>
      <c r="AO24" s="75" t="e">
        <f t="shared" si="3"/>
        <v>#REF!</v>
      </c>
      <c r="AP24" s="75" t="e">
        <f t="shared" si="17"/>
        <v>#REF!</v>
      </c>
      <c r="AQ24" s="7" t="e">
        <f t="shared" si="10"/>
        <v>#REF!</v>
      </c>
      <c r="AR24" s="41"/>
    </row>
    <row r="25" spans="2:46" x14ac:dyDescent="0.25">
      <c r="B25" s="5">
        <f t="shared" si="25"/>
        <v>2040</v>
      </c>
      <c r="C25" s="7">
        <f t="shared" si="19"/>
        <v>15245.473315683372</v>
      </c>
      <c r="D25" s="7" t="e">
        <f t="shared" si="21"/>
        <v>#REF!</v>
      </c>
      <c r="E25" s="7"/>
      <c r="F25" s="7">
        <f t="shared" si="22"/>
        <v>0</v>
      </c>
      <c r="G25" s="7" t="e">
        <f t="shared" si="23"/>
        <v>#REF!</v>
      </c>
      <c r="H25" s="7" t="e">
        <f t="shared" si="24"/>
        <v>#REF!</v>
      </c>
      <c r="J25" s="5">
        <f t="shared" si="4"/>
        <v>29</v>
      </c>
      <c r="K25" s="5">
        <f t="shared" si="26"/>
        <v>2027</v>
      </c>
      <c r="L25" s="34" t="s">
        <v>53</v>
      </c>
      <c r="M25" s="70">
        <f t="shared" si="11"/>
        <v>367.5</v>
      </c>
      <c r="N25" s="70">
        <f t="shared" si="0"/>
        <v>330.75</v>
      </c>
      <c r="O25" s="71"/>
      <c r="P25" s="86"/>
      <c r="Q25" s="51">
        <v>0</v>
      </c>
      <c r="R25" s="88" t="str">
        <f t="shared" si="12"/>
        <v/>
      </c>
      <c r="S25" s="6">
        <v>0.1</v>
      </c>
      <c r="T25" s="8">
        <f t="shared" si="6"/>
        <v>0</v>
      </c>
      <c r="U25" s="8" t="e">
        <f>#REF!</f>
        <v>#REF!</v>
      </c>
      <c r="V25" s="8"/>
      <c r="W25" s="8" t="e">
        <f t="shared" si="7"/>
        <v>#REF!</v>
      </c>
      <c r="X25" s="27"/>
      <c r="Y25" s="26" t="e">
        <f t="shared" si="13"/>
        <v>#REF!</v>
      </c>
      <c r="Z25" s="95"/>
      <c r="AA25" s="95"/>
      <c r="AB25" s="8">
        <f>'Business_172 PH Rd Budget'!$C$25</f>
        <v>2155.2899999999995</v>
      </c>
      <c r="AC25" s="8" t="e">
        <f t="shared" si="14"/>
        <v>#REF!</v>
      </c>
      <c r="AD25" s="8" t="e">
        <f t="shared" si="8"/>
        <v>#REF!</v>
      </c>
      <c r="AE25" s="76" t="e">
        <f t="shared" si="1"/>
        <v>#REF!</v>
      </c>
      <c r="AF25" s="8" t="e">
        <f t="shared" si="2"/>
        <v>#REF!</v>
      </c>
      <c r="AH25" s="7" t="e">
        <f t="shared" si="9"/>
        <v>#REF!</v>
      </c>
      <c r="AI25" s="79" t="e">
        <f t="shared" si="15"/>
        <v>#REF!</v>
      </c>
      <c r="AJ25" s="79" t="e">
        <f t="shared" si="18"/>
        <v>#REF!</v>
      </c>
      <c r="AK25" s="75" t="e">
        <f>PMT(#REF!,#REF!,-#REF!,0,0)</f>
        <v>#REF!</v>
      </c>
      <c r="AL25" s="75"/>
      <c r="AM25" s="7" t="e">
        <f>AJ25*(#REF!/12)</f>
        <v>#REF!</v>
      </c>
      <c r="AN25" s="7" t="e">
        <f t="shared" si="16"/>
        <v>#REF!</v>
      </c>
      <c r="AO25" s="75" t="e">
        <f t="shared" si="3"/>
        <v>#REF!</v>
      </c>
      <c r="AP25" s="75" t="e">
        <f t="shared" si="17"/>
        <v>#REF!</v>
      </c>
      <c r="AQ25" s="7" t="e">
        <f t="shared" si="10"/>
        <v>#REF!</v>
      </c>
      <c r="AR25" s="41"/>
    </row>
    <row r="26" spans="2:46" x14ac:dyDescent="0.25">
      <c r="B26" s="5">
        <f t="shared" si="25"/>
        <v>2041</v>
      </c>
      <c r="C26" s="7">
        <f t="shared" si="19"/>
        <v>16007.746981467539</v>
      </c>
      <c r="D26" s="7" t="e">
        <f t="shared" si="21"/>
        <v>#REF!</v>
      </c>
      <c r="E26" s="7"/>
      <c r="F26" s="7">
        <f t="shared" si="22"/>
        <v>0</v>
      </c>
      <c r="G26" s="7" t="e">
        <f t="shared" si="23"/>
        <v>#REF!</v>
      </c>
      <c r="H26" s="7" t="e">
        <f t="shared" si="24"/>
        <v>#REF!</v>
      </c>
      <c r="J26" s="5">
        <f t="shared" si="4"/>
        <v>29</v>
      </c>
      <c r="K26" s="5">
        <f t="shared" si="26"/>
        <v>2027</v>
      </c>
      <c r="L26" s="34" t="s">
        <v>55</v>
      </c>
      <c r="M26" s="70">
        <f t="shared" si="11"/>
        <v>367.5</v>
      </c>
      <c r="N26" s="70">
        <f t="shared" si="0"/>
        <v>294</v>
      </c>
      <c r="O26" s="71"/>
      <c r="P26" s="86"/>
      <c r="Q26" s="51">
        <v>0</v>
      </c>
      <c r="R26" s="88" t="str">
        <f t="shared" si="12"/>
        <v/>
      </c>
      <c r="S26" s="6">
        <v>0.2</v>
      </c>
      <c r="T26" s="8">
        <f t="shared" si="6"/>
        <v>0</v>
      </c>
      <c r="U26" s="8" t="e">
        <f>#REF!</f>
        <v>#REF!</v>
      </c>
      <c r="V26" s="8"/>
      <c r="W26" s="8" t="e">
        <f t="shared" si="7"/>
        <v>#REF!</v>
      </c>
      <c r="X26" s="27"/>
      <c r="Y26" s="26" t="e">
        <f t="shared" si="13"/>
        <v>#REF!</v>
      </c>
      <c r="Z26" s="95"/>
      <c r="AA26" s="95"/>
      <c r="AB26" s="8">
        <f>'Business_172 PH Rd Budget'!$C$25</f>
        <v>2155.2899999999995</v>
      </c>
      <c r="AC26" s="8" t="e">
        <f t="shared" si="14"/>
        <v>#REF!</v>
      </c>
      <c r="AD26" s="8" t="e">
        <f t="shared" si="8"/>
        <v>#REF!</v>
      </c>
      <c r="AE26" s="76" t="e">
        <f t="shared" si="1"/>
        <v>#REF!</v>
      </c>
      <c r="AF26" s="8" t="e">
        <f t="shared" si="2"/>
        <v>#REF!</v>
      </c>
      <c r="AH26" s="7" t="e">
        <f t="shared" si="9"/>
        <v>#REF!</v>
      </c>
      <c r="AI26" s="79" t="e">
        <f t="shared" si="15"/>
        <v>#REF!</v>
      </c>
      <c r="AJ26" s="79" t="e">
        <f t="shared" si="18"/>
        <v>#REF!</v>
      </c>
      <c r="AK26" s="75" t="e">
        <f>PMT(#REF!,#REF!,-#REF!,0,0)</f>
        <v>#REF!</v>
      </c>
      <c r="AL26" s="75"/>
      <c r="AM26" s="7" t="e">
        <f>AJ26*(#REF!/12)</f>
        <v>#REF!</v>
      </c>
      <c r="AN26" s="7" t="e">
        <f t="shared" si="16"/>
        <v>#REF!</v>
      </c>
      <c r="AO26" s="75" t="e">
        <f t="shared" si="3"/>
        <v>#REF!</v>
      </c>
      <c r="AP26" s="75" t="e">
        <f t="shared" si="17"/>
        <v>#REF!</v>
      </c>
      <c r="AQ26" s="7" t="e">
        <f t="shared" si="10"/>
        <v>#REF!</v>
      </c>
      <c r="AR26" s="41"/>
    </row>
    <row r="27" spans="2:46" x14ac:dyDescent="0.25">
      <c r="E27" s="1" t="e">
        <f>SUM(E11:E26)</f>
        <v>#REF!</v>
      </c>
      <c r="J27" s="5">
        <f t="shared" si="4"/>
        <v>30</v>
      </c>
      <c r="K27" s="5">
        <f t="shared" si="26"/>
        <v>2028</v>
      </c>
      <c r="L27" s="34" t="s">
        <v>31</v>
      </c>
      <c r="M27" s="70">
        <f t="shared" si="11"/>
        <v>385.875</v>
      </c>
      <c r="N27" s="70">
        <f t="shared" si="0"/>
        <v>289.40625</v>
      </c>
      <c r="O27" s="71">
        <v>0.05</v>
      </c>
      <c r="P27" s="86"/>
      <c r="Q27" s="51">
        <v>0</v>
      </c>
      <c r="R27" s="88" t="str">
        <f t="shared" si="12"/>
        <v/>
      </c>
      <c r="S27" s="6">
        <v>0.25</v>
      </c>
      <c r="T27" s="8">
        <f t="shared" si="6"/>
        <v>0</v>
      </c>
      <c r="U27" s="8" t="e">
        <f>#REF!</f>
        <v>#REF!</v>
      </c>
      <c r="V27" s="8"/>
      <c r="W27" s="8" t="e">
        <f t="shared" si="7"/>
        <v>#REF!</v>
      </c>
      <c r="X27" s="27"/>
      <c r="Y27" s="26" t="e">
        <f t="shared" si="13"/>
        <v>#REF!</v>
      </c>
      <c r="Z27" s="95"/>
      <c r="AA27" s="95"/>
      <c r="AB27" s="8">
        <f>'Business_172 PH Rd Budget'!$C$25</f>
        <v>2155.2899999999995</v>
      </c>
      <c r="AC27" s="8" t="e">
        <f t="shared" si="14"/>
        <v>#REF!</v>
      </c>
      <c r="AD27" s="8" t="e">
        <f t="shared" si="8"/>
        <v>#REF!</v>
      </c>
      <c r="AE27" s="76" t="e">
        <f t="shared" si="1"/>
        <v>#REF!</v>
      </c>
      <c r="AF27" s="8" t="e">
        <f t="shared" si="2"/>
        <v>#REF!</v>
      </c>
      <c r="AH27" s="7" t="e">
        <f t="shared" si="9"/>
        <v>#REF!</v>
      </c>
      <c r="AI27" s="79" t="e">
        <f t="shared" si="15"/>
        <v>#REF!</v>
      </c>
      <c r="AJ27" s="79" t="e">
        <f t="shared" si="18"/>
        <v>#REF!</v>
      </c>
      <c r="AK27" s="75" t="e">
        <f>PMT(#REF!,#REF!,-#REF!,0,0)</f>
        <v>#REF!</v>
      </c>
      <c r="AL27" s="75"/>
      <c r="AM27" s="7" t="e">
        <f>AJ27*(#REF!/12)</f>
        <v>#REF!</v>
      </c>
      <c r="AN27" s="7" t="e">
        <f t="shared" si="16"/>
        <v>#REF!</v>
      </c>
      <c r="AO27" s="75" t="e">
        <f t="shared" si="3"/>
        <v>#REF!</v>
      </c>
      <c r="AP27" s="75" t="e">
        <f t="shared" si="17"/>
        <v>#REF!</v>
      </c>
      <c r="AQ27" s="7" t="e">
        <f t="shared" si="10"/>
        <v>#REF!</v>
      </c>
      <c r="AR27" s="41"/>
    </row>
    <row r="28" spans="2:46" x14ac:dyDescent="0.25">
      <c r="J28" s="5">
        <f t="shared" si="4"/>
        <v>30</v>
      </c>
      <c r="K28" s="5">
        <f t="shared" si="26"/>
        <v>2028</v>
      </c>
      <c r="L28" s="34" t="s">
        <v>33</v>
      </c>
      <c r="M28" s="70">
        <f t="shared" si="11"/>
        <v>385.875</v>
      </c>
      <c r="N28" s="70">
        <f t="shared" si="0"/>
        <v>289.40625</v>
      </c>
      <c r="O28" s="71"/>
      <c r="P28" s="86"/>
      <c r="Q28" s="51">
        <v>0</v>
      </c>
      <c r="R28" s="88" t="str">
        <f t="shared" si="12"/>
        <v/>
      </c>
      <c r="S28" s="6">
        <v>0.25</v>
      </c>
      <c r="T28" s="8">
        <f t="shared" si="6"/>
        <v>0</v>
      </c>
      <c r="U28" s="8" t="e">
        <f>#REF!</f>
        <v>#REF!</v>
      </c>
      <c r="V28" s="8"/>
      <c r="W28" s="8" t="e">
        <f t="shared" si="7"/>
        <v>#REF!</v>
      </c>
      <c r="X28" s="27"/>
      <c r="Y28" s="26" t="e">
        <f t="shared" si="13"/>
        <v>#REF!</v>
      </c>
      <c r="Z28" s="95"/>
      <c r="AA28" s="95"/>
      <c r="AB28" s="8">
        <f>'Business_172 PH Rd Budget'!$C$25</f>
        <v>2155.2899999999995</v>
      </c>
      <c r="AC28" s="8" t="e">
        <f t="shared" si="14"/>
        <v>#REF!</v>
      </c>
      <c r="AD28" s="8" t="e">
        <f t="shared" si="8"/>
        <v>#REF!</v>
      </c>
      <c r="AE28" s="76" t="e">
        <f t="shared" si="1"/>
        <v>#REF!</v>
      </c>
      <c r="AF28" s="8" t="e">
        <f t="shared" si="2"/>
        <v>#REF!</v>
      </c>
      <c r="AH28" s="7" t="e">
        <f t="shared" si="9"/>
        <v>#REF!</v>
      </c>
      <c r="AI28" s="79" t="e">
        <f t="shared" si="15"/>
        <v>#REF!</v>
      </c>
      <c r="AJ28" s="79" t="e">
        <f t="shared" si="18"/>
        <v>#REF!</v>
      </c>
      <c r="AK28" s="75" t="e">
        <f>PMT(#REF!,#REF!,-#REF!,0,0)</f>
        <v>#REF!</v>
      </c>
      <c r="AL28" s="75"/>
      <c r="AM28" s="7" t="e">
        <f>AJ28*(#REF!/12)</f>
        <v>#REF!</v>
      </c>
      <c r="AN28" s="7" t="e">
        <f t="shared" si="16"/>
        <v>#REF!</v>
      </c>
      <c r="AO28" s="75" t="e">
        <f t="shared" si="3"/>
        <v>#REF!</v>
      </c>
      <c r="AP28" s="75" t="e">
        <f t="shared" si="17"/>
        <v>#REF!</v>
      </c>
      <c r="AQ28" s="7" t="e">
        <f t="shared" si="10"/>
        <v>#REF!</v>
      </c>
      <c r="AR28" s="41"/>
    </row>
    <row r="29" spans="2:46" x14ac:dyDescent="0.25">
      <c r="B29" t="s">
        <v>281</v>
      </c>
      <c r="J29" s="5">
        <f t="shared" si="4"/>
        <v>30</v>
      </c>
      <c r="K29" s="5">
        <f t="shared" si="26"/>
        <v>2028</v>
      </c>
      <c r="L29" s="34" t="s">
        <v>36</v>
      </c>
      <c r="M29" s="70">
        <f t="shared" si="11"/>
        <v>385.875</v>
      </c>
      <c r="N29" s="70">
        <f t="shared" si="0"/>
        <v>308.70000000000005</v>
      </c>
      <c r="O29" s="71"/>
      <c r="P29" s="86"/>
      <c r="Q29" s="51">
        <v>0</v>
      </c>
      <c r="R29" s="88" t="str">
        <f t="shared" si="12"/>
        <v/>
      </c>
      <c r="S29" s="6">
        <v>0.2</v>
      </c>
      <c r="T29" s="8">
        <f t="shared" si="6"/>
        <v>0</v>
      </c>
      <c r="U29" s="8" t="e">
        <f>#REF!</f>
        <v>#REF!</v>
      </c>
      <c r="V29" s="8"/>
      <c r="W29" s="8" t="e">
        <f t="shared" si="7"/>
        <v>#REF!</v>
      </c>
      <c r="X29" s="27"/>
      <c r="Y29" s="26" t="e">
        <f t="shared" si="13"/>
        <v>#REF!</v>
      </c>
      <c r="Z29" s="95"/>
      <c r="AA29" s="95"/>
      <c r="AB29" s="8">
        <f>'Business_172 PH Rd Budget'!$C$25</f>
        <v>2155.2899999999995</v>
      </c>
      <c r="AC29" s="8" t="e">
        <f t="shared" si="14"/>
        <v>#REF!</v>
      </c>
      <c r="AD29" s="8" t="e">
        <f t="shared" si="8"/>
        <v>#REF!</v>
      </c>
      <c r="AE29" s="76" t="e">
        <f t="shared" si="1"/>
        <v>#REF!</v>
      </c>
      <c r="AF29" s="8" t="e">
        <f t="shared" si="2"/>
        <v>#REF!</v>
      </c>
      <c r="AH29" s="7" t="e">
        <f t="shared" si="9"/>
        <v>#REF!</v>
      </c>
      <c r="AI29" s="79" t="e">
        <f t="shared" si="15"/>
        <v>#REF!</v>
      </c>
      <c r="AJ29" s="79" t="e">
        <f t="shared" si="18"/>
        <v>#REF!</v>
      </c>
      <c r="AK29" s="75" t="e">
        <f>PMT(#REF!,#REF!,-#REF!,0,0)</f>
        <v>#REF!</v>
      </c>
      <c r="AL29" s="75"/>
      <c r="AM29" s="7" t="e">
        <f>AJ29*(#REF!/12)</f>
        <v>#REF!</v>
      </c>
      <c r="AN29" s="7" t="e">
        <f t="shared" si="16"/>
        <v>#REF!</v>
      </c>
      <c r="AO29" s="75" t="e">
        <f t="shared" si="3"/>
        <v>#REF!</v>
      </c>
      <c r="AP29" s="75" t="e">
        <f t="shared" si="17"/>
        <v>#REF!</v>
      </c>
      <c r="AQ29" s="7" t="e">
        <f t="shared" si="10"/>
        <v>#REF!</v>
      </c>
      <c r="AR29" s="41"/>
    </row>
    <row r="30" spans="2:46" x14ac:dyDescent="0.25">
      <c r="B30" t="s">
        <v>282</v>
      </c>
      <c r="J30" s="5">
        <f t="shared" si="4"/>
        <v>30</v>
      </c>
      <c r="K30" s="5">
        <f t="shared" si="26"/>
        <v>2028</v>
      </c>
      <c r="L30" s="34" t="s">
        <v>38</v>
      </c>
      <c r="M30" s="70">
        <f t="shared" si="11"/>
        <v>385.875</v>
      </c>
      <c r="N30" s="70">
        <f t="shared" si="0"/>
        <v>347.28750000000002</v>
      </c>
      <c r="O30" s="71"/>
      <c r="P30" s="86"/>
      <c r="Q30" s="51">
        <v>0</v>
      </c>
      <c r="R30" s="88" t="str">
        <f t="shared" si="12"/>
        <v/>
      </c>
      <c r="S30" s="6">
        <v>0.1</v>
      </c>
      <c r="T30" s="8">
        <f t="shared" si="6"/>
        <v>0</v>
      </c>
      <c r="U30" s="8" t="e">
        <f>#REF!</f>
        <v>#REF!</v>
      </c>
      <c r="V30" s="8"/>
      <c r="W30" s="8" t="e">
        <f t="shared" si="7"/>
        <v>#REF!</v>
      </c>
      <c r="X30" s="27"/>
      <c r="Y30" s="26" t="e">
        <f t="shared" si="13"/>
        <v>#REF!</v>
      </c>
      <c r="Z30" s="95"/>
      <c r="AA30" s="95"/>
      <c r="AB30" s="8">
        <f>'Business_172 PH Rd Budget'!$C$25</f>
        <v>2155.2899999999995</v>
      </c>
      <c r="AC30" s="8" t="e">
        <f t="shared" si="14"/>
        <v>#REF!</v>
      </c>
      <c r="AD30" s="8" t="e">
        <f t="shared" si="8"/>
        <v>#REF!</v>
      </c>
      <c r="AE30" s="76" t="e">
        <f t="shared" si="1"/>
        <v>#REF!</v>
      </c>
      <c r="AF30" s="8" t="e">
        <f t="shared" si="2"/>
        <v>#REF!</v>
      </c>
      <c r="AH30" s="7" t="e">
        <f t="shared" si="9"/>
        <v>#REF!</v>
      </c>
      <c r="AI30" s="79" t="e">
        <f t="shared" si="15"/>
        <v>#REF!</v>
      </c>
      <c r="AJ30" s="79" t="e">
        <f t="shared" si="18"/>
        <v>#REF!</v>
      </c>
      <c r="AK30" s="75" t="e">
        <f>PMT(#REF!,#REF!,-#REF!,0,0)</f>
        <v>#REF!</v>
      </c>
      <c r="AL30" s="75"/>
      <c r="AM30" s="7" t="e">
        <f>AJ30*(#REF!/12)</f>
        <v>#REF!</v>
      </c>
      <c r="AN30" s="7" t="e">
        <f t="shared" si="16"/>
        <v>#REF!</v>
      </c>
      <c r="AO30" s="75" t="e">
        <f t="shared" si="3"/>
        <v>#REF!</v>
      </c>
      <c r="AP30" s="75" t="e">
        <f t="shared" si="17"/>
        <v>#REF!</v>
      </c>
      <c r="AQ30" s="7" t="e">
        <f t="shared" si="10"/>
        <v>#REF!</v>
      </c>
      <c r="AR30" s="41"/>
    </row>
    <row r="31" spans="2:46" x14ac:dyDescent="0.25">
      <c r="J31" s="5">
        <f t="shared" si="4"/>
        <v>30</v>
      </c>
      <c r="K31" s="5">
        <f t="shared" si="26"/>
        <v>2028</v>
      </c>
      <c r="L31" s="34" t="s">
        <v>40</v>
      </c>
      <c r="M31" s="70">
        <f t="shared" si="11"/>
        <v>385.875</v>
      </c>
      <c r="N31" s="70">
        <f t="shared" si="0"/>
        <v>385.875</v>
      </c>
      <c r="O31" s="71"/>
      <c r="P31">
        <v>4</v>
      </c>
      <c r="Q31" s="51">
        <v>1</v>
      </c>
      <c r="R31" s="88">
        <f t="shared" si="12"/>
        <v>0.25</v>
      </c>
      <c r="S31" s="6">
        <v>0</v>
      </c>
      <c r="T31" s="8">
        <f t="shared" si="6"/>
        <v>385.875</v>
      </c>
      <c r="U31" s="8" t="e">
        <f>#REF!</f>
        <v>#REF!</v>
      </c>
      <c r="V31" s="8"/>
      <c r="W31" s="8" t="e">
        <f t="shared" si="7"/>
        <v>#REF!</v>
      </c>
      <c r="X31" s="27"/>
      <c r="Y31" s="26" t="e">
        <f t="shared" si="13"/>
        <v>#REF!</v>
      </c>
      <c r="Z31" s="95"/>
      <c r="AA31" s="95"/>
      <c r="AB31" s="8">
        <f>'Business_172 PH Rd Budget'!$C$25</f>
        <v>2155.2899999999995</v>
      </c>
      <c r="AC31" s="8" t="e">
        <f t="shared" si="14"/>
        <v>#REF!</v>
      </c>
      <c r="AD31" s="8" t="e">
        <f t="shared" si="8"/>
        <v>#REF!</v>
      </c>
      <c r="AE31" s="76" t="e">
        <f t="shared" si="1"/>
        <v>#REF!</v>
      </c>
      <c r="AF31" s="8" t="e">
        <f t="shared" si="2"/>
        <v>#REF!</v>
      </c>
      <c r="AH31" s="7" t="e">
        <f t="shared" si="9"/>
        <v>#REF!</v>
      </c>
      <c r="AI31" s="79" t="e">
        <f t="shared" si="15"/>
        <v>#REF!</v>
      </c>
      <c r="AJ31" s="79" t="e">
        <f t="shared" si="18"/>
        <v>#REF!</v>
      </c>
      <c r="AK31" s="75" t="e">
        <f>PMT(#REF!,#REF!,-#REF!,0,0)</f>
        <v>#REF!</v>
      </c>
      <c r="AL31" s="75"/>
      <c r="AM31" s="7" t="e">
        <f>AJ31*(#REF!/12)</f>
        <v>#REF!</v>
      </c>
      <c r="AN31" s="7" t="e">
        <f t="shared" si="16"/>
        <v>#REF!</v>
      </c>
      <c r="AO31" s="75" t="e">
        <f t="shared" si="3"/>
        <v>#REF!</v>
      </c>
      <c r="AP31" s="75" t="e">
        <f t="shared" si="17"/>
        <v>#REF!</v>
      </c>
      <c r="AQ31" s="7" t="e">
        <f t="shared" si="10"/>
        <v>#REF!</v>
      </c>
      <c r="AR31" s="41"/>
    </row>
    <row r="32" spans="2:46" x14ac:dyDescent="0.25">
      <c r="J32" s="5">
        <f t="shared" si="4"/>
        <v>30</v>
      </c>
      <c r="K32" s="5">
        <f t="shared" si="26"/>
        <v>2028</v>
      </c>
      <c r="L32" s="34" t="s">
        <v>42</v>
      </c>
      <c r="M32" s="70">
        <f t="shared" si="11"/>
        <v>385.875</v>
      </c>
      <c r="N32" s="70">
        <f t="shared" si="0"/>
        <v>385.875</v>
      </c>
      <c r="O32" s="71"/>
      <c r="P32" s="86">
        <v>4</v>
      </c>
      <c r="Q32" s="51">
        <v>3</v>
      </c>
      <c r="R32" s="88">
        <f t="shared" si="12"/>
        <v>0.75</v>
      </c>
      <c r="S32" s="6">
        <v>0</v>
      </c>
      <c r="T32" s="8">
        <f t="shared" si="6"/>
        <v>1157.625</v>
      </c>
      <c r="U32" s="8" t="e">
        <f>#REF!</f>
        <v>#REF!</v>
      </c>
      <c r="V32" s="8"/>
      <c r="W32" s="8" t="e">
        <f t="shared" si="7"/>
        <v>#REF!</v>
      </c>
      <c r="X32" s="27"/>
      <c r="Y32" s="26" t="e">
        <f t="shared" si="13"/>
        <v>#REF!</v>
      </c>
      <c r="Z32" s="95"/>
      <c r="AA32" s="95"/>
      <c r="AB32" s="8">
        <f>'Business_172 PH Rd Budget'!$C$25</f>
        <v>2155.2899999999995</v>
      </c>
      <c r="AC32" s="8" t="e">
        <f t="shared" si="14"/>
        <v>#REF!</v>
      </c>
      <c r="AD32" s="8" t="e">
        <f t="shared" si="8"/>
        <v>#REF!</v>
      </c>
      <c r="AE32" s="76" t="e">
        <f t="shared" si="1"/>
        <v>#REF!</v>
      </c>
      <c r="AF32" s="8" t="e">
        <f t="shared" si="2"/>
        <v>#REF!</v>
      </c>
      <c r="AH32" s="7" t="e">
        <f t="shared" si="9"/>
        <v>#REF!</v>
      </c>
      <c r="AI32" s="79" t="e">
        <f t="shared" si="15"/>
        <v>#REF!</v>
      </c>
      <c r="AJ32" s="79" t="e">
        <f t="shared" si="18"/>
        <v>#REF!</v>
      </c>
      <c r="AK32" s="75" t="e">
        <f>PMT(#REF!,#REF!,-#REF!,0,0)</f>
        <v>#REF!</v>
      </c>
      <c r="AL32" s="75"/>
      <c r="AM32" s="7" t="e">
        <f>AJ32*(#REF!/12)</f>
        <v>#REF!</v>
      </c>
      <c r="AN32" s="7" t="e">
        <f t="shared" si="16"/>
        <v>#REF!</v>
      </c>
      <c r="AO32" s="75" t="e">
        <f t="shared" si="3"/>
        <v>#REF!</v>
      </c>
      <c r="AP32" s="75" t="e">
        <f t="shared" si="17"/>
        <v>#REF!</v>
      </c>
      <c r="AQ32" s="7" t="e">
        <f t="shared" si="10"/>
        <v>#REF!</v>
      </c>
      <c r="AR32" s="41"/>
    </row>
    <row r="33" spans="10:44" x14ac:dyDescent="0.25">
      <c r="J33" s="5">
        <f t="shared" si="4"/>
        <v>30</v>
      </c>
      <c r="K33" s="5">
        <f t="shared" si="26"/>
        <v>2028</v>
      </c>
      <c r="L33" s="34" t="s">
        <v>44</v>
      </c>
      <c r="M33" s="70">
        <f t="shared" si="11"/>
        <v>385.875</v>
      </c>
      <c r="N33" s="70">
        <f t="shared" si="0"/>
        <v>385.875</v>
      </c>
      <c r="O33" s="71"/>
      <c r="P33" s="86">
        <v>5</v>
      </c>
      <c r="Q33" s="51">
        <v>4</v>
      </c>
      <c r="R33" s="88">
        <f t="shared" si="12"/>
        <v>0.8</v>
      </c>
      <c r="S33" s="6">
        <v>0</v>
      </c>
      <c r="T33" s="8">
        <f t="shared" si="6"/>
        <v>1543.5</v>
      </c>
      <c r="U33" s="8" t="e">
        <f>#REF!</f>
        <v>#REF!</v>
      </c>
      <c r="V33" s="8"/>
      <c r="W33" s="8" t="e">
        <f t="shared" si="7"/>
        <v>#REF!</v>
      </c>
      <c r="X33" s="27"/>
      <c r="Y33" s="26" t="e">
        <f t="shared" si="13"/>
        <v>#REF!</v>
      </c>
      <c r="Z33" s="95"/>
      <c r="AA33" s="95"/>
      <c r="AB33" s="8">
        <f>'Business_172 PH Rd Budget'!$C$25</f>
        <v>2155.2899999999995</v>
      </c>
      <c r="AC33" s="8" t="e">
        <f t="shared" si="14"/>
        <v>#REF!</v>
      </c>
      <c r="AD33" s="8" t="e">
        <f t="shared" si="8"/>
        <v>#REF!</v>
      </c>
      <c r="AE33" s="76" t="e">
        <f t="shared" si="1"/>
        <v>#REF!</v>
      </c>
      <c r="AF33" s="8" t="e">
        <f t="shared" si="2"/>
        <v>#REF!</v>
      </c>
      <c r="AH33" s="7" t="e">
        <f t="shared" si="9"/>
        <v>#REF!</v>
      </c>
      <c r="AI33" s="79" t="e">
        <f t="shared" si="15"/>
        <v>#REF!</v>
      </c>
      <c r="AJ33" s="79" t="e">
        <f t="shared" si="18"/>
        <v>#REF!</v>
      </c>
      <c r="AK33" s="75" t="e">
        <f>PMT(#REF!,#REF!,-#REF!,0,0)</f>
        <v>#REF!</v>
      </c>
      <c r="AL33" s="75"/>
      <c r="AM33" s="7" t="e">
        <f>AJ33*(#REF!/12)</f>
        <v>#REF!</v>
      </c>
      <c r="AN33" s="7" t="e">
        <f t="shared" si="16"/>
        <v>#REF!</v>
      </c>
      <c r="AO33" s="75" t="e">
        <f t="shared" si="3"/>
        <v>#REF!</v>
      </c>
      <c r="AP33" s="75" t="e">
        <f t="shared" si="17"/>
        <v>#REF!</v>
      </c>
      <c r="AQ33" s="7" t="e">
        <f t="shared" si="10"/>
        <v>#REF!</v>
      </c>
      <c r="AR33" s="41"/>
    </row>
    <row r="34" spans="10:44" x14ac:dyDescent="0.25">
      <c r="J34" s="5">
        <f t="shared" si="4"/>
        <v>30</v>
      </c>
      <c r="K34" s="5">
        <f t="shared" si="26"/>
        <v>2028</v>
      </c>
      <c r="L34" s="34" t="s">
        <v>47</v>
      </c>
      <c r="M34" s="70">
        <f t="shared" si="11"/>
        <v>385.875</v>
      </c>
      <c r="N34" s="70">
        <f t="shared" si="0"/>
        <v>385.875</v>
      </c>
      <c r="O34" s="71"/>
      <c r="P34" s="86">
        <v>4</v>
      </c>
      <c r="Q34" s="44">
        <v>3</v>
      </c>
      <c r="R34" s="88">
        <f t="shared" si="12"/>
        <v>0.75</v>
      </c>
      <c r="S34" s="6">
        <v>0</v>
      </c>
      <c r="T34" s="8">
        <f t="shared" si="6"/>
        <v>1157.625</v>
      </c>
      <c r="U34" s="8" t="e">
        <f>#REF!</f>
        <v>#REF!</v>
      </c>
      <c r="V34" s="8"/>
      <c r="W34" s="8" t="e">
        <f t="shared" si="7"/>
        <v>#REF!</v>
      </c>
      <c r="X34" s="27"/>
      <c r="Y34" s="26" t="e">
        <f t="shared" si="13"/>
        <v>#REF!</v>
      </c>
      <c r="Z34" s="95"/>
      <c r="AA34" s="95"/>
      <c r="AB34" s="8">
        <f>'Business_172 PH Rd Budget'!$C$25</f>
        <v>2155.2899999999995</v>
      </c>
      <c r="AC34" s="8" t="e">
        <f t="shared" si="14"/>
        <v>#REF!</v>
      </c>
      <c r="AD34" s="8" t="e">
        <f t="shared" si="8"/>
        <v>#REF!</v>
      </c>
      <c r="AE34" s="76" t="e">
        <f t="shared" si="1"/>
        <v>#REF!</v>
      </c>
      <c r="AF34" s="8" t="e">
        <f t="shared" si="2"/>
        <v>#REF!</v>
      </c>
      <c r="AH34" s="7" t="e">
        <f t="shared" si="9"/>
        <v>#REF!</v>
      </c>
      <c r="AI34" s="79" t="e">
        <f t="shared" si="15"/>
        <v>#REF!</v>
      </c>
      <c r="AJ34" s="79" t="e">
        <f t="shared" si="18"/>
        <v>#REF!</v>
      </c>
      <c r="AK34" s="75" t="e">
        <f>PMT(#REF!,#REF!,-#REF!,0,0)</f>
        <v>#REF!</v>
      </c>
      <c r="AL34" s="75"/>
      <c r="AM34" s="7" t="e">
        <f>AJ34*(#REF!/12)</f>
        <v>#REF!</v>
      </c>
      <c r="AN34" s="7" t="e">
        <f t="shared" si="16"/>
        <v>#REF!</v>
      </c>
      <c r="AO34" s="75" t="e">
        <f t="shared" si="3"/>
        <v>#REF!</v>
      </c>
      <c r="AP34" s="75" t="e">
        <f t="shared" si="17"/>
        <v>#REF!</v>
      </c>
      <c r="AQ34" s="7" t="e">
        <f t="shared" si="10"/>
        <v>#REF!</v>
      </c>
      <c r="AR34" s="41"/>
    </row>
    <row r="35" spans="10:44" x14ac:dyDescent="0.25">
      <c r="J35" s="5">
        <f t="shared" si="4"/>
        <v>30</v>
      </c>
      <c r="K35" s="5">
        <f t="shared" si="26"/>
        <v>2028</v>
      </c>
      <c r="L35" s="34" t="s">
        <v>49</v>
      </c>
      <c r="M35" s="70">
        <f t="shared" si="11"/>
        <v>385.875</v>
      </c>
      <c r="N35" s="70">
        <f t="shared" si="0"/>
        <v>385.875</v>
      </c>
      <c r="O35" s="71"/>
      <c r="P35" s="86">
        <v>5</v>
      </c>
      <c r="Q35" s="44">
        <v>4</v>
      </c>
      <c r="R35" s="88">
        <f t="shared" si="12"/>
        <v>0.8</v>
      </c>
      <c r="S35" s="6">
        <v>0</v>
      </c>
      <c r="T35" s="8">
        <f t="shared" si="6"/>
        <v>1543.5</v>
      </c>
      <c r="U35" s="8" t="e">
        <f>#REF!</f>
        <v>#REF!</v>
      </c>
      <c r="V35" s="8"/>
      <c r="W35" s="8" t="e">
        <f t="shared" si="7"/>
        <v>#REF!</v>
      </c>
      <c r="X35" s="27"/>
      <c r="Y35" s="26" t="e">
        <f t="shared" si="13"/>
        <v>#REF!</v>
      </c>
      <c r="Z35" s="95"/>
      <c r="AA35" s="95"/>
      <c r="AB35" s="8">
        <f>'Business_172 PH Rd Budget'!$C$25</f>
        <v>2155.2899999999995</v>
      </c>
      <c r="AC35" s="8" t="e">
        <f t="shared" si="14"/>
        <v>#REF!</v>
      </c>
      <c r="AD35" s="8" t="e">
        <f t="shared" si="8"/>
        <v>#REF!</v>
      </c>
      <c r="AE35" s="76" t="e">
        <f t="shared" si="1"/>
        <v>#REF!</v>
      </c>
      <c r="AF35" s="8" t="e">
        <f t="shared" si="2"/>
        <v>#REF!</v>
      </c>
      <c r="AH35" s="7" t="e">
        <f t="shared" si="9"/>
        <v>#REF!</v>
      </c>
      <c r="AI35" s="79" t="e">
        <f t="shared" si="15"/>
        <v>#REF!</v>
      </c>
      <c r="AJ35" s="79" t="e">
        <f t="shared" si="18"/>
        <v>#REF!</v>
      </c>
      <c r="AK35" s="75" t="e">
        <f>PMT(#REF!,#REF!,-#REF!,0,0)</f>
        <v>#REF!</v>
      </c>
      <c r="AL35" s="75"/>
      <c r="AM35" s="7" t="e">
        <f>AJ35*(#REF!/12)</f>
        <v>#REF!</v>
      </c>
      <c r="AN35" s="7" t="e">
        <f t="shared" si="16"/>
        <v>#REF!</v>
      </c>
      <c r="AO35" s="75" t="e">
        <f t="shared" si="3"/>
        <v>#REF!</v>
      </c>
      <c r="AP35" s="75" t="e">
        <f t="shared" si="17"/>
        <v>#REF!</v>
      </c>
      <c r="AQ35" s="7" t="e">
        <f t="shared" si="10"/>
        <v>#REF!</v>
      </c>
      <c r="AR35" s="41"/>
    </row>
    <row r="36" spans="10:44" x14ac:dyDescent="0.25">
      <c r="J36" s="5">
        <f t="shared" si="4"/>
        <v>30</v>
      </c>
      <c r="K36" s="5">
        <f t="shared" si="26"/>
        <v>2028</v>
      </c>
      <c r="L36" s="34" t="s">
        <v>51</v>
      </c>
      <c r="M36" s="70">
        <f t="shared" si="11"/>
        <v>385.875</v>
      </c>
      <c r="N36" s="70">
        <f t="shared" si="0"/>
        <v>385.875</v>
      </c>
      <c r="O36" s="71"/>
      <c r="P36" s="86">
        <v>4</v>
      </c>
      <c r="Q36" s="44">
        <v>3</v>
      </c>
      <c r="R36" s="88">
        <f t="shared" si="12"/>
        <v>0.75</v>
      </c>
      <c r="S36" s="6">
        <v>0</v>
      </c>
      <c r="T36" s="8">
        <f t="shared" si="6"/>
        <v>1157.625</v>
      </c>
      <c r="U36" s="8" t="e">
        <f>#REF!</f>
        <v>#REF!</v>
      </c>
      <c r="V36" s="8"/>
      <c r="W36" s="8" t="e">
        <f t="shared" si="7"/>
        <v>#REF!</v>
      </c>
      <c r="X36" s="27"/>
      <c r="Y36" s="26" t="e">
        <f t="shared" si="13"/>
        <v>#REF!</v>
      </c>
      <c r="Z36" s="95"/>
      <c r="AA36" s="95"/>
      <c r="AB36" s="8">
        <f>'Business_172 PH Rd Budget'!$C$25</f>
        <v>2155.2899999999995</v>
      </c>
      <c r="AC36" s="8" t="e">
        <f t="shared" si="14"/>
        <v>#REF!</v>
      </c>
      <c r="AD36" s="8" t="e">
        <f t="shared" si="8"/>
        <v>#REF!</v>
      </c>
      <c r="AE36" s="76" t="e">
        <f t="shared" si="1"/>
        <v>#REF!</v>
      </c>
      <c r="AF36" s="8" t="e">
        <f t="shared" si="2"/>
        <v>#REF!</v>
      </c>
      <c r="AH36" s="7" t="e">
        <f t="shared" si="9"/>
        <v>#REF!</v>
      </c>
      <c r="AI36" s="79" t="e">
        <f t="shared" si="15"/>
        <v>#REF!</v>
      </c>
      <c r="AJ36" s="79" t="e">
        <f t="shared" si="18"/>
        <v>#REF!</v>
      </c>
      <c r="AK36" s="75" t="e">
        <f>PMT(#REF!,#REF!,-#REF!,0,0)</f>
        <v>#REF!</v>
      </c>
      <c r="AL36" s="75"/>
      <c r="AM36" s="7" t="e">
        <f>AJ36*(#REF!/12)</f>
        <v>#REF!</v>
      </c>
      <c r="AN36" s="7" t="e">
        <f t="shared" si="16"/>
        <v>#REF!</v>
      </c>
      <c r="AO36" s="75" t="e">
        <f t="shared" si="3"/>
        <v>#REF!</v>
      </c>
      <c r="AP36" s="75" t="e">
        <f t="shared" si="17"/>
        <v>#REF!</v>
      </c>
      <c r="AQ36" s="7" t="e">
        <f t="shared" si="10"/>
        <v>#REF!</v>
      </c>
      <c r="AR36" s="41"/>
    </row>
    <row r="37" spans="10:44" x14ac:dyDescent="0.25">
      <c r="J37" s="5">
        <f t="shared" si="4"/>
        <v>30</v>
      </c>
      <c r="K37" s="5">
        <f t="shared" si="26"/>
        <v>2028</v>
      </c>
      <c r="L37" s="34" t="s">
        <v>53</v>
      </c>
      <c r="M37" s="70">
        <f t="shared" si="11"/>
        <v>385.875</v>
      </c>
      <c r="N37" s="70">
        <f t="shared" si="0"/>
        <v>347.28750000000002</v>
      </c>
      <c r="O37" s="71"/>
      <c r="P37" s="86"/>
      <c r="Q37" s="51">
        <v>0</v>
      </c>
      <c r="R37" s="88" t="str">
        <f t="shared" si="12"/>
        <v/>
      </c>
      <c r="S37" s="6">
        <v>0.1</v>
      </c>
      <c r="T37" s="8">
        <f t="shared" si="6"/>
        <v>0</v>
      </c>
      <c r="U37" s="8" t="e">
        <f>#REF!</f>
        <v>#REF!</v>
      </c>
      <c r="V37" s="8"/>
      <c r="W37" s="8" t="e">
        <f t="shared" si="7"/>
        <v>#REF!</v>
      </c>
      <c r="X37" s="27"/>
      <c r="Y37" s="26" t="e">
        <f t="shared" si="13"/>
        <v>#REF!</v>
      </c>
      <c r="Z37" s="95"/>
      <c r="AA37" s="95"/>
      <c r="AB37" s="8">
        <f>'Business_172 PH Rd Budget'!$C$25</f>
        <v>2155.2899999999995</v>
      </c>
      <c r="AC37" s="8" t="e">
        <f t="shared" si="14"/>
        <v>#REF!</v>
      </c>
      <c r="AD37" s="8" t="e">
        <f t="shared" si="8"/>
        <v>#REF!</v>
      </c>
      <c r="AE37" s="76" t="e">
        <f t="shared" si="1"/>
        <v>#REF!</v>
      </c>
      <c r="AF37" s="8" t="e">
        <f t="shared" si="2"/>
        <v>#REF!</v>
      </c>
      <c r="AH37" s="7" t="e">
        <f t="shared" si="9"/>
        <v>#REF!</v>
      </c>
      <c r="AI37" s="79" t="e">
        <f t="shared" si="15"/>
        <v>#REF!</v>
      </c>
      <c r="AJ37" s="79" t="e">
        <f t="shared" si="18"/>
        <v>#REF!</v>
      </c>
      <c r="AK37" s="75" t="e">
        <f>PMT(#REF!,#REF!,-#REF!,0,0)</f>
        <v>#REF!</v>
      </c>
      <c r="AL37" s="75"/>
      <c r="AM37" s="7" t="e">
        <f>AJ37*(#REF!/12)</f>
        <v>#REF!</v>
      </c>
      <c r="AN37" s="7" t="e">
        <f t="shared" si="16"/>
        <v>#REF!</v>
      </c>
      <c r="AO37" s="75" t="e">
        <f t="shared" si="3"/>
        <v>#REF!</v>
      </c>
      <c r="AP37" s="75" t="e">
        <f t="shared" si="17"/>
        <v>#REF!</v>
      </c>
      <c r="AQ37" s="7" t="e">
        <f t="shared" si="10"/>
        <v>#REF!</v>
      </c>
      <c r="AR37" s="41"/>
    </row>
    <row r="38" spans="10:44" x14ac:dyDescent="0.25">
      <c r="J38" s="5">
        <f t="shared" si="4"/>
        <v>30</v>
      </c>
      <c r="K38" s="5">
        <f t="shared" si="26"/>
        <v>2028</v>
      </c>
      <c r="L38" s="34" t="s">
        <v>55</v>
      </c>
      <c r="M38" s="70">
        <f t="shared" si="11"/>
        <v>385.875</v>
      </c>
      <c r="N38" s="70">
        <f t="shared" si="0"/>
        <v>308.70000000000005</v>
      </c>
      <c r="O38" s="71"/>
      <c r="P38" s="86"/>
      <c r="Q38" s="51">
        <v>0</v>
      </c>
      <c r="R38" s="88" t="str">
        <f t="shared" si="12"/>
        <v/>
      </c>
      <c r="S38" s="6">
        <v>0.2</v>
      </c>
      <c r="T38" s="8">
        <f t="shared" si="6"/>
        <v>0</v>
      </c>
      <c r="U38" s="8" t="e">
        <f>#REF!</f>
        <v>#REF!</v>
      </c>
      <c r="V38" s="8"/>
      <c r="W38" s="8" t="e">
        <f t="shared" si="7"/>
        <v>#REF!</v>
      </c>
      <c r="X38" s="27"/>
      <c r="Y38" s="26" t="e">
        <f t="shared" si="13"/>
        <v>#REF!</v>
      </c>
      <c r="Z38" s="95"/>
      <c r="AA38" s="95"/>
      <c r="AB38" s="8">
        <f>'Business_172 PH Rd Budget'!$C$25</f>
        <v>2155.2899999999995</v>
      </c>
      <c r="AC38" s="8" t="e">
        <f t="shared" si="14"/>
        <v>#REF!</v>
      </c>
      <c r="AD38" s="8" t="e">
        <f t="shared" si="8"/>
        <v>#REF!</v>
      </c>
      <c r="AE38" s="76" t="e">
        <f t="shared" si="1"/>
        <v>#REF!</v>
      </c>
      <c r="AF38" s="8" t="e">
        <f t="shared" si="2"/>
        <v>#REF!</v>
      </c>
      <c r="AH38" s="7" t="e">
        <f t="shared" si="9"/>
        <v>#REF!</v>
      </c>
      <c r="AI38" s="79" t="e">
        <f t="shared" si="15"/>
        <v>#REF!</v>
      </c>
      <c r="AJ38" s="79" t="e">
        <f t="shared" si="18"/>
        <v>#REF!</v>
      </c>
      <c r="AK38" s="75" t="e">
        <f>PMT(#REF!,#REF!,-#REF!,0,0)</f>
        <v>#REF!</v>
      </c>
      <c r="AL38" s="75"/>
      <c r="AM38" s="7" t="e">
        <f>AJ38*(#REF!/12)</f>
        <v>#REF!</v>
      </c>
      <c r="AN38" s="7" t="e">
        <f t="shared" si="16"/>
        <v>#REF!</v>
      </c>
      <c r="AO38" s="75" t="e">
        <f t="shared" si="3"/>
        <v>#REF!</v>
      </c>
      <c r="AP38" s="75" t="e">
        <f t="shared" si="17"/>
        <v>#REF!</v>
      </c>
      <c r="AQ38" s="7" t="e">
        <f t="shared" si="10"/>
        <v>#REF!</v>
      </c>
      <c r="AR38" s="41"/>
    </row>
    <row r="39" spans="10:44" x14ac:dyDescent="0.25">
      <c r="J39" s="5">
        <f t="shared" si="4"/>
        <v>31</v>
      </c>
      <c r="K39" s="5">
        <f t="shared" si="26"/>
        <v>2029</v>
      </c>
      <c r="L39" s="34" t="s">
        <v>31</v>
      </c>
      <c r="M39" s="70">
        <f t="shared" si="11"/>
        <v>405.16875000000005</v>
      </c>
      <c r="N39" s="70">
        <f t="shared" si="0"/>
        <v>303.87656250000003</v>
      </c>
      <c r="O39" s="71">
        <v>0.05</v>
      </c>
      <c r="P39" s="86"/>
      <c r="Q39" s="51">
        <v>0</v>
      </c>
      <c r="R39" s="88" t="str">
        <f t="shared" si="12"/>
        <v/>
      </c>
      <c r="S39" s="6">
        <v>0.25</v>
      </c>
      <c r="T39" s="8">
        <f t="shared" si="6"/>
        <v>0</v>
      </c>
      <c r="U39" s="8" t="e">
        <f>#REF!</f>
        <v>#REF!</v>
      </c>
      <c r="V39" s="8"/>
      <c r="W39" s="8" t="e">
        <f t="shared" si="7"/>
        <v>#REF!</v>
      </c>
      <c r="X39" s="27"/>
      <c r="Y39" s="26" t="e">
        <f t="shared" si="13"/>
        <v>#REF!</v>
      </c>
      <c r="Z39" s="95"/>
      <c r="AA39" s="95"/>
      <c r="AB39" s="8">
        <f>'Business_172 PH Rd Budget'!$C$25</f>
        <v>2155.2899999999995</v>
      </c>
      <c r="AC39" s="8" t="e">
        <f t="shared" si="14"/>
        <v>#REF!</v>
      </c>
      <c r="AD39" s="8" t="e">
        <f t="shared" si="8"/>
        <v>#REF!</v>
      </c>
      <c r="AE39" s="76" t="e">
        <f t="shared" si="1"/>
        <v>#REF!</v>
      </c>
      <c r="AF39" s="8" t="e">
        <f t="shared" si="2"/>
        <v>#REF!</v>
      </c>
      <c r="AH39" s="7" t="e">
        <f t="shared" si="9"/>
        <v>#REF!</v>
      </c>
      <c r="AI39" s="79" t="e">
        <f t="shared" si="15"/>
        <v>#REF!</v>
      </c>
      <c r="AJ39" s="79" t="e">
        <f t="shared" si="18"/>
        <v>#REF!</v>
      </c>
      <c r="AK39" s="75" t="e">
        <f>PMT(#REF!,#REF!,-#REF!,0,0)</f>
        <v>#REF!</v>
      </c>
      <c r="AL39" s="75"/>
      <c r="AM39" s="7" t="e">
        <f>AJ39*(#REF!/12)</f>
        <v>#REF!</v>
      </c>
      <c r="AN39" s="7" t="e">
        <f t="shared" si="16"/>
        <v>#REF!</v>
      </c>
      <c r="AO39" s="75" t="e">
        <f t="shared" si="3"/>
        <v>#REF!</v>
      </c>
      <c r="AP39" s="75" t="e">
        <f t="shared" si="17"/>
        <v>#REF!</v>
      </c>
      <c r="AQ39" s="7" t="e">
        <f t="shared" si="10"/>
        <v>#REF!</v>
      </c>
      <c r="AR39" s="41"/>
    </row>
    <row r="40" spans="10:44" x14ac:dyDescent="0.25">
      <c r="J40" s="5">
        <f t="shared" si="4"/>
        <v>31</v>
      </c>
      <c r="K40" s="5">
        <f t="shared" si="26"/>
        <v>2029</v>
      </c>
      <c r="L40" s="34" t="s">
        <v>33</v>
      </c>
      <c r="M40" s="70">
        <f t="shared" si="11"/>
        <v>405.16875000000005</v>
      </c>
      <c r="N40" s="70">
        <f t="shared" si="0"/>
        <v>303.87656250000003</v>
      </c>
      <c r="O40" s="71"/>
      <c r="P40" s="86"/>
      <c r="Q40" s="51">
        <v>0</v>
      </c>
      <c r="R40" s="88" t="str">
        <f t="shared" si="12"/>
        <v/>
      </c>
      <c r="S40" s="6">
        <v>0.25</v>
      </c>
      <c r="T40" s="8">
        <f t="shared" si="6"/>
        <v>0</v>
      </c>
      <c r="U40" s="8" t="e">
        <f>#REF!</f>
        <v>#REF!</v>
      </c>
      <c r="V40" s="8"/>
      <c r="W40" s="8" t="e">
        <f t="shared" si="7"/>
        <v>#REF!</v>
      </c>
      <c r="X40" s="27"/>
      <c r="Y40" s="26" t="e">
        <f t="shared" si="13"/>
        <v>#REF!</v>
      </c>
      <c r="Z40" s="95"/>
      <c r="AA40" s="95"/>
      <c r="AB40" s="8">
        <f>'Business_172 PH Rd Budget'!$C$25</f>
        <v>2155.2899999999995</v>
      </c>
      <c r="AC40" s="8" t="e">
        <f t="shared" si="14"/>
        <v>#REF!</v>
      </c>
      <c r="AD40" s="8" t="e">
        <f t="shared" si="8"/>
        <v>#REF!</v>
      </c>
      <c r="AE40" s="76" t="e">
        <f t="shared" si="1"/>
        <v>#REF!</v>
      </c>
      <c r="AF40" s="8" t="e">
        <f t="shared" si="2"/>
        <v>#REF!</v>
      </c>
      <c r="AH40" s="7" t="e">
        <f t="shared" si="9"/>
        <v>#REF!</v>
      </c>
      <c r="AI40" s="79" t="e">
        <f t="shared" si="15"/>
        <v>#REF!</v>
      </c>
      <c r="AJ40" s="79" t="e">
        <f t="shared" si="18"/>
        <v>#REF!</v>
      </c>
      <c r="AK40" s="75" t="e">
        <f>PMT(#REF!,#REF!,-#REF!,0,0)</f>
        <v>#REF!</v>
      </c>
      <c r="AL40" s="75"/>
      <c r="AM40" s="7" t="e">
        <f>AJ40*(#REF!/12)</f>
        <v>#REF!</v>
      </c>
      <c r="AN40" s="7" t="e">
        <f t="shared" si="16"/>
        <v>#REF!</v>
      </c>
      <c r="AO40" s="75" t="e">
        <f t="shared" si="3"/>
        <v>#REF!</v>
      </c>
      <c r="AP40" s="75" t="e">
        <f t="shared" si="17"/>
        <v>#REF!</v>
      </c>
      <c r="AQ40" s="7" t="e">
        <f t="shared" si="10"/>
        <v>#REF!</v>
      </c>
      <c r="AR40" s="41"/>
    </row>
    <row r="41" spans="10:44" x14ac:dyDescent="0.25">
      <c r="J41" s="5">
        <f t="shared" si="4"/>
        <v>31</v>
      </c>
      <c r="K41" s="5">
        <f t="shared" si="26"/>
        <v>2029</v>
      </c>
      <c r="L41" s="34" t="s">
        <v>36</v>
      </c>
      <c r="M41" s="70">
        <f t="shared" si="11"/>
        <v>405.16875000000005</v>
      </c>
      <c r="N41" s="70">
        <f t="shared" si="0"/>
        <v>324.13500000000005</v>
      </c>
      <c r="O41" s="71"/>
      <c r="P41" s="86"/>
      <c r="Q41" s="51">
        <v>0</v>
      </c>
      <c r="R41" s="88" t="str">
        <f t="shared" si="12"/>
        <v/>
      </c>
      <c r="S41" s="6">
        <v>0.2</v>
      </c>
      <c r="T41" s="8">
        <f t="shared" si="6"/>
        <v>0</v>
      </c>
      <c r="U41" s="8" t="e">
        <f>#REF!</f>
        <v>#REF!</v>
      </c>
      <c r="V41" s="8"/>
      <c r="W41" s="8" t="e">
        <f t="shared" si="7"/>
        <v>#REF!</v>
      </c>
      <c r="X41" s="27"/>
      <c r="Y41" s="26" t="e">
        <f t="shared" si="13"/>
        <v>#REF!</v>
      </c>
      <c r="Z41" s="95"/>
      <c r="AA41" s="95"/>
      <c r="AB41" s="8">
        <f>'Business_172 PH Rd Budget'!$C$25</f>
        <v>2155.2899999999995</v>
      </c>
      <c r="AC41" s="8" t="e">
        <f t="shared" si="14"/>
        <v>#REF!</v>
      </c>
      <c r="AD41" s="8" t="e">
        <f t="shared" si="8"/>
        <v>#REF!</v>
      </c>
      <c r="AE41" s="76" t="e">
        <f t="shared" si="1"/>
        <v>#REF!</v>
      </c>
      <c r="AF41" s="8" t="e">
        <f t="shared" si="2"/>
        <v>#REF!</v>
      </c>
      <c r="AH41" s="7" t="e">
        <f t="shared" si="9"/>
        <v>#REF!</v>
      </c>
      <c r="AI41" s="79" t="e">
        <f t="shared" si="15"/>
        <v>#REF!</v>
      </c>
      <c r="AJ41" s="79" t="e">
        <f t="shared" si="18"/>
        <v>#REF!</v>
      </c>
      <c r="AK41" s="75" t="e">
        <f>PMT(#REF!,#REF!,-#REF!,0,0)</f>
        <v>#REF!</v>
      </c>
      <c r="AL41" s="75"/>
      <c r="AM41" s="7" t="e">
        <f>AJ41*(#REF!/12)</f>
        <v>#REF!</v>
      </c>
      <c r="AN41" s="7" t="e">
        <f t="shared" si="16"/>
        <v>#REF!</v>
      </c>
      <c r="AO41" s="75" t="e">
        <f t="shared" si="3"/>
        <v>#REF!</v>
      </c>
      <c r="AP41" s="75" t="e">
        <f t="shared" si="17"/>
        <v>#REF!</v>
      </c>
      <c r="AQ41" s="7" t="e">
        <f t="shared" si="10"/>
        <v>#REF!</v>
      </c>
      <c r="AR41" s="41"/>
    </row>
    <row r="42" spans="10:44" x14ac:dyDescent="0.25">
      <c r="J42" s="5">
        <f t="shared" si="4"/>
        <v>31</v>
      </c>
      <c r="K42" s="5">
        <f t="shared" si="26"/>
        <v>2029</v>
      </c>
      <c r="L42" s="34" t="s">
        <v>38</v>
      </c>
      <c r="M42" s="70">
        <f t="shared" si="11"/>
        <v>405.16875000000005</v>
      </c>
      <c r="N42" s="70">
        <f t="shared" si="0"/>
        <v>364.65187500000008</v>
      </c>
      <c r="O42" s="71"/>
      <c r="P42" s="86"/>
      <c r="Q42" s="51">
        <v>0</v>
      </c>
      <c r="R42" s="88" t="str">
        <f t="shared" si="12"/>
        <v/>
      </c>
      <c r="S42" s="6">
        <v>0.1</v>
      </c>
      <c r="T42" s="8">
        <f t="shared" si="6"/>
        <v>0</v>
      </c>
      <c r="U42" s="8" t="e">
        <f>#REF!</f>
        <v>#REF!</v>
      </c>
      <c r="V42" s="8"/>
      <c r="W42" s="8" t="e">
        <f t="shared" si="7"/>
        <v>#REF!</v>
      </c>
      <c r="X42" s="27"/>
      <c r="Y42" s="26" t="e">
        <f t="shared" si="13"/>
        <v>#REF!</v>
      </c>
      <c r="Z42" s="95"/>
      <c r="AA42" s="95"/>
      <c r="AB42" s="8">
        <f>'Business_172 PH Rd Budget'!$C$25</f>
        <v>2155.2899999999995</v>
      </c>
      <c r="AC42" s="8" t="e">
        <f t="shared" si="14"/>
        <v>#REF!</v>
      </c>
      <c r="AD42" s="8" t="e">
        <f t="shared" si="8"/>
        <v>#REF!</v>
      </c>
      <c r="AE42" s="76" t="e">
        <f t="shared" si="1"/>
        <v>#REF!</v>
      </c>
      <c r="AF42" s="8" t="e">
        <f t="shared" si="2"/>
        <v>#REF!</v>
      </c>
      <c r="AH42" s="7" t="e">
        <f t="shared" si="9"/>
        <v>#REF!</v>
      </c>
      <c r="AI42" s="79" t="e">
        <f t="shared" si="15"/>
        <v>#REF!</v>
      </c>
      <c r="AJ42" s="79" t="e">
        <f t="shared" si="18"/>
        <v>#REF!</v>
      </c>
      <c r="AK42" s="75" t="e">
        <f>PMT(#REF!,#REF!,-#REF!,0,0)</f>
        <v>#REF!</v>
      </c>
      <c r="AL42" s="75"/>
      <c r="AM42" s="7" t="e">
        <f>AJ42*(#REF!/12)</f>
        <v>#REF!</v>
      </c>
      <c r="AN42" s="7" t="e">
        <f t="shared" si="16"/>
        <v>#REF!</v>
      </c>
      <c r="AO42" s="75" t="e">
        <f t="shared" si="3"/>
        <v>#REF!</v>
      </c>
      <c r="AP42" s="75" t="e">
        <f t="shared" si="17"/>
        <v>#REF!</v>
      </c>
      <c r="AQ42" s="7" t="e">
        <f t="shared" si="10"/>
        <v>#REF!</v>
      </c>
      <c r="AR42" s="41"/>
    </row>
    <row r="43" spans="10:44" x14ac:dyDescent="0.25">
      <c r="J43" s="5">
        <f t="shared" si="4"/>
        <v>31</v>
      </c>
      <c r="K43" s="5">
        <f t="shared" si="26"/>
        <v>2029</v>
      </c>
      <c r="L43" s="34" t="s">
        <v>40</v>
      </c>
      <c r="M43" s="70">
        <f t="shared" si="11"/>
        <v>405.16875000000005</v>
      </c>
      <c r="N43" s="70">
        <f t="shared" si="0"/>
        <v>405.16875000000005</v>
      </c>
      <c r="O43" s="71"/>
      <c r="P43" s="86">
        <v>4</v>
      </c>
      <c r="Q43" s="51">
        <v>2</v>
      </c>
      <c r="R43" s="88">
        <f t="shared" si="12"/>
        <v>0.5</v>
      </c>
      <c r="S43" s="6">
        <v>0</v>
      </c>
      <c r="T43" s="8">
        <f t="shared" si="6"/>
        <v>810.33750000000009</v>
      </c>
      <c r="U43" s="8" t="e">
        <f>#REF!</f>
        <v>#REF!</v>
      </c>
      <c r="V43" s="8"/>
      <c r="W43" s="8" t="e">
        <f t="shared" si="7"/>
        <v>#REF!</v>
      </c>
      <c r="X43" s="27"/>
      <c r="Y43" s="26" t="e">
        <f t="shared" si="13"/>
        <v>#REF!</v>
      </c>
      <c r="Z43" s="95"/>
      <c r="AA43" s="95"/>
      <c r="AB43" s="8">
        <f>'Business_172 PH Rd Budget'!$C$25</f>
        <v>2155.2899999999995</v>
      </c>
      <c r="AC43" s="8" t="e">
        <f t="shared" si="14"/>
        <v>#REF!</v>
      </c>
      <c r="AD43" s="8" t="e">
        <f t="shared" si="8"/>
        <v>#REF!</v>
      </c>
      <c r="AE43" s="76" t="e">
        <f t="shared" si="1"/>
        <v>#REF!</v>
      </c>
      <c r="AF43" s="8" t="e">
        <f t="shared" si="2"/>
        <v>#REF!</v>
      </c>
      <c r="AH43" s="7" t="e">
        <f t="shared" si="9"/>
        <v>#REF!</v>
      </c>
      <c r="AI43" s="79" t="e">
        <f t="shared" si="15"/>
        <v>#REF!</v>
      </c>
      <c r="AJ43" s="79" t="e">
        <f t="shared" si="18"/>
        <v>#REF!</v>
      </c>
      <c r="AK43" s="75" t="e">
        <f>PMT(#REF!,#REF!,-#REF!,0,0)</f>
        <v>#REF!</v>
      </c>
      <c r="AL43" s="75"/>
      <c r="AM43" s="7" t="e">
        <f>AJ43*(#REF!/12)</f>
        <v>#REF!</v>
      </c>
      <c r="AN43" s="7" t="e">
        <f t="shared" si="16"/>
        <v>#REF!</v>
      </c>
      <c r="AO43" s="75" t="e">
        <f t="shared" si="3"/>
        <v>#REF!</v>
      </c>
      <c r="AP43" s="75" t="e">
        <f t="shared" si="17"/>
        <v>#REF!</v>
      </c>
      <c r="AQ43" s="7" t="e">
        <f t="shared" si="10"/>
        <v>#REF!</v>
      </c>
      <c r="AR43" s="41"/>
    </row>
    <row r="44" spans="10:44" x14ac:dyDescent="0.25">
      <c r="J44" s="5">
        <f t="shared" si="4"/>
        <v>31</v>
      </c>
      <c r="K44" s="5">
        <f t="shared" si="26"/>
        <v>2029</v>
      </c>
      <c r="L44" s="34" t="s">
        <v>42</v>
      </c>
      <c r="M44" s="70">
        <f t="shared" si="11"/>
        <v>405.16875000000005</v>
      </c>
      <c r="N44" s="70">
        <f t="shared" si="0"/>
        <v>405.16875000000005</v>
      </c>
      <c r="O44" s="71"/>
      <c r="P44" s="86">
        <v>5</v>
      </c>
      <c r="Q44" s="51">
        <v>4</v>
      </c>
      <c r="R44" s="88">
        <f t="shared" si="12"/>
        <v>0.8</v>
      </c>
      <c r="S44" s="6">
        <v>0</v>
      </c>
      <c r="T44" s="8">
        <f t="shared" si="6"/>
        <v>1620.6750000000002</v>
      </c>
      <c r="U44" s="8" t="e">
        <f>#REF!</f>
        <v>#REF!</v>
      </c>
      <c r="V44" s="8"/>
      <c r="W44" s="8" t="e">
        <f t="shared" si="7"/>
        <v>#REF!</v>
      </c>
      <c r="X44" s="27"/>
      <c r="Y44" s="26" t="e">
        <f t="shared" si="13"/>
        <v>#REF!</v>
      </c>
      <c r="Z44" s="95"/>
      <c r="AA44" s="95"/>
      <c r="AB44" s="8">
        <f>'Business_172 PH Rd Budget'!$C$25</f>
        <v>2155.2899999999995</v>
      </c>
      <c r="AC44" s="8" t="e">
        <f t="shared" si="14"/>
        <v>#REF!</v>
      </c>
      <c r="AD44" s="8" t="e">
        <f t="shared" si="8"/>
        <v>#REF!</v>
      </c>
      <c r="AE44" s="76" t="e">
        <f t="shared" si="1"/>
        <v>#REF!</v>
      </c>
      <c r="AF44" s="8" t="e">
        <f t="shared" si="2"/>
        <v>#REF!</v>
      </c>
      <c r="AH44" s="7" t="e">
        <f t="shared" si="9"/>
        <v>#REF!</v>
      </c>
      <c r="AI44" s="79" t="e">
        <f t="shared" si="15"/>
        <v>#REF!</v>
      </c>
      <c r="AJ44" s="79" t="e">
        <f t="shared" si="18"/>
        <v>#REF!</v>
      </c>
      <c r="AK44" s="75" t="e">
        <f>PMT(#REF!,#REF!,-#REF!,0,0)</f>
        <v>#REF!</v>
      </c>
      <c r="AL44" s="75"/>
      <c r="AM44" s="7" t="e">
        <f>AJ44*(#REF!/12)</f>
        <v>#REF!</v>
      </c>
      <c r="AN44" s="7" t="e">
        <f t="shared" si="16"/>
        <v>#REF!</v>
      </c>
      <c r="AO44" s="75" t="e">
        <f t="shared" si="3"/>
        <v>#REF!</v>
      </c>
      <c r="AP44" s="75" t="e">
        <f t="shared" si="17"/>
        <v>#REF!</v>
      </c>
      <c r="AQ44" s="7" t="e">
        <f t="shared" si="10"/>
        <v>#REF!</v>
      </c>
      <c r="AR44" s="41"/>
    </row>
    <row r="45" spans="10:44" x14ac:dyDescent="0.25">
      <c r="J45" s="5">
        <f t="shared" si="4"/>
        <v>31</v>
      </c>
      <c r="K45" s="5">
        <f t="shared" si="26"/>
        <v>2029</v>
      </c>
      <c r="L45" s="34" t="s">
        <v>44</v>
      </c>
      <c r="M45" s="70">
        <f t="shared" si="11"/>
        <v>405.16875000000005</v>
      </c>
      <c r="N45" s="70">
        <f t="shared" si="0"/>
        <v>405.16875000000005</v>
      </c>
      <c r="O45" s="71"/>
      <c r="P45" s="86">
        <v>4</v>
      </c>
      <c r="Q45" s="51">
        <v>4</v>
      </c>
      <c r="R45" s="88">
        <f t="shared" si="12"/>
        <v>1</v>
      </c>
      <c r="S45" s="6">
        <v>0</v>
      </c>
      <c r="T45" s="8">
        <f t="shared" si="6"/>
        <v>1620.6750000000002</v>
      </c>
      <c r="U45" s="8" t="e">
        <f>#REF!</f>
        <v>#REF!</v>
      </c>
      <c r="V45" s="8"/>
      <c r="W45" s="8" t="e">
        <f t="shared" si="7"/>
        <v>#REF!</v>
      </c>
      <c r="X45" s="27"/>
      <c r="Y45" s="26" t="e">
        <f t="shared" si="13"/>
        <v>#REF!</v>
      </c>
      <c r="Z45" s="95"/>
      <c r="AA45" s="95"/>
      <c r="AB45" s="8">
        <f>'Business_172 PH Rd Budget'!$C$25</f>
        <v>2155.2899999999995</v>
      </c>
      <c r="AC45" s="8" t="e">
        <f t="shared" si="14"/>
        <v>#REF!</v>
      </c>
      <c r="AD45" s="8">
        <v>350000</v>
      </c>
      <c r="AE45" s="76" t="e">
        <f t="shared" si="1"/>
        <v>#REF!</v>
      </c>
      <c r="AF45" s="8" t="e">
        <f t="shared" si="2"/>
        <v>#REF!</v>
      </c>
      <c r="AH45" s="7" t="e">
        <f t="shared" si="9"/>
        <v>#REF!</v>
      </c>
      <c r="AI45" s="79" t="e">
        <f t="shared" si="15"/>
        <v>#REF!</v>
      </c>
      <c r="AJ45" s="79" t="e">
        <f t="shared" si="18"/>
        <v>#REF!</v>
      </c>
      <c r="AK45" s="75" t="e">
        <f>PMT(#REF!,#REF!,-#REF!,0,0)</f>
        <v>#REF!</v>
      </c>
      <c r="AL45" s="75"/>
      <c r="AM45" s="7" t="e">
        <f>AJ45*(#REF!/12)</f>
        <v>#REF!</v>
      </c>
      <c r="AN45" s="7" t="e">
        <f t="shared" si="16"/>
        <v>#REF!</v>
      </c>
      <c r="AO45" s="75" t="e">
        <f t="shared" si="3"/>
        <v>#REF!</v>
      </c>
      <c r="AP45" s="75" t="e">
        <f t="shared" si="17"/>
        <v>#REF!</v>
      </c>
      <c r="AQ45" s="7" t="e">
        <f t="shared" si="10"/>
        <v>#REF!</v>
      </c>
      <c r="AR45" s="41"/>
    </row>
    <row r="46" spans="10:44" x14ac:dyDescent="0.25">
      <c r="J46" s="5">
        <f t="shared" si="4"/>
        <v>31</v>
      </c>
      <c r="K46" s="5">
        <f t="shared" si="26"/>
        <v>2029</v>
      </c>
      <c r="L46" s="34" t="s">
        <v>47</v>
      </c>
      <c r="M46" s="70">
        <f t="shared" si="11"/>
        <v>405.16875000000005</v>
      </c>
      <c r="N46" s="70">
        <f t="shared" si="0"/>
        <v>405.16875000000005</v>
      </c>
      <c r="O46" s="71"/>
      <c r="P46" s="86">
        <v>4</v>
      </c>
      <c r="Q46" s="44">
        <v>4</v>
      </c>
      <c r="R46" s="88">
        <f t="shared" si="12"/>
        <v>1</v>
      </c>
      <c r="S46" s="6">
        <v>0</v>
      </c>
      <c r="T46" s="8">
        <f t="shared" si="6"/>
        <v>1620.6750000000002</v>
      </c>
      <c r="U46" s="8" t="e">
        <f>#REF!</f>
        <v>#REF!</v>
      </c>
      <c r="V46" s="8"/>
      <c r="W46" s="8" t="e">
        <f t="shared" si="7"/>
        <v>#REF!</v>
      </c>
      <c r="X46" s="27"/>
      <c r="Y46" s="26" t="e">
        <f t="shared" si="13"/>
        <v>#REF!</v>
      </c>
      <c r="Z46" s="95"/>
      <c r="AA46" s="95"/>
      <c r="AB46" s="8">
        <f>'Business_172 PH Rd Budget'!$C$25</f>
        <v>2155.2899999999995</v>
      </c>
      <c r="AC46" s="8" t="e">
        <f t="shared" si="14"/>
        <v>#REF!</v>
      </c>
      <c r="AD46" s="8">
        <v>350000</v>
      </c>
      <c r="AE46" s="76" t="e">
        <f t="shared" si="1"/>
        <v>#REF!</v>
      </c>
      <c r="AF46" s="8" t="e">
        <f t="shared" si="2"/>
        <v>#REF!</v>
      </c>
      <c r="AH46" s="7" t="e">
        <f t="shared" si="9"/>
        <v>#REF!</v>
      </c>
      <c r="AI46" s="79" t="e">
        <f t="shared" si="15"/>
        <v>#REF!</v>
      </c>
      <c r="AJ46" s="79" t="e">
        <f t="shared" si="18"/>
        <v>#REF!</v>
      </c>
      <c r="AK46" s="75" t="e">
        <f>PMT(#REF!,#REF!,-#REF!,0,0)</f>
        <v>#REF!</v>
      </c>
      <c r="AL46" s="75"/>
      <c r="AM46" s="7" t="e">
        <f>AJ46*(#REF!/12)</f>
        <v>#REF!</v>
      </c>
      <c r="AN46" s="7" t="e">
        <f t="shared" si="16"/>
        <v>#REF!</v>
      </c>
      <c r="AO46" s="75" t="e">
        <f t="shared" si="3"/>
        <v>#REF!</v>
      </c>
      <c r="AP46" s="75" t="e">
        <f t="shared" si="17"/>
        <v>#REF!</v>
      </c>
      <c r="AQ46" s="7" t="e">
        <f t="shared" si="10"/>
        <v>#REF!</v>
      </c>
      <c r="AR46" s="41"/>
    </row>
    <row r="47" spans="10:44" x14ac:dyDescent="0.25">
      <c r="J47" s="5">
        <f t="shared" si="4"/>
        <v>31</v>
      </c>
      <c r="K47" s="5">
        <f t="shared" si="26"/>
        <v>2029</v>
      </c>
      <c r="L47" s="34" t="s">
        <v>49</v>
      </c>
      <c r="M47" s="70">
        <f t="shared" si="11"/>
        <v>405.16875000000005</v>
      </c>
      <c r="N47" s="70">
        <f t="shared" si="0"/>
        <v>405.16875000000005</v>
      </c>
      <c r="O47" s="71"/>
      <c r="P47" s="86">
        <v>5</v>
      </c>
      <c r="Q47" s="44">
        <v>4</v>
      </c>
      <c r="R47" s="88">
        <f t="shared" si="12"/>
        <v>0.8</v>
      </c>
      <c r="S47" s="6">
        <v>0</v>
      </c>
      <c r="T47" s="8">
        <f t="shared" si="6"/>
        <v>1620.6750000000002</v>
      </c>
      <c r="U47" s="8" t="e">
        <f>#REF!</f>
        <v>#REF!</v>
      </c>
      <c r="V47" s="8"/>
      <c r="W47" s="8" t="e">
        <f t="shared" si="7"/>
        <v>#REF!</v>
      </c>
      <c r="X47" s="27"/>
      <c r="Y47" s="26" t="e">
        <f t="shared" si="13"/>
        <v>#REF!</v>
      </c>
      <c r="Z47" s="95"/>
      <c r="AA47" s="95"/>
      <c r="AB47" s="8">
        <f>'Business_172 PH Rd Budget'!$C$25</f>
        <v>2155.2899999999995</v>
      </c>
      <c r="AC47" s="8" t="e">
        <f t="shared" si="14"/>
        <v>#REF!</v>
      </c>
      <c r="AD47" s="8">
        <v>350000</v>
      </c>
      <c r="AE47" s="76" t="e">
        <f t="shared" si="1"/>
        <v>#REF!</v>
      </c>
      <c r="AF47" s="8" t="e">
        <f t="shared" si="2"/>
        <v>#REF!</v>
      </c>
      <c r="AH47" s="7" t="e">
        <f t="shared" si="9"/>
        <v>#REF!</v>
      </c>
      <c r="AI47" s="79" t="e">
        <f t="shared" si="15"/>
        <v>#REF!</v>
      </c>
      <c r="AJ47" s="79" t="e">
        <f t="shared" si="18"/>
        <v>#REF!</v>
      </c>
      <c r="AK47" s="75" t="e">
        <f>PMT(#REF!,#REF!,-#REF!,0,0)</f>
        <v>#REF!</v>
      </c>
      <c r="AL47" s="75"/>
      <c r="AM47" s="7" t="e">
        <f>AJ47*(#REF!/12)</f>
        <v>#REF!</v>
      </c>
      <c r="AN47" s="7" t="e">
        <f t="shared" si="16"/>
        <v>#REF!</v>
      </c>
      <c r="AO47" s="75" t="e">
        <f t="shared" si="3"/>
        <v>#REF!</v>
      </c>
      <c r="AP47" s="75" t="e">
        <f t="shared" si="17"/>
        <v>#REF!</v>
      </c>
      <c r="AQ47" s="7" t="e">
        <f t="shared" si="10"/>
        <v>#REF!</v>
      </c>
      <c r="AR47" s="41"/>
    </row>
    <row r="48" spans="10:44" x14ac:dyDescent="0.25">
      <c r="J48" s="5">
        <f t="shared" si="4"/>
        <v>31</v>
      </c>
      <c r="K48" s="5">
        <f t="shared" si="26"/>
        <v>2029</v>
      </c>
      <c r="L48" s="34" t="s">
        <v>51</v>
      </c>
      <c r="M48" s="70">
        <f t="shared" si="11"/>
        <v>405.16875000000005</v>
      </c>
      <c r="N48" s="70">
        <f t="shared" si="0"/>
        <v>405.16875000000005</v>
      </c>
      <c r="O48" s="71"/>
      <c r="P48" s="86">
        <v>4</v>
      </c>
      <c r="Q48" s="44">
        <v>4</v>
      </c>
      <c r="R48" s="88">
        <f t="shared" si="12"/>
        <v>1</v>
      </c>
      <c r="S48" s="6">
        <v>0</v>
      </c>
      <c r="T48" s="8">
        <f t="shared" si="6"/>
        <v>1620.6750000000002</v>
      </c>
      <c r="U48" s="8" t="e">
        <f>#REF!</f>
        <v>#REF!</v>
      </c>
      <c r="V48" s="8"/>
      <c r="W48" s="8" t="e">
        <f t="shared" si="7"/>
        <v>#REF!</v>
      </c>
      <c r="X48" s="27"/>
      <c r="Y48" s="26" t="e">
        <f t="shared" si="13"/>
        <v>#REF!</v>
      </c>
      <c r="Z48" s="95"/>
      <c r="AA48" s="95"/>
      <c r="AB48" s="8">
        <f>'Business_172 PH Rd Budget'!$C$25</f>
        <v>2155.2899999999995</v>
      </c>
      <c r="AC48" s="8" t="e">
        <f t="shared" si="14"/>
        <v>#REF!</v>
      </c>
      <c r="AD48" s="8">
        <v>350000</v>
      </c>
      <c r="AE48" s="76" t="e">
        <f t="shared" si="1"/>
        <v>#REF!</v>
      </c>
      <c r="AF48" s="8" t="e">
        <f t="shared" si="2"/>
        <v>#REF!</v>
      </c>
      <c r="AH48" s="7" t="e">
        <f t="shared" si="9"/>
        <v>#REF!</v>
      </c>
      <c r="AI48" s="79" t="e">
        <f t="shared" si="15"/>
        <v>#REF!</v>
      </c>
      <c r="AJ48" s="79" t="e">
        <f t="shared" si="18"/>
        <v>#REF!</v>
      </c>
      <c r="AK48" s="75" t="e">
        <f>PMT(#REF!,#REF!,-#REF!,0,0)</f>
        <v>#REF!</v>
      </c>
      <c r="AL48" s="75"/>
      <c r="AM48" s="7" t="e">
        <f>AJ48*(#REF!/12)</f>
        <v>#REF!</v>
      </c>
      <c r="AN48" s="7" t="e">
        <f t="shared" si="16"/>
        <v>#REF!</v>
      </c>
      <c r="AO48" s="75" t="e">
        <f t="shared" si="3"/>
        <v>#REF!</v>
      </c>
      <c r="AP48" s="75" t="e">
        <f t="shared" si="17"/>
        <v>#REF!</v>
      </c>
      <c r="AQ48" s="7" t="e">
        <f t="shared" si="10"/>
        <v>#REF!</v>
      </c>
      <c r="AR48" s="41"/>
    </row>
    <row r="49" spans="10:44" x14ac:dyDescent="0.25">
      <c r="J49" s="5">
        <f t="shared" si="4"/>
        <v>31</v>
      </c>
      <c r="K49" s="5">
        <f t="shared" si="26"/>
        <v>2029</v>
      </c>
      <c r="L49" s="34" t="s">
        <v>53</v>
      </c>
      <c r="M49" s="70">
        <f t="shared" si="11"/>
        <v>405.16875000000005</v>
      </c>
      <c r="N49" s="70">
        <f t="shared" si="0"/>
        <v>364.65187500000008</v>
      </c>
      <c r="O49" s="71"/>
      <c r="P49" s="86"/>
      <c r="Q49" s="51">
        <v>0</v>
      </c>
      <c r="R49" s="88" t="str">
        <f t="shared" si="12"/>
        <v/>
      </c>
      <c r="S49" s="6">
        <v>0.1</v>
      </c>
      <c r="T49" s="8">
        <f t="shared" si="6"/>
        <v>0</v>
      </c>
      <c r="U49" s="8" t="e">
        <f>#REF!</f>
        <v>#REF!</v>
      </c>
      <c r="V49" s="8"/>
      <c r="W49" s="8" t="e">
        <f t="shared" si="7"/>
        <v>#REF!</v>
      </c>
      <c r="X49" s="27"/>
      <c r="Y49" s="26" t="e">
        <f t="shared" si="13"/>
        <v>#REF!</v>
      </c>
      <c r="Z49" s="95"/>
      <c r="AA49" s="95"/>
      <c r="AB49" s="8">
        <f>'Business_172 PH Rd Budget'!$C$25</f>
        <v>2155.2899999999995</v>
      </c>
      <c r="AC49" s="8" t="e">
        <f t="shared" si="14"/>
        <v>#REF!</v>
      </c>
      <c r="AD49" s="8">
        <v>350000</v>
      </c>
      <c r="AE49" s="76" t="e">
        <f t="shared" si="1"/>
        <v>#REF!</v>
      </c>
      <c r="AF49" s="8" t="e">
        <f t="shared" si="2"/>
        <v>#REF!</v>
      </c>
      <c r="AH49" s="7" t="e">
        <f t="shared" si="9"/>
        <v>#REF!</v>
      </c>
      <c r="AI49" s="79" t="e">
        <f t="shared" si="15"/>
        <v>#REF!</v>
      </c>
      <c r="AJ49" s="79" t="e">
        <f t="shared" si="18"/>
        <v>#REF!</v>
      </c>
      <c r="AK49" s="75" t="e">
        <f>PMT(#REF!,#REF!,-#REF!,0,0)</f>
        <v>#REF!</v>
      </c>
      <c r="AL49" s="75"/>
      <c r="AM49" s="7" t="e">
        <f>AJ49*(#REF!/12)</f>
        <v>#REF!</v>
      </c>
      <c r="AN49" s="7" t="e">
        <f t="shared" si="16"/>
        <v>#REF!</v>
      </c>
      <c r="AO49" s="75" t="e">
        <f t="shared" si="3"/>
        <v>#REF!</v>
      </c>
      <c r="AP49" s="75" t="e">
        <f t="shared" si="17"/>
        <v>#REF!</v>
      </c>
      <c r="AQ49" s="7" t="e">
        <f t="shared" si="10"/>
        <v>#REF!</v>
      </c>
      <c r="AR49" s="41"/>
    </row>
    <row r="50" spans="10:44" x14ac:dyDescent="0.25">
      <c r="J50" s="5">
        <f t="shared" si="4"/>
        <v>31</v>
      </c>
      <c r="K50" s="5">
        <f t="shared" si="26"/>
        <v>2029</v>
      </c>
      <c r="L50" s="34" t="s">
        <v>55</v>
      </c>
      <c r="M50" s="70">
        <f t="shared" si="11"/>
        <v>405.16875000000005</v>
      </c>
      <c r="N50" s="70">
        <f t="shared" si="0"/>
        <v>324.13500000000005</v>
      </c>
      <c r="O50" s="71"/>
      <c r="P50" s="86"/>
      <c r="Q50" s="51">
        <v>0</v>
      </c>
      <c r="R50" s="88" t="str">
        <f t="shared" si="12"/>
        <v/>
      </c>
      <c r="S50" s="6">
        <v>0.2</v>
      </c>
      <c r="T50" s="8">
        <f t="shared" si="6"/>
        <v>0</v>
      </c>
      <c r="U50" s="8" t="e">
        <f>#REF!</f>
        <v>#REF!</v>
      </c>
      <c r="V50" s="8"/>
      <c r="W50" s="8" t="e">
        <f t="shared" si="7"/>
        <v>#REF!</v>
      </c>
      <c r="X50" s="27"/>
      <c r="Y50" s="26" t="e">
        <f t="shared" si="13"/>
        <v>#REF!</v>
      </c>
      <c r="Z50" s="95"/>
      <c r="AA50" s="95"/>
      <c r="AB50" s="8">
        <f>'Business_172 PH Rd Budget'!$C$25</f>
        <v>2155.2899999999995</v>
      </c>
      <c r="AC50" s="8" t="e">
        <f t="shared" si="14"/>
        <v>#REF!</v>
      </c>
      <c r="AD50" s="8">
        <v>350000</v>
      </c>
      <c r="AE50" s="76" t="e">
        <f t="shared" si="1"/>
        <v>#REF!</v>
      </c>
      <c r="AF50" s="8" t="e">
        <f t="shared" si="2"/>
        <v>#REF!</v>
      </c>
      <c r="AH50" s="7" t="e">
        <f t="shared" si="9"/>
        <v>#REF!</v>
      </c>
      <c r="AI50" s="79" t="e">
        <f t="shared" si="15"/>
        <v>#REF!</v>
      </c>
      <c r="AJ50" s="79" t="e">
        <f t="shared" si="18"/>
        <v>#REF!</v>
      </c>
      <c r="AK50" s="75" t="e">
        <f>PMT(#REF!,#REF!,-#REF!,0,0)</f>
        <v>#REF!</v>
      </c>
      <c r="AL50" s="75"/>
      <c r="AM50" s="7" t="e">
        <f>AJ50*(#REF!/12)</f>
        <v>#REF!</v>
      </c>
      <c r="AN50" s="7" t="e">
        <f t="shared" si="16"/>
        <v>#REF!</v>
      </c>
      <c r="AO50" s="75" t="e">
        <f t="shared" si="3"/>
        <v>#REF!</v>
      </c>
      <c r="AP50" s="75" t="e">
        <f t="shared" si="17"/>
        <v>#REF!</v>
      </c>
      <c r="AQ50" s="7" t="e">
        <f t="shared" si="10"/>
        <v>#REF!</v>
      </c>
      <c r="AR50" s="41"/>
    </row>
    <row r="51" spans="10:44" x14ac:dyDescent="0.25">
      <c r="J51" s="5">
        <f t="shared" si="4"/>
        <v>32</v>
      </c>
      <c r="K51" s="5">
        <f t="shared" si="26"/>
        <v>2030</v>
      </c>
      <c r="L51" s="34" t="s">
        <v>31</v>
      </c>
      <c r="M51" s="70">
        <f t="shared" si="11"/>
        <v>425.42718750000006</v>
      </c>
      <c r="N51" s="70">
        <f t="shared" si="0"/>
        <v>319.07039062500007</v>
      </c>
      <c r="O51" s="71">
        <v>0.05</v>
      </c>
      <c r="P51" s="86"/>
      <c r="Q51" s="51">
        <v>0</v>
      </c>
      <c r="R51" s="88" t="str">
        <f t="shared" si="12"/>
        <v/>
      </c>
      <c r="S51" s="6">
        <v>0.25</v>
      </c>
      <c r="T51" s="8">
        <f t="shared" si="6"/>
        <v>0</v>
      </c>
      <c r="U51" s="8" t="e">
        <f>#REF!</f>
        <v>#REF!</v>
      </c>
      <c r="V51" s="8"/>
      <c r="W51" s="8" t="e">
        <f t="shared" si="7"/>
        <v>#REF!</v>
      </c>
      <c r="X51" s="27"/>
      <c r="Y51" s="26" t="e">
        <f t="shared" si="13"/>
        <v>#REF!</v>
      </c>
      <c r="Z51" s="95"/>
      <c r="AA51" s="95"/>
      <c r="AB51" s="8">
        <f>'Business_172 PH Rd Budget'!$C$25</f>
        <v>2155.2899999999995</v>
      </c>
      <c r="AC51" s="8" t="e">
        <f t="shared" si="14"/>
        <v>#REF!</v>
      </c>
      <c r="AD51" s="8">
        <v>350000</v>
      </c>
      <c r="AE51" s="76" t="e">
        <f t="shared" si="1"/>
        <v>#REF!</v>
      </c>
      <c r="AF51" s="8" t="e">
        <f t="shared" si="2"/>
        <v>#REF!</v>
      </c>
      <c r="AH51" s="7" t="e">
        <f t="shared" si="9"/>
        <v>#REF!</v>
      </c>
      <c r="AI51" s="79" t="e">
        <f t="shared" si="15"/>
        <v>#REF!</v>
      </c>
      <c r="AJ51" s="79" t="e">
        <f t="shared" si="18"/>
        <v>#REF!</v>
      </c>
      <c r="AK51" s="75" t="e">
        <f>PMT(#REF!,#REF!,-#REF!,0,0)</f>
        <v>#REF!</v>
      </c>
      <c r="AL51" s="75"/>
      <c r="AM51" s="7" t="e">
        <f>AJ51*(#REF!/12)</f>
        <v>#REF!</v>
      </c>
      <c r="AN51" s="7" t="e">
        <f t="shared" si="16"/>
        <v>#REF!</v>
      </c>
      <c r="AO51" s="75" t="e">
        <f t="shared" si="3"/>
        <v>#REF!</v>
      </c>
      <c r="AP51" s="75" t="e">
        <f t="shared" si="17"/>
        <v>#REF!</v>
      </c>
      <c r="AQ51" s="7" t="e">
        <f t="shared" si="10"/>
        <v>#REF!</v>
      </c>
      <c r="AR51" s="41"/>
    </row>
    <row r="52" spans="10:44" x14ac:dyDescent="0.25">
      <c r="J52" s="5">
        <f t="shared" si="4"/>
        <v>32</v>
      </c>
      <c r="K52" s="5">
        <f t="shared" si="26"/>
        <v>2030</v>
      </c>
      <c r="L52" s="34" t="s">
        <v>33</v>
      </c>
      <c r="M52" s="70">
        <f t="shared" si="11"/>
        <v>425.42718750000006</v>
      </c>
      <c r="N52" s="70">
        <f t="shared" si="0"/>
        <v>319.07039062500007</v>
      </c>
      <c r="O52" s="71"/>
      <c r="P52" s="86"/>
      <c r="Q52" s="51">
        <v>0</v>
      </c>
      <c r="R52" s="88" t="str">
        <f t="shared" si="12"/>
        <v/>
      </c>
      <c r="S52" s="6">
        <v>0.25</v>
      </c>
      <c r="T52" s="8">
        <f t="shared" si="6"/>
        <v>0</v>
      </c>
      <c r="U52" s="8" t="e">
        <f>#REF!</f>
        <v>#REF!</v>
      </c>
      <c r="V52" s="8"/>
      <c r="W52" s="8" t="e">
        <f t="shared" si="7"/>
        <v>#REF!</v>
      </c>
      <c r="X52" s="27"/>
      <c r="Y52" s="26" t="e">
        <f t="shared" si="13"/>
        <v>#REF!</v>
      </c>
      <c r="Z52" s="95"/>
      <c r="AA52" s="95"/>
      <c r="AB52" s="8">
        <f>'Business_172 PH Rd Budget'!$C$25</f>
        <v>2155.2899999999995</v>
      </c>
      <c r="AC52" s="8" t="e">
        <f t="shared" si="14"/>
        <v>#REF!</v>
      </c>
      <c r="AD52" s="8">
        <v>350000</v>
      </c>
      <c r="AE52" s="76" t="e">
        <f t="shared" si="1"/>
        <v>#REF!</v>
      </c>
      <c r="AF52" s="8" t="e">
        <f t="shared" si="2"/>
        <v>#REF!</v>
      </c>
      <c r="AH52" s="7" t="e">
        <f t="shared" si="9"/>
        <v>#REF!</v>
      </c>
      <c r="AI52" s="79" t="e">
        <f t="shared" si="15"/>
        <v>#REF!</v>
      </c>
      <c r="AJ52" s="79" t="e">
        <f t="shared" si="18"/>
        <v>#REF!</v>
      </c>
      <c r="AK52" s="75" t="e">
        <f>PMT(#REF!,#REF!,-#REF!,0,0)</f>
        <v>#REF!</v>
      </c>
      <c r="AL52" s="75"/>
      <c r="AM52" s="7" t="e">
        <f>AJ52*(#REF!/12)</f>
        <v>#REF!</v>
      </c>
      <c r="AN52" s="7" t="e">
        <f t="shared" si="16"/>
        <v>#REF!</v>
      </c>
      <c r="AO52" s="75" t="e">
        <f t="shared" si="3"/>
        <v>#REF!</v>
      </c>
      <c r="AP52" s="75" t="e">
        <f t="shared" si="17"/>
        <v>#REF!</v>
      </c>
      <c r="AQ52" s="7" t="e">
        <f t="shared" si="10"/>
        <v>#REF!</v>
      </c>
      <c r="AR52" s="41"/>
    </row>
    <row r="53" spans="10:44" x14ac:dyDescent="0.25">
      <c r="J53" s="5">
        <f t="shared" si="4"/>
        <v>32</v>
      </c>
      <c r="K53" s="5">
        <f t="shared" si="26"/>
        <v>2030</v>
      </c>
      <c r="L53" s="34" t="s">
        <v>36</v>
      </c>
      <c r="M53" s="70">
        <f t="shared" si="11"/>
        <v>425.42718750000006</v>
      </c>
      <c r="N53" s="70">
        <f t="shared" si="0"/>
        <v>340.34175000000005</v>
      </c>
      <c r="O53" s="71"/>
      <c r="P53" s="86"/>
      <c r="Q53" s="51">
        <v>0</v>
      </c>
      <c r="R53" s="88" t="str">
        <f t="shared" si="12"/>
        <v/>
      </c>
      <c r="S53" s="6">
        <v>0.2</v>
      </c>
      <c r="T53" s="8">
        <f t="shared" si="6"/>
        <v>0</v>
      </c>
      <c r="U53" s="8" t="e">
        <f>#REF!</f>
        <v>#REF!</v>
      </c>
      <c r="V53" s="8"/>
      <c r="W53" s="8" t="e">
        <f t="shared" si="7"/>
        <v>#REF!</v>
      </c>
      <c r="X53" s="27"/>
      <c r="Y53" s="26" t="e">
        <f t="shared" si="13"/>
        <v>#REF!</v>
      </c>
      <c r="Z53" s="95"/>
      <c r="AA53" s="95"/>
      <c r="AB53" s="8">
        <f>'Business_172 PH Rd Budget'!$C$25</f>
        <v>2155.2899999999995</v>
      </c>
      <c r="AC53" s="8" t="e">
        <f t="shared" si="14"/>
        <v>#REF!</v>
      </c>
      <c r="AD53" s="8">
        <v>350000</v>
      </c>
      <c r="AE53" s="76" t="e">
        <f t="shared" si="1"/>
        <v>#REF!</v>
      </c>
      <c r="AF53" s="8" t="e">
        <f t="shared" si="2"/>
        <v>#REF!</v>
      </c>
      <c r="AH53" s="7" t="e">
        <f t="shared" si="9"/>
        <v>#REF!</v>
      </c>
      <c r="AI53" s="79" t="e">
        <f t="shared" si="15"/>
        <v>#REF!</v>
      </c>
      <c r="AJ53" s="79" t="e">
        <f t="shared" si="18"/>
        <v>#REF!</v>
      </c>
      <c r="AK53" s="75" t="e">
        <f>PMT(#REF!,#REF!,-#REF!,0,0)</f>
        <v>#REF!</v>
      </c>
      <c r="AL53" s="75"/>
      <c r="AM53" s="7" t="e">
        <f>AJ53*(#REF!/12)</f>
        <v>#REF!</v>
      </c>
      <c r="AN53" s="7" t="e">
        <f t="shared" si="16"/>
        <v>#REF!</v>
      </c>
      <c r="AO53" s="75" t="e">
        <f t="shared" si="3"/>
        <v>#REF!</v>
      </c>
      <c r="AP53" s="75" t="e">
        <f t="shared" si="17"/>
        <v>#REF!</v>
      </c>
      <c r="AQ53" s="7" t="e">
        <f t="shared" si="10"/>
        <v>#REF!</v>
      </c>
      <c r="AR53" s="41"/>
    </row>
    <row r="54" spans="10:44" x14ac:dyDescent="0.25">
      <c r="J54" s="5">
        <f t="shared" si="4"/>
        <v>32</v>
      </c>
      <c r="K54" s="5">
        <f t="shared" si="26"/>
        <v>2030</v>
      </c>
      <c r="L54" s="34" t="s">
        <v>38</v>
      </c>
      <c r="M54" s="70">
        <f t="shared" si="11"/>
        <v>425.42718750000006</v>
      </c>
      <c r="N54" s="70">
        <f t="shared" si="0"/>
        <v>382.88446875000005</v>
      </c>
      <c r="O54" s="71"/>
      <c r="P54" s="86"/>
      <c r="Q54" s="51">
        <v>0</v>
      </c>
      <c r="R54" s="88" t="str">
        <f t="shared" si="12"/>
        <v/>
      </c>
      <c r="S54" s="6">
        <v>0.1</v>
      </c>
      <c r="T54" s="8">
        <f t="shared" si="6"/>
        <v>0</v>
      </c>
      <c r="U54" s="8" t="e">
        <f>#REF!</f>
        <v>#REF!</v>
      </c>
      <c r="V54" s="8"/>
      <c r="W54" s="8" t="e">
        <f t="shared" si="7"/>
        <v>#REF!</v>
      </c>
      <c r="X54" s="27"/>
      <c r="Y54" s="26" t="e">
        <f t="shared" si="13"/>
        <v>#REF!</v>
      </c>
      <c r="Z54" s="95"/>
      <c r="AA54" s="95"/>
      <c r="AB54" s="8">
        <f>'Business_172 PH Rd Budget'!$C$25</f>
        <v>2155.2899999999995</v>
      </c>
      <c r="AC54" s="8" t="e">
        <f t="shared" si="14"/>
        <v>#REF!</v>
      </c>
      <c r="AD54" s="8">
        <v>350000</v>
      </c>
      <c r="AE54" s="76" t="e">
        <f t="shared" si="1"/>
        <v>#REF!</v>
      </c>
      <c r="AF54" s="8" t="e">
        <f t="shared" si="2"/>
        <v>#REF!</v>
      </c>
      <c r="AH54" s="7" t="e">
        <f t="shared" si="9"/>
        <v>#REF!</v>
      </c>
      <c r="AI54" s="79" t="e">
        <f t="shared" si="15"/>
        <v>#REF!</v>
      </c>
      <c r="AJ54" s="79" t="e">
        <f t="shared" si="18"/>
        <v>#REF!</v>
      </c>
      <c r="AK54" s="75" t="e">
        <f>PMT(#REF!,#REF!,-#REF!,0,0)</f>
        <v>#REF!</v>
      </c>
      <c r="AL54" s="75"/>
      <c r="AM54" s="7" t="e">
        <f>AJ54*(#REF!/12)</f>
        <v>#REF!</v>
      </c>
      <c r="AN54" s="7" t="e">
        <f t="shared" si="16"/>
        <v>#REF!</v>
      </c>
      <c r="AO54" s="75" t="e">
        <f t="shared" si="3"/>
        <v>#REF!</v>
      </c>
      <c r="AP54" s="75" t="e">
        <f t="shared" si="17"/>
        <v>#REF!</v>
      </c>
      <c r="AQ54" s="7" t="e">
        <f t="shared" si="10"/>
        <v>#REF!</v>
      </c>
      <c r="AR54" s="41"/>
    </row>
    <row r="55" spans="10:44" x14ac:dyDescent="0.25">
      <c r="J55" s="5">
        <f t="shared" si="4"/>
        <v>32</v>
      </c>
      <c r="K55" s="5">
        <f t="shared" si="26"/>
        <v>2030</v>
      </c>
      <c r="L55" s="34" t="s">
        <v>40</v>
      </c>
      <c r="M55" s="70">
        <f t="shared" si="11"/>
        <v>425.42718750000006</v>
      </c>
      <c r="N55" s="70">
        <f t="shared" si="0"/>
        <v>425.42718750000006</v>
      </c>
      <c r="O55" s="71"/>
      <c r="P55" s="86">
        <v>4</v>
      </c>
      <c r="Q55" s="51">
        <v>2</v>
      </c>
      <c r="R55" s="88">
        <f t="shared" si="12"/>
        <v>0.5</v>
      </c>
      <c r="S55" s="6">
        <v>0</v>
      </c>
      <c r="T55" s="8">
        <f t="shared" si="6"/>
        <v>850.85437500000012</v>
      </c>
      <c r="U55" s="8" t="e">
        <f>#REF!</f>
        <v>#REF!</v>
      </c>
      <c r="V55" s="8"/>
      <c r="W55" s="8" t="e">
        <f t="shared" si="7"/>
        <v>#REF!</v>
      </c>
      <c r="X55" s="27"/>
      <c r="Y55" s="26" t="e">
        <f t="shared" si="13"/>
        <v>#REF!</v>
      </c>
      <c r="Z55" s="95"/>
      <c r="AA55" s="95"/>
      <c r="AB55" s="8">
        <f>'Business_172 PH Rd Budget'!$C$25</f>
        <v>2155.2899999999995</v>
      </c>
      <c r="AC55" s="8" t="e">
        <f t="shared" si="14"/>
        <v>#REF!</v>
      </c>
      <c r="AD55" s="8">
        <v>350000</v>
      </c>
      <c r="AE55" s="76" t="e">
        <f t="shared" si="1"/>
        <v>#REF!</v>
      </c>
      <c r="AF55" s="8" t="e">
        <f t="shared" si="2"/>
        <v>#REF!</v>
      </c>
      <c r="AH55" s="7" t="e">
        <f t="shared" si="9"/>
        <v>#REF!</v>
      </c>
      <c r="AI55" s="79" t="e">
        <f t="shared" si="15"/>
        <v>#REF!</v>
      </c>
      <c r="AJ55" s="79" t="e">
        <f t="shared" si="18"/>
        <v>#REF!</v>
      </c>
      <c r="AK55" s="75" t="e">
        <f>PMT(#REF!,#REF!,-#REF!,0,0)</f>
        <v>#REF!</v>
      </c>
      <c r="AL55" s="75"/>
      <c r="AM55" s="7" t="e">
        <f>AJ55*(#REF!/12)</f>
        <v>#REF!</v>
      </c>
      <c r="AN55" s="7" t="e">
        <f t="shared" si="16"/>
        <v>#REF!</v>
      </c>
      <c r="AO55" s="75" t="e">
        <f t="shared" si="3"/>
        <v>#REF!</v>
      </c>
      <c r="AP55" s="75" t="e">
        <f t="shared" si="17"/>
        <v>#REF!</v>
      </c>
      <c r="AQ55" s="7" t="e">
        <f t="shared" si="10"/>
        <v>#REF!</v>
      </c>
      <c r="AR55" s="41"/>
    </row>
    <row r="56" spans="10:44" x14ac:dyDescent="0.25">
      <c r="J56" s="5">
        <f t="shared" si="4"/>
        <v>32</v>
      </c>
      <c r="K56" s="5">
        <f t="shared" si="26"/>
        <v>2030</v>
      </c>
      <c r="L56" s="34" t="s">
        <v>42</v>
      </c>
      <c r="M56" s="70">
        <f t="shared" si="11"/>
        <v>425.42718750000006</v>
      </c>
      <c r="N56" s="70">
        <f t="shared" si="0"/>
        <v>425.42718750000006</v>
      </c>
      <c r="O56" s="71"/>
      <c r="P56" s="86">
        <v>5</v>
      </c>
      <c r="Q56" s="51">
        <v>4</v>
      </c>
      <c r="R56" s="88">
        <f t="shared" si="12"/>
        <v>0.8</v>
      </c>
      <c r="S56" s="6">
        <v>0</v>
      </c>
      <c r="T56" s="8">
        <f t="shared" si="6"/>
        <v>1701.7087500000002</v>
      </c>
      <c r="U56" s="8" t="e">
        <f>#REF!</f>
        <v>#REF!</v>
      </c>
      <c r="V56" s="8"/>
      <c r="W56" s="8" t="e">
        <f t="shared" si="7"/>
        <v>#REF!</v>
      </c>
      <c r="X56" s="27"/>
      <c r="Y56" s="26" t="e">
        <f t="shared" si="13"/>
        <v>#REF!</v>
      </c>
      <c r="Z56" s="95"/>
      <c r="AA56" s="95"/>
      <c r="AB56" s="8">
        <f>'Business_172 PH Rd Budget'!$C$25</f>
        <v>2155.2899999999995</v>
      </c>
      <c r="AC56" s="8" t="e">
        <f t="shared" si="14"/>
        <v>#REF!</v>
      </c>
      <c r="AD56" s="8">
        <v>350000</v>
      </c>
      <c r="AE56" s="76" t="e">
        <f t="shared" si="1"/>
        <v>#REF!</v>
      </c>
      <c r="AF56" s="8" t="e">
        <f t="shared" si="2"/>
        <v>#REF!</v>
      </c>
      <c r="AH56" s="7" t="e">
        <f t="shared" si="9"/>
        <v>#REF!</v>
      </c>
      <c r="AI56" s="79" t="e">
        <f t="shared" si="15"/>
        <v>#REF!</v>
      </c>
      <c r="AJ56" s="79" t="e">
        <f t="shared" si="18"/>
        <v>#REF!</v>
      </c>
      <c r="AK56" s="75" t="e">
        <f>PMT(#REF!,#REF!,-#REF!,0,0)</f>
        <v>#REF!</v>
      </c>
      <c r="AL56" s="75"/>
      <c r="AM56" s="7" t="e">
        <f>AJ56*(#REF!/12)</f>
        <v>#REF!</v>
      </c>
      <c r="AN56" s="7" t="e">
        <f t="shared" si="16"/>
        <v>#REF!</v>
      </c>
      <c r="AO56" s="75" t="e">
        <f t="shared" si="3"/>
        <v>#REF!</v>
      </c>
      <c r="AP56" s="75" t="e">
        <f t="shared" si="17"/>
        <v>#REF!</v>
      </c>
      <c r="AQ56" s="7" t="e">
        <f t="shared" si="10"/>
        <v>#REF!</v>
      </c>
      <c r="AR56" s="41"/>
    </row>
    <row r="57" spans="10:44" x14ac:dyDescent="0.25">
      <c r="J57" s="5">
        <f t="shared" si="4"/>
        <v>32</v>
      </c>
      <c r="K57" s="5">
        <f t="shared" si="26"/>
        <v>2030</v>
      </c>
      <c r="L57" s="34" t="s">
        <v>44</v>
      </c>
      <c r="M57" s="70">
        <f t="shared" si="11"/>
        <v>425.42718750000006</v>
      </c>
      <c r="N57" s="70">
        <f t="shared" si="0"/>
        <v>425.42718750000006</v>
      </c>
      <c r="O57" s="71"/>
      <c r="P57" s="86">
        <v>4</v>
      </c>
      <c r="Q57" s="51">
        <v>4</v>
      </c>
      <c r="R57" s="88">
        <f t="shared" si="12"/>
        <v>1</v>
      </c>
      <c r="S57" s="6">
        <v>0</v>
      </c>
      <c r="T57" s="8">
        <f t="shared" si="6"/>
        <v>1701.7087500000002</v>
      </c>
      <c r="U57" s="8" t="e">
        <f>#REF!</f>
        <v>#REF!</v>
      </c>
      <c r="V57" s="8"/>
      <c r="W57" s="8" t="e">
        <f t="shared" si="7"/>
        <v>#REF!</v>
      </c>
      <c r="X57" s="27"/>
      <c r="Y57" s="26" t="e">
        <f t="shared" si="13"/>
        <v>#REF!</v>
      </c>
      <c r="Z57" s="95"/>
      <c r="AA57" s="95"/>
      <c r="AB57" s="8">
        <f>'Business_172 PH Rd Budget'!$C$25</f>
        <v>2155.2899999999995</v>
      </c>
      <c r="AC57" s="8" t="e">
        <f t="shared" si="14"/>
        <v>#REF!</v>
      </c>
      <c r="AD57" s="8">
        <v>350000</v>
      </c>
      <c r="AE57" s="76" t="e">
        <f t="shared" si="1"/>
        <v>#REF!</v>
      </c>
      <c r="AF57" s="8" t="e">
        <f t="shared" si="2"/>
        <v>#REF!</v>
      </c>
      <c r="AH57" s="7" t="e">
        <f t="shared" si="9"/>
        <v>#REF!</v>
      </c>
      <c r="AI57" s="79" t="e">
        <f t="shared" si="15"/>
        <v>#REF!</v>
      </c>
      <c r="AJ57" s="79" t="e">
        <f t="shared" si="18"/>
        <v>#REF!</v>
      </c>
      <c r="AK57" s="75" t="e">
        <f>PMT(#REF!,#REF!,-#REF!,0,0)</f>
        <v>#REF!</v>
      </c>
      <c r="AL57" s="75"/>
      <c r="AM57" s="7" t="e">
        <f>AJ57*(#REF!/12)</f>
        <v>#REF!</v>
      </c>
      <c r="AN57" s="7" t="e">
        <f t="shared" si="16"/>
        <v>#REF!</v>
      </c>
      <c r="AO57" s="75" t="e">
        <f t="shared" si="3"/>
        <v>#REF!</v>
      </c>
      <c r="AP57" s="75" t="e">
        <f t="shared" si="17"/>
        <v>#REF!</v>
      </c>
      <c r="AQ57" s="7" t="e">
        <f t="shared" si="10"/>
        <v>#REF!</v>
      </c>
      <c r="AR57" s="41"/>
    </row>
    <row r="58" spans="10:44" x14ac:dyDescent="0.25">
      <c r="J58" s="5">
        <f t="shared" si="4"/>
        <v>32</v>
      </c>
      <c r="K58" s="5">
        <f t="shared" si="26"/>
        <v>2030</v>
      </c>
      <c r="L58" s="34" t="s">
        <v>47</v>
      </c>
      <c r="M58" s="70">
        <f t="shared" si="11"/>
        <v>425.42718750000006</v>
      </c>
      <c r="N58" s="70">
        <f t="shared" si="0"/>
        <v>425.42718750000006</v>
      </c>
      <c r="O58" s="71"/>
      <c r="P58" s="86">
        <v>5</v>
      </c>
      <c r="Q58" s="51">
        <v>4</v>
      </c>
      <c r="R58" s="88">
        <f t="shared" si="12"/>
        <v>0.8</v>
      </c>
      <c r="S58" s="6">
        <v>0</v>
      </c>
      <c r="T58" s="8">
        <f t="shared" si="6"/>
        <v>1701.7087500000002</v>
      </c>
      <c r="U58" s="8" t="e">
        <f>#REF!</f>
        <v>#REF!</v>
      </c>
      <c r="V58" s="8"/>
      <c r="W58" s="8" t="e">
        <f t="shared" si="7"/>
        <v>#REF!</v>
      </c>
      <c r="X58" s="27"/>
      <c r="Y58" s="26" t="e">
        <f t="shared" si="13"/>
        <v>#REF!</v>
      </c>
      <c r="Z58" s="95"/>
      <c r="AA58" s="95"/>
      <c r="AB58" s="8">
        <f>'Business_172 PH Rd Budget'!$C$25</f>
        <v>2155.2899999999995</v>
      </c>
      <c r="AC58" s="8" t="e">
        <f t="shared" si="14"/>
        <v>#REF!</v>
      </c>
      <c r="AD58" s="8">
        <v>350000</v>
      </c>
      <c r="AE58" s="76" t="e">
        <f t="shared" si="1"/>
        <v>#REF!</v>
      </c>
      <c r="AF58" s="8" t="e">
        <f t="shared" si="2"/>
        <v>#REF!</v>
      </c>
      <c r="AH58" s="7" t="e">
        <f t="shared" si="9"/>
        <v>#REF!</v>
      </c>
      <c r="AI58" s="79" t="e">
        <f t="shared" si="15"/>
        <v>#REF!</v>
      </c>
      <c r="AJ58" s="79" t="e">
        <f t="shared" si="18"/>
        <v>#REF!</v>
      </c>
      <c r="AK58" s="75" t="e">
        <f>PMT(#REF!,#REF!,-#REF!,0,0)</f>
        <v>#REF!</v>
      </c>
      <c r="AL58" s="75"/>
      <c r="AM58" s="7" t="e">
        <f>AJ58*(#REF!/12)</f>
        <v>#REF!</v>
      </c>
      <c r="AN58" s="7" t="e">
        <f t="shared" si="16"/>
        <v>#REF!</v>
      </c>
      <c r="AO58" s="75" t="e">
        <f t="shared" si="3"/>
        <v>#REF!</v>
      </c>
      <c r="AP58" s="75" t="e">
        <f t="shared" si="17"/>
        <v>#REF!</v>
      </c>
      <c r="AQ58" s="7" t="e">
        <f t="shared" si="10"/>
        <v>#REF!</v>
      </c>
      <c r="AR58" s="41"/>
    </row>
    <row r="59" spans="10:44" x14ac:dyDescent="0.25">
      <c r="J59" s="5">
        <f t="shared" si="4"/>
        <v>32</v>
      </c>
      <c r="K59" s="5">
        <f t="shared" si="26"/>
        <v>2030</v>
      </c>
      <c r="L59" s="34" t="s">
        <v>49</v>
      </c>
      <c r="M59" s="70">
        <f t="shared" si="11"/>
        <v>425.42718750000006</v>
      </c>
      <c r="N59" s="70">
        <f t="shared" si="0"/>
        <v>425.42718750000006</v>
      </c>
      <c r="O59" s="71"/>
      <c r="P59" s="86">
        <v>4</v>
      </c>
      <c r="Q59" s="44">
        <v>4</v>
      </c>
      <c r="R59" s="88">
        <f t="shared" si="12"/>
        <v>1</v>
      </c>
      <c r="S59" s="6">
        <v>0</v>
      </c>
      <c r="T59" s="8">
        <f t="shared" si="6"/>
        <v>1701.7087500000002</v>
      </c>
      <c r="U59" s="8" t="e">
        <f>#REF!</f>
        <v>#REF!</v>
      </c>
      <c r="V59" s="8"/>
      <c r="W59" s="8" t="e">
        <f t="shared" si="7"/>
        <v>#REF!</v>
      </c>
      <c r="X59" s="27"/>
      <c r="Y59" s="26" t="e">
        <f t="shared" si="13"/>
        <v>#REF!</v>
      </c>
      <c r="Z59" s="95"/>
      <c r="AA59" s="95"/>
      <c r="AB59" s="8">
        <f>'Business_172 PH Rd Budget'!$C$25</f>
        <v>2155.2899999999995</v>
      </c>
      <c r="AC59" s="8" t="e">
        <f t="shared" si="14"/>
        <v>#REF!</v>
      </c>
      <c r="AD59" s="8">
        <v>350000</v>
      </c>
      <c r="AE59" s="76" t="e">
        <f t="shared" si="1"/>
        <v>#REF!</v>
      </c>
      <c r="AF59" s="8" t="e">
        <f t="shared" si="2"/>
        <v>#REF!</v>
      </c>
      <c r="AH59" s="7" t="e">
        <f t="shared" si="9"/>
        <v>#REF!</v>
      </c>
      <c r="AI59" s="79" t="e">
        <f t="shared" si="15"/>
        <v>#REF!</v>
      </c>
      <c r="AJ59" s="79" t="e">
        <f t="shared" si="18"/>
        <v>#REF!</v>
      </c>
      <c r="AK59" s="75" t="e">
        <f>PMT(#REF!,#REF!,-#REF!,0,0)</f>
        <v>#REF!</v>
      </c>
      <c r="AL59" s="75"/>
      <c r="AM59" s="7" t="e">
        <f>AJ59*(#REF!/12)</f>
        <v>#REF!</v>
      </c>
      <c r="AN59" s="7" t="e">
        <f t="shared" si="16"/>
        <v>#REF!</v>
      </c>
      <c r="AO59" s="75" t="e">
        <f t="shared" si="3"/>
        <v>#REF!</v>
      </c>
      <c r="AP59" s="75" t="e">
        <f t="shared" si="17"/>
        <v>#REF!</v>
      </c>
      <c r="AQ59" s="7" t="e">
        <f t="shared" si="10"/>
        <v>#REF!</v>
      </c>
      <c r="AR59" s="41"/>
    </row>
    <row r="60" spans="10:44" x14ac:dyDescent="0.25">
      <c r="J60" s="5">
        <f t="shared" si="4"/>
        <v>32</v>
      </c>
      <c r="K60" s="5">
        <f t="shared" si="26"/>
        <v>2030</v>
      </c>
      <c r="L60" s="34" t="s">
        <v>51</v>
      </c>
      <c r="M60" s="70">
        <f t="shared" si="11"/>
        <v>425.42718750000006</v>
      </c>
      <c r="N60" s="70">
        <f t="shared" si="0"/>
        <v>425.42718750000006</v>
      </c>
      <c r="O60" s="71"/>
      <c r="P60" s="86">
        <v>4</v>
      </c>
      <c r="Q60" s="44">
        <v>4</v>
      </c>
      <c r="R60" s="88">
        <f t="shared" si="12"/>
        <v>1</v>
      </c>
      <c r="S60" s="6">
        <v>0</v>
      </c>
      <c r="T60" s="8">
        <f t="shared" si="6"/>
        <v>1701.7087500000002</v>
      </c>
      <c r="U60" s="8" t="e">
        <f>#REF!</f>
        <v>#REF!</v>
      </c>
      <c r="V60" s="8"/>
      <c r="W60" s="8" t="e">
        <f t="shared" si="7"/>
        <v>#REF!</v>
      </c>
      <c r="X60" s="27"/>
      <c r="Y60" s="26" t="e">
        <f t="shared" si="13"/>
        <v>#REF!</v>
      </c>
      <c r="Z60" s="95"/>
      <c r="AA60" s="95"/>
      <c r="AB60" s="8">
        <f>'Business_172 PH Rd Budget'!$C$25</f>
        <v>2155.2899999999995</v>
      </c>
      <c r="AC60" s="8" t="e">
        <f t="shared" si="14"/>
        <v>#REF!</v>
      </c>
      <c r="AD60" s="8">
        <v>350000</v>
      </c>
      <c r="AE60" s="76" t="e">
        <f t="shared" si="1"/>
        <v>#REF!</v>
      </c>
      <c r="AF60" s="8" t="e">
        <f t="shared" si="2"/>
        <v>#REF!</v>
      </c>
      <c r="AH60" s="7" t="e">
        <f t="shared" si="9"/>
        <v>#REF!</v>
      </c>
      <c r="AI60" s="79" t="e">
        <f t="shared" si="15"/>
        <v>#REF!</v>
      </c>
      <c r="AJ60" s="79" t="e">
        <f t="shared" si="18"/>
        <v>#REF!</v>
      </c>
      <c r="AK60" s="75" t="e">
        <f>PMT(#REF!,#REF!,-#REF!,0,0)</f>
        <v>#REF!</v>
      </c>
      <c r="AL60" s="75"/>
      <c r="AM60" s="7" t="e">
        <f>AJ60*(#REF!/12)</f>
        <v>#REF!</v>
      </c>
      <c r="AN60" s="7" t="e">
        <f t="shared" si="16"/>
        <v>#REF!</v>
      </c>
      <c r="AO60" s="75" t="e">
        <f t="shared" si="3"/>
        <v>#REF!</v>
      </c>
      <c r="AP60" s="75" t="e">
        <f t="shared" si="17"/>
        <v>#REF!</v>
      </c>
      <c r="AQ60" s="7" t="e">
        <f t="shared" si="10"/>
        <v>#REF!</v>
      </c>
      <c r="AR60" s="41"/>
    </row>
    <row r="61" spans="10:44" x14ac:dyDescent="0.25">
      <c r="J61" s="5">
        <f t="shared" si="4"/>
        <v>32</v>
      </c>
      <c r="K61" s="5">
        <f t="shared" si="26"/>
        <v>2030</v>
      </c>
      <c r="L61" s="34" t="s">
        <v>53</v>
      </c>
      <c r="M61" s="70">
        <f t="shared" si="11"/>
        <v>425.42718750000006</v>
      </c>
      <c r="N61" s="70">
        <f t="shared" si="0"/>
        <v>382.88446875000005</v>
      </c>
      <c r="O61" s="71"/>
      <c r="P61" s="86"/>
      <c r="Q61" s="44">
        <v>0</v>
      </c>
      <c r="R61" s="88" t="str">
        <f t="shared" si="12"/>
        <v/>
      </c>
      <c r="S61" s="6">
        <v>0.1</v>
      </c>
      <c r="T61" s="8">
        <f t="shared" si="6"/>
        <v>0</v>
      </c>
      <c r="U61" s="8" t="e">
        <f>#REF!</f>
        <v>#REF!</v>
      </c>
      <c r="V61" s="8"/>
      <c r="W61" s="8" t="e">
        <f t="shared" si="7"/>
        <v>#REF!</v>
      </c>
      <c r="X61" s="27"/>
      <c r="Y61" s="26" t="e">
        <f t="shared" si="13"/>
        <v>#REF!</v>
      </c>
      <c r="Z61" s="95"/>
      <c r="AA61" s="95"/>
      <c r="AB61" s="8">
        <f>'Business_172 PH Rd Budget'!$C$25</f>
        <v>2155.2899999999995</v>
      </c>
      <c r="AC61" s="8" t="e">
        <f t="shared" si="14"/>
        <v>#REF!</v>
      </c>
      <c r="AD61" s="8">
        <v>350000</v>
      </c>
      <c r="AE61" s="76" t="e">
        <f t="shared" si="1"/>
        <v>#REF!</v>
      </c>
      <c r="AF61" s="8" t="e">
        <f t="shared" si="2"/>
        <v>#REF!</v>
      </c>
      <c r="AH61" s="7" t="e">
        <f t="shared" si="9"/>
        <v>#REF!</v>
      </c>
      <c r="AI61" s="79" t="e">
        <f t="shared" si="15"/>
        <v>#REF!</v>
      </c>
      <c r="AJ61" s="79" t="e">
        <f t="shared" si="18"/>
        <v>#REF!</v>
      </c>
      <c r="AK61" s="75" t="e">
        <f>PMT(#REF!,#REF!,-#REF!,0,0)</f>
        <v>#REF!</v>
      </c>
      <c r="AL61" s="75"/>
      <c r="AM61" s="7" t="e">
        <f>AJ61*(#REF!/12)</f>
        <v>#REF!</v>
      </c>
      <c r="AN61" s="7" t="e">
        <f t="shared" si="16"/>
        <v>#REF!</v>
      </c>
      <c r="AO61" s="75" t="e">
        <f t="shared" si="3"/>
        <v>#REF!</v>
      </c>
      <c r="AP61" s="75" t="e">
        <f t="shared" si="17"/>
        <v>#REF!</v>
      </c>
      <c r="AQ61" s="7" t="e">
        <f t="shared" si="10"/>
        <v>#REF!</v>
      </c>
      <c r="AR61" s="41"/>
    </row>
    <row r="62" spans="10:44" x14ac:dyDescent="0.25">
      <c r="J62" s="5">
        <f t="shared" si="4"/>
        <v>32</v>
      </c>
      <c r="K62" s="5">
        <f t="shared" si="26"/>
        <v>2030</v>
      </c>
      <c r="L62" s="34" t="s">
        <v>55</v>
      </c>
      <c r="M62" s="70">
        <f t="shared" si="11"/>
        <v>425.42718750000006</v>
      </c>
      <c r="N62" s="70">
        <f t="shared" si="0"/>
        <v>340.34175000000005</v>
      </c>
      <c r="O62" s="71"/>
      <c r="P62" s="86"/>
      <c r="Q62" s="51">
        <v>0</v>
      </c>
      <c r="R62" s="88" t="str">
        <f t="shared" si="12"/>
        <v/>
      </c>
      <c r="S62" s="6">
        <v>0.2</v>
      </c>
      <c r="T62" s="8">
        <f t="shared" si="6"/>
        <v>0</v>
      </c>
      <c r="U62" s="8" t="e">
        <f>#REF!</f>
        <v>#REF!</v>
      </c>
      <c r="V62" s="8"/>
      <c r="W62" s="8" t="e">
        <f t="shared" si="7"/>
        <v>#REF!</v>
      </c>
      <c r="X62" s="27"/>
      <c r="Y62" s="26" t="e">
        <f t="shared" si="13"/>
        <v>#REF!</v>
      </c>
      <c r="Z62" s="95"/>
      <c r="AA62" s="95"/>
      <c r="AB62" s="8">
        <f>'Business_172 PH Rd Budget'!$C$25</f>
        <v>2155.2899999999995</v>
      </c>
      <c r="AC62" s="8" t="e">
        <f t="shared" si="14"/>
        <v>#REF!</v>
      </c>
      <c r="AD62" s="8">
        <v>350000</v>
      </c>
      <c r="AE62" s="76" t="e">
        <f t="shared" si="1"/>
        <v>#REF!</v>
      </c>
      <c r="AF62" s="8" t="e">
        <f t="shared" si="2"/>
        <v>#REF!</v>
      </c>
      <c r="AH62" s="7" t="e">
        <f t="shared" si="9"/>
        <v>#REF!</v>
      </c>
      <c r="AI62" s="79" t="e">
        <f t="shared" si="15"/>
        <v>#REF!</v>
      </c>
      <c r="AJ62" s="79" t="e">
        <f t="shared" si="18"/>
        <v>#REF!</v>
      </c>
      <c r="AK62" s="75" t="e">
        <f>PMT(#REF!,#REF!,-#REF!,0,0)</f>
        <v>#REF!</v>
      </c>
      <c r="AL62" s="75"/>
      <c r="AM62" s="7" t="e">
        <f>AJ62*(#REF!/12)</f>
        <v>#REF!</v>
      </c>
      <c r="AN62" s="7" t="e">
        <f t="shared" si="16"/>
        <v>#REF!</v>
      </c>
      <c r="AO62" s="75" t="e">
        <f t="shared" si="3"/>
        <v>#REF!</v>
      </c>
      <c r="AP62" s="75" t="e">
        <f t="shared" si="17"/>
        <v>#REF!</v>
      </c>
      <c r="AQ62" s="7" t="e">
        <f t="shared" si="10"/>
        <v>#REF!</v>
      </c>
      <c r="AR62" s="41"/>
    </row>
    <row r="63" spans="10:44" x14ac:dyDescent="0.25">
      <c r="J63" s="5">
        <f t="shared" si="4"/>
        <v>33</v>
      </c>
      <c r="K63" s="5">
        <f t="shared" si="26"/>
        <v>2031</v>
      </c>
      <c r="L63" s="34" t="s">
        <v>31</v>
      </c>
      <c r="M63" s="70">
        <f t="shared" si="11"/>
        <v>446.69854687500009</v>
      </c>
      <c r="N63" s="70">
        <f t="shared" si="0"/>
        <v>335.02391015625005</v>
      </c>
      <c r="O63" s="71">
        <v>0.05</v>
      </c>
      <c r="P63" s="86"/>
      <c r="Q63" s="51">
        <v>0</v>
      </c>
      <c r="R63" s="88" t="str">
        <f t="shared" si="12"/>
        <v/>
      </c>
      <c r="S63" s="6">
        <v>0.25</v>
      </c>
      <c r="T63" s="8">
        <f t="shared" si="6"/>
        <v>0</v>
      </c>
      <c r="U63" s="8" t="e">
        <f>#REF!</f>
        <v>#REF!</v>
      </c>
      <c r="V63" s="8"/>
      <c r="W63" s="8" t="e">
        <f t="shared" si="7"/>
        <v>#REF!</v>
      </c>
      <c r="X63" s="27"/>
      <c r="Y63" s="26" t="e">
        <f t="shared" si="13"/>
        <v>#REF!</v>
      </c>
      <c r="Z63" s="95"/>
      <c r="AA63" s="95"/>
      <c r="AB63" s="8">
        <f>'Business_172 PH Rd Budget'!$C$25</f>
        <v>2155.2899999999995</v>
      </c>
      <c r="AC63" s="8" t="e">
        <f t="shared" si="14"/>
        <v>#REF!</v>
      </c>
      <c r="AD63" s="8">
        <v>350000</v>
      </c>
      <c r="AE63" s="76" t="e">
        <f t="shared" si="1"/>
        <v>#REF!</v>
      </c>
      <c r="AF63" s="8" t="e">
        <f t="shared" si="2"/>
        <v>#REF!</v>
      </c>
      <c r="AH63" s="7" t="e">
        <f t="shared" si="9"/>
        <v>#REF!</v>
      </c>
      <c r="AI63" s="79" t="e">
        <f t="shared" si="15"/>
        <v>#REF!</v>
      </c>
      <c r="AJ63" s="79" t="e">
        <f t="shared" si="18"/>
        <v>#REF!</v>
      </c>
      <c r="AK63" s="75" t="e">
        <f>PMT(#REF!,#REF!,-#REF!,0,0)</f>
        <v>#REF!</v>
      </c>
      <c r="AL63" s="75"/>
      <c r="AM63" s="7" t="e">
        <f>AJ63*(#REF!/12)</f>
        <v>#REF!</v>
      </c>
      <c r="AN63" s="7" t="e">
        <f t="shared" si="16"/>
        <v>#REF!</v>
      </c>
      <c r="AO63" s="75" t="e">
        <f t="shared" si="3"/>
        <v>#REF!</v>
      </c>
      <c r="AP63" s="75" t="e">
        <f t="shared" si="17"/>
        <v>#REF!</v>
      </c>
      <c r="AQ63" s="7" t="e">
        <f t="shared" si="10"/>
        <v>#REF!</v>
      </c>
      <c r="AR63" s="41"/>
    </row>
    <row r="64" spans="10:44" x14ac:dyDescent="0.25">
      <c r="J64" s="5">
        <f t="shared" si="4"/>
        <v>33</v>
      </c>
      <c r="K64" s="5">
        <f t="shared" si="26"/>
        <v>2031</v>
      </c>
      <c r="L64" s="34" t="s">
        <v>33</v>
      </c>
      <c r="M64" s="70">
        <f t="shared" si="11"/>
        <v>446.69854687500009</v>
      </c>
      <c r="N64" s="70">
        <f t="shared" si="0"/>
        <v>335.02391015625005</v>
      </c>
      <c r="O64" s="71"/>
      <c r="P64" s="86"/>
      <c r="Q64" s="51">
        <v>0</v>
      </c>
      <c r="R64" s="88" t="str">
        <f t="shared" si="12"/>
        <v/>
      </c>
      <c r="S64" s="6">
        <v>0.25</v>
      </c>
      <c r="T64" s="8">
        <f t="shared" si="6"/>
        <v>0</v>
      </c>
      <c r="U64" s="8" t="e">
        <f>#REF!</f>
        <v>#REF!</v>
      </c>
      <c r="V64" s="8"/>
      <c r="W64" s="8" t="e">
        <f t="shared" si="7"/>
        <v>#REF!</v>
      </c>
      <c r="X64" s="27"/>
      <c r="Y64" s="26" t="e">
        <f t="shared" si="13"/>
        <v>#REF!</v>
      </c>
      <c r="Z64" s="95"/>
      <c r="AA64" s="95"/>
      <c r="AB64" s="8">
        <f>'Business_172 PH Rd Budget'!$C$25</f>
        <v>2155.2899999999995</v>
      </c>
      <c r="AC64" s="8" t="e">
        <f t="shared" si="14"/>
        <v>#REF!</v>
      </c>
      <c r="AD64" s="8">
        <v>350000</v>
      </c>
      <c r="AE64" s="76" t="e">
        <f t="shared" si="1"/>
        <v>#REF!</v>
      </c>
      <c r="AF64" s="8" t="e">
        <f t="shared" si="2"/>
        <v>#REF!</v>
      </c>
      <c r="AH64" s="7" t="e">
        <f t="shared" si="9"/>
        <v>#REF!</v>
      </c>
      <c r="AI64" s="79" t="e">
        <f t="shared" si="15"/>
        <v>#REF!</v>
      </c>
      <c r="AJ64" s="79" t="e">
        <f t="shared" si="18"/>
        <v>#REF!</v>
      </c>
      <c r="AK64" s="75" t="e">
        <f>PMT(#REF!,#REF!,-#REF!,0,0)</f>
        <v>#REF!</v>
      </c>
      <c r="AL64" s="75"/>
      <c r="AM64" s="7" t="e">
        <f>AJ64*(#REF!/12)</f>
        <v>#REF!</v>
      </c>
      <c r="AN64" s="7" t="e">
        <f t="shared" si="16"/>
        <v>#REF!</v>
      </c>
      <c r="AO64" s="75" t="e">
        <f t="shared" si="3"/>
        <v>#REF!</v>
      </c>
      <c r="AP64" s="75" t="e">
        <f t="shared" si="17"/>
        <v>#REF!</v>
      </c>
      <c r="AQ64" s="7" t="e">
        <f t="shared" si="10"/>
        <v>#REF!</v>
      </c>
      <c r="AR64" s="41"/>
    </row>
    <row r="65" spans="10:44" x14ac:dyDescent="0.25">
      <c r="J65" s="5">
        <f t="shared" si="4"/>
        <v>33</v>
      </c>
      <c r="K65" s="5">
        <f t="shared" si="26"/>
        <v>2031</v>
      </c>
      <c r="L65" s="34" t="s">
        <v>36</v>
      </c>
      <c r="M65" s="70">
        <f t="shared" si="11"/>
        <v>446.69854687500009</v>
      </c>
      <c r="N65" s="70">
        <f t="shared" si="0"/>
        <v>357.35883750000011</v>
      </c>
      <c r="O65" s="71"/>
      <c r="P65" s="86"/>
      <c r="Q65" s="51">
        <v>0</v>
      </c>
      <c r="R65" s="88" t="str">
        <f t="shared" si="12"/>
        <v/>
      </c>
      <c r="S65" s="6">
        <v>0.2</v>
      </c>
      <c r="T65" s="8">
        <f t="shared" si="6"/>
        <v>0</v>
      </c>
      <c r="U65" s="8" t="e">
        <f>#REF!</f>
        <v>#REF!</v>
      </c>
      <c r="V65" s="8"/>
      <c r="W65" s="8" t="e">
        <f t="shared" si="7"/>
        <v>#REF!</v>
      </c>
      <c r="X65" s="27"/>
      <c r="Y65" s="26" t="e">
        <f t="shared" si="13"/>
        <v>#REF!</v>
      </c>
      <c r="Z65" s="95"/>
      <c r="AA65" s="95"/>
      <c r="AB65" s="8">
        <f>'Business_172 PH Rd Budget'!$C$25</f>
        <v>2155.2899999999995</v>
      </c>
      <c r="AC65" s="8" t="e">
        <f t="shared" si="14"/>
        <v>#REF!</v>
      </c>
      <c r="AD65" s="8">
        <v>350000</v>
      </c>
      <c r="AE65" s="76" t="e">
        <f t="shared" si="1"/>
        <v>#REF!</v>
      </c>
      <c r="AF65" s="8" t="e">
        <f t="shared" si="2"/>
        <v>#REF!</v>
      </c>
      <c r="AH65" s="7" t="e">
        <f t="shared" si="9"/>
        <v>#REF!</v>
      </c>
      <c r="AI65" s="79" t="e">
        <f t="shared" si="15"/>
        <v>#REF!</v>
      </c>
      <c r="AJ65" s="79" t="e">
        <f t="shared" si="18"/>
        <v>#REF!</v>
      </c>
      <c r="AK65" s="75" t="e">
        <f>PMT(#REF!,#REF!,-#REF!,0,0)</f>
        <v>#REF!</v>
      </c>
      <c r="AL65" s="75"/>
      <c r="AM65" s="7" t="e">
        <f>AJ65*(#REF!/12)</f>
        <v>#REF!</v>
      </c>
      <c r="AN65" s="7" t="e">
        <f t="shared" si="16"/>
        <v>#REF!</v>
      </c>
      <c r="AO65" s="75" t="e">
        <f t="shared" si="3"/>
        <v>#REF!</v>
      </c>
      <c r="AP65" s="75" t="e">
        <f t="shared" si="17"/>
        <v>#REF!</v>
      </c>
      <c r="AQ65" s="7" t="e">
        <f t="shared" si="10"/>
        <v>#REF!</v>
      </c>
      <c r="AR65" s="41"/>
    </row>
    <row r="66" spans="10:44" x14ac:dyDescent="0.25">
      <c r="J66" s="5">
        <f t="shared" si="4"/>
        <v>33</v>
      </c>
      <c r="K66" s="5">
        <f t="shared" si="26"/>
        <v>2031</v>
      </c>
      <c r="L66" s="34" t="s">
        <v>38</v>
      </c>
      <c r="M66" s="70">
        <f t="shared" si="11"/>
        <v>446.69854687500009</v>
      </c>
      <c r="N66" s="70">
        <f t="shared" si="0"/>
        <v>402.0286921875001</v>
      </c>
      <c r="O66" s="71"/>
      <c r="P66" s="86"/>
      <c r="Q66" s="51">
        <v>0</v>
      </c>
      <c r="R66" s="88" t="str">
        <f t="shared" si="12"/>
        <v/>
      </c>
      <c r="S66" s="6">
        <v>0.1</v>
      </c>
      <c r="T66" s="8">
        <f t="shared" si="6"/>
        <v>0</v>
      </c>
      <c r="U66" s="8" t="e">
        <f>#REF!</f>
        <v>#REF!</v>
      </c>
      <c r="V66" s="8"/>
      <c r="W66" s="8" t="e">
        <f t="shared" si="7"/>
        <v>#REF!</v>
      </c>
      <c r="X66" s="27"/>
      <c r="Y66" s="26" t="e">
        <f t="shared" si="13"/>
        <v>#REF!</v>
      </c>
      <c r="Z66" s="95"/>
      <c r="AA66" s="95"/>
      <c r="AB66" s="8">
        <f>'Business_172 PH Rd Budget'!$C$25</f>
        <v>2155.2899999999995</v>
      </c>
      <c r="AC66" s="8" t="e">
        <f t="shared" si="14"/>
        <v>#REF!</v>
      </c>
      <c r="AD66" s="8">
        <v>350000</v>
      </c>
      <c r="AE66" s="76" t="e">
        <f t="shared" si="1"/>
        <v>#REF!</v>
      </c>
      <c r="AF66" s="8" t="e">
        <f t="shared" si="2"/>
        <v>#REF!</v>
      </c>
      <c r="AH66" s="7" t="e">
        <f t="shared" si="9"/>
        <v>#REF!</v>
      </c>
      <c r="AI66" s="79" t="e">
        <f t="shared" si="15"/>
        <v>#REF!</v>
      </c>
      <c r="AJ66" s="79" t="e">
        <f t="shared" si="18"/>
        <v>#REF!</v>
      </c>
      <c r="AK66" s="75" t="e">
        <f>PMT(#REF!,#REF!,-#REF!,0,0)</f>
        <v>#REF!</v>
      </c>
      <c r="AL66" s="75"/>
      <c r="AM66" s="7" t="e">
        <f>AJ66*(#REF!/12)</f>
        <v>#REF!</v>
      </c>
      <c r="AN66" s="7" t="e">
        <f t="shared" si="16"/>
        <v>#REF!</v>
      </c>
      <c r="AO66" s="75" t="e">
        <f t="shared" si="3"/>
        <v>#REF!</v>
      </c>
      <c r="AP66" s="75" t="e">
        <f t="shared" si="17"/>
        <v>#REF!</v>
      </c>
      <c r="AQ66" s="7" t="e">
        <f t="shared" si="10"/>
        <v>#REF!</v>
      </c>
      <c r="AR66" s="41"/>
    </row>
    <row r="67" spans="10:44" x14ac:dyDescent="0.25">
      <c r="J67" s="5">
        <f t="shared" si="4"/>
        <v>33</v>
      </c>
      <c r="K67" s="5">
        <f t="shared" si="26"/>
        <v>2031</v>
      </c>
      <c r="L67" s="34" t="s">
        <v>40</v>
      </c>
      <c r="M67" s="70">
        <f t="shared" si="11"/>
        <v>446.69854687500009</v>
      </c>
      <c r="N67" s="70">
        <f t="shared" ref="N67:N130" si="27">M67*(1-S67)</f>
        <v>446.69854687500009</v>
      </c>
      <c r="O67" s="71"/>
      <c r="P67" s="86">
        <v>5</v>
      </c>
      <c r="Q67" s="51">
        <v>2</v>
      </c>
      <c r="R67" s="88">
        <f t="shared" si="12"/>
        <v>0.4</v>
      </c>
      <c r="S67" s="6">
        <v>0</v>
      </c>
      <c r="T67" s="8">
        <f t="shared" si="6"/>
        <v>893.39709375000018</v>
      </c>
      <c r="U67" s="8" t="e">
        <f>#REF!</f>
        <v>#REF!</v>
      </c>
      <c r="V67" s="8"/>
      <c r="W67" s="8" t="e">
        <f t="shared" si="7"/>
        <v>#REF!</v>
      </c>
      <c r="X67" s="27"/>
      <c r="Y67" s="26" t="e">
        <f t="shared" si="13"/>
        <v>#REF!</v>
      </c>
      <c r="Z67" s="95"/>
      <c r="AA67" s="95"/>
      <c r="AB67" s="8">
        <f>'Business_172 PH Rd Budget'!$C$25</f>
        <v>2155.2899999999995</v>
      </c>
      <c r="AC67" s="8" t="e">
        <f t="shared" si="14"/>
        <v>#REF!</v>
      </c>
      <c r="AD67" s="8">
        <v>350000</v>
      </c>
      <c r="AE67" s="76" t="e">
        <f t="shared" ref="AE67:AE130" si="28">IF(AC67&lt;$C$8,0,AC67-AD67)</f>
        <v>#REF!</v>
      </c>
      <c r="AF67" s="8" t="e">
        <f t="shared" ref="AF67:AF130" si="29">AE67*(1+$C$7)-AE67</f>
        <v>#REF!</v>
      </c>
      <c r="AH67" s="7" t="e">
        <f t="shared" si="9"/>
        <v>#REF!</v>
      </c>
      <c r="AI67" s="79" t="e">
        <f t="shared" si="15"/>
        <v>#REF!</v>
      </c>
      <c r="AJ67" s="79" t="e">
        <f t="shared" si="18"/>
        <v>#REF!</v>
      </c>
      <c r="AK67" s="75" t="e">
        <f>PMT(#REF!,#REF!,-#REF!,0,0)</f>
        <v>#REF!</v>
      </c>
      <c r="AL67" s="75"/>
      <c r="AM67" s="7" t="e">
        <f>AJ67*(#REF!/12)</f>
        <v>#REF!</v>
      </c>
      <c r="AN67" s="7" t="e">
        <f t="shared" si="16"/>
        <v>#REF!</v>
      </c>
      <c r="AO67" s="75" t="e">
        <f t="shared" ref="AO67:AO130" si="30">AK67-AM67</f>
        <v>#REF!</v>
      </c>
      <c r="AP67" s="75" t="e">
        <f t="shared" si="17"/>
        <v>#REF!</v>
      </c>
      <c r="AQ67" s="7" t="e">
        <f t="shared" si="10"/>
        <v>#REF!</v>
      </c>
      <c r="AR67" s="41"/>
    </row>
    <row r="68" spans="10:44" x14ac:dyDescent="0.25">
      <c r="J68" s="5">
        <f t="shared" ref="J68:J131" si="31">K68-1998</f>
        <v>33</v>
      </c>
      <c r="K68" s="5">
        <f t="shared" si="26"/>
        <v>2031</v>
      </c>
      <c r="L68" s="34" t="s">
        <v>42</v>
      </c>
      <c r="M68" s="70">
        <f t="shared" si="11"/>
        <v>446.69854687500009</v>
      </c>
      <c r="N68" s="70">
        <f t="shared" si="27"/>
        <v>446.69854687500009</v>
      </c>
      <c r="O68" s="71"/>
      <c r="P68" s="86">
        <v>4</v>
      </c>
      <c r="Q68" s="51">
        <v>4</v>
      </c>
      <c r="R68" s="88">
        <f t="shared" si="12"/>
        <v>1</v>
      </c>
      <c r="S68" s="6">
        <v>0</v>
      </c>
      <c r="T68" s="8">
        <f t="shared" ref="T68:T131" si="32">Q68*N68</f>
        <v>1786.7941875000004</v>
      </c>
      <c r="U68" s="8" t="e">
        <f>#REF!</f>
        <v>#REF!</v>
      </c>
      <c r="V68" s="8"/>
      <c r="W68" s="8" t="e">
        <f t="shared" ref="W68:W131" si="33">T68-U68</f>
        <v>#REF!</v>
      </c>
      <c r="X68" s="27"/>
      <c r="Y68" s="26" t="e">
        <f t="shared" si="13"/>
        <v>#REF!</v>
      </c>
      <c r="Z68" s="95"/>
      <c r="AA68" s="95"/>
      <c r="AB68" s="8">
        <f>'Business_172 PH Rd Budget'!$C$25</f>
        <v>2155.2899999999995</v>
      </c>
      <c r="AC68" s="8" t="e">
        <f t="shared" si="14"/>
        <v>#REF!</v>
      </c>
      <c r="AD68" s="8">
        <v>350000</v>
      </c>
      <c r="AE68" s="76" t="e">
        <f t="shared" si="28"/>
        <v>#REF!</v>
      </c>
      <c r="AF68" s="8" t="e">
        <f t="shared" si="29"/>
        <v>#REF!</v>
      </c>
      <c r="AH68" s="7" t="e">
        <f t="shared" ref="AH68:AH131" si="34">AH67*(1+$C$5)</f>
        <v>#REF!</v>
      </c>
      <c r="AI68" s="79" t="e">
        <f t="shared" si="15"/>
        <v>#REF!</v>
      </c>
      <c r="AJ68" s="79" t="e">
        <f t="shared" si="18"/>
        <v>#REF!</v>
      </c>
      <c r="AK68" s="75" t="e">
        <f>PMT(#REF!,#REF!,-#REF!,0,0)</f>
        <v>#REF!</v>
      </c>
      <c r="AL68" s="75"/>
      <c r="AM68" s="7" t="e">
        <f>AJ68*(#REF!/12)</f>
        <v>#REF!</v>
      </c>
      <c r="AN68" s="7" t="e">
        <f t="shared" si="16"/>
        <v>#REF!</v>
      </c>
      <c r="AO68" s="75" t="e">
        <f t="shared" si="30"/>
        <v>#REF!</v>
      </c>
      <c r="AP68" s="75" t="e">
        <f t="shared" si="17"/>
        <v>#REF!</v>
      </c>
      <c r="AQ68" s="7" t="e">
        <f t="shared" ref="AQ68:AQ131" si="35">AJ68-(AO68+AL68)</f>
        <v>#REF!</v>
      </c>
      <c r="AR68" s="41"/>
    </row>
    <row r="69" spans="10:44" x14ac:dyDescent="0.25">
      <c r="J69" s="5">
        <f t="shared" si="31"/>
        <v>33</v>
      </c>
      <c r="K69" s="5">
        <f t="shared" si="26"/>
        <v>2031</v>
      </c>
      <c r="L69" s="34" t="s">
        <v>44</v>
      </c>
      <c r="M69" s="70">
        <f t="shared" ref="M69:M132" si="36">M68*(1+O69)</f>
        <v>446.69854687500009</v>
      </c>
      <c r="N69" s="70">
        <f t="shared" si="27"/>
        <v>446.69854687500009</v>
      </c>
      <c r="O69" s="71"/>
      <c r="P69" s="86">
        <v>4</v>
      </c>
      <c r="Q69" s="51">
        <v>4</v>
      </c>
      <c r="R69" s="88">
        <f t="shared" ref="R69:R132" si="37">IFERROR(Q69/P69,"")</f>
        <v>1</v>
      </c>
      <c r="S69" s="6">
        <v>0</v>
      </c>
      <c r="T69" s="8">
        <f t="shared" si="32"/>
        <v>1786.7941875000004</v>
      </c>
      <c r="U69" s="8" t="e">
        <f>#REF!</f>
        <v>#REF!</v>
      </c>
      <c r="V69" s="8"/>
      <c r="W69" s="8" t="e">
        <f t="shared" si="33"/>
        <v>#REF!</v>
      </c>
      <c r="X69" s="27"/>
      <c r="Y69" s="26" t="e">
        <f t="shared" ref="Y69:Y132" si="38">(AC68+T69)-U69</f>
        <v>#REF!</v>
      </c>
      <c r="Z69" s="95"/>
      <c r="AA69" s="95"/>
      <c r="AB69" s="8">
        <f>'Business_172 PH Rd Budget'!$C$25</f>
        <v>2155.2899999999995</v>
      </c>
      <c r="AC69" s="8" t="e">
        <f t="shared" ref="AC69:AC132" si="39">(Y69+Z69+AA69)-AB69</f>
        <v>#REF!</v>
      </c>
      <c r="AD69" s="8">
        <v>350000</v>
      </c>
      <c r="AE69" s="76" t="e">
        <f t="shared" si="28"/>
        <v>#REF!</v>
      </c>
      <c r="AF69" s="8" t="e">
        <f t="shared" si="29"/>
        <v>#REF!</v>
      </c>
      <c r="AH69" s="7" t="e">
        <f t="shared" si="34"/>
        <v>#REF!</v>
      </c>
      <c r="AI69" s="79" t="e">
        <f t="shared" ref="AI69:AI132" si="40">AI68+AH70-AH69</f>
        <v>#REF!</v>
      </c>
      <c r="AJ69" s="79" t="e">
        <f t="shared" si="18"/>
        <v>#REF!</v>
      </c>
      <c r="AK69" s="75" t="e">
        <f>PMT(#REF!,#REF!,-#REF!,0,0)</f>
        <v>#REF!</v>
      </c>
      <c r="AL69" s="75"/>
      <c r="AM69" s="7" t="e">
        <f>AJ69*(#REF!/12)</f>
        <v>#REF!</v>
      </c>
      <c r="AN69" s="7" t="e">
        <f t="shared" ref="AN69:AN132" si="41">AN68+AM69</f>
        <v>#REF!</v>
      </c>
      <c r="AO69" s="75" t="e">
        <f t="shared" si="30"/>
        <v>#REF!</v>
      </c>
      <c r="AP69" s="75" t="e">
        <f t="shared" ref="AP69:AP132" si="42">AP68+AO69</f>
        <v>#REF!</v>
      </c>
      <c r="AQ69" s="7" t="e">
        <f t="shared" si="35"/>
        <v>#REF!</v>
      </c>
      <c r="AR69" s="41"/>
    </row>
    <row r="70" spans="10:44" x14ac:dyDescent="0.25">
      <c r="J70" s="5">
        <f t="shared" si="31"/>
        <v>33</v>
      </c>
      <c r="K70" s="5">
        <f t="shared" si="26"/>
        <v>2031</v>
      </c>
      <c r="L70" s="34" t="s">
        <v>47</v>
      </c>
      <c r="M70" s="70">
        <f t="shared" si="36"/>
        <v>446.69854687500009</v>
      </c>
      <c r="N70" s="70">
        <f t="shared" si="27"/>
        <v>446.69854687500009</v>
      </c>
      <c r="O70" s="71"/>
      <c r="P70" s="86">
        <v>5</v>
      </c>
      <c r="Q70" s="51">
        <v>4</v>
      </c>
      <c r="R70" s="88">
        <f t="shared" si="37"/>
        <v>0.8</v>
      </c>
      <c r="S70" s="6">
        <v>0</v>
      </c>
      <c r="T70" s="8">
        <f t="shared" si="32"/>
        <v>1786.7941875000004</v>
      </c>
      <c r="U70" s="8" t="e">
        <f>#REF!</f>
        <v>#REF!</v>
      </c>
      <c r="V70" s="8"/>
      <c r="W70" s="8" t="e">
        <f t="shared" si="33"/>
        <v>#REF!</v>
      </c>
      <c r="X70" s="27"/>
      <c r="Y70" s="26" t="e">
        <f t="shared" si="38"/>
        <v>#REF!</v>
      </c>
      <c r="Z70" s="95"/>
      <c r="AA70" s="95"/>
      <c r="AB70" s="8">
        <f>'Business_172 PH Rd Budget'!$C$25</f>
        <v>2155.2899999999995</v>
      </c>
      <c r="AC70" s="8" t="e">
        <f t="shared" si="39"/>
        <v>#REF!</v>
      </c>
      <c r="AD70" s="8">
        <v>350000</v>
      </c>
      <c r="AE70" s="76" t="e">
        <f t="shared" si="28"/>
        <v>#REF!</v>
      </c>
      <c r="AF70" s="8" t="e">
        <f t="shared" si="29"/>
        <v>#REF!</v>
      </c>
      <c r="AH70" s="7" t="e">
        <f t="shared" si="34"/>
        <v>#REF!</v>
      </c>
      <c r="AI70" s="79" t="e">
        <f t="shared" si="40"/>
        <v>#REF!</v>
      </c>
      <c r="AJ70" s="79" t="e">
        <f t="shared" ref="AJ70:AJ133" si="43">AQ69</f>
        <v>#REF!</v>
      </c>
      <c r="AK70" s="75" t="e">
        <f>PMT(#REF!,#REF!,-#REF!,0,0)</f>
        <v>#REF!</v>
      </c>
      <c r="AL70" s="75"/>
      <c r="AM70" s="7" t="e">
        <f>AJ70*(#REF!/12)</f>
        <v>#REF!</v>
      </c>
      <c r="AN70" s="7" t="e">
        <f t="shared" si="41"/>
        <v>#REF!</v>
      </c>
      <c r="AO70" s="75" t="e">
        <f t="shared" si="30"/>
        <v>#REF!</v>
      </c>
      <c r="AP70" s="75" t="e">
        <f t="shared" si="42"/>
        <v>#REF!</v>
      </c>
      <c r="AQ70" s="7" t="e">
        <f t="shared" si="35"/>
        <v>#REF!</v>
      </c>
      <c r="AR70" s="41"/>
    </row>
    <row r="71" spans="10:44" x14ac:dyDescent="0.25">
      <c r="J71" s="5">
        <f t="shared" si="31"/>
        <v>33</v>
      </c>
      <c r="K71" s="5">
        <f t="shared" si="26"/>
        <v>2031</v>
      </c>
      <c r="L71" s="34" t="s">
        <v>49</v>
      </c>
      <c r="M71" s="70">
        <f t="shared" si="36"/>
        <v>446.69854687500009</v>
      </c>
      <c r="N71" s="70">
        <f t="shared" si="27"/>
        <v>446.69854687500009</v>
      </c>
      <c r="O71" s="71"/>
      <c r="P71" s="86">
        <v>4</v>
      </c>
      <c r="Q71" s="44">
        <v>4</v>
      </c>
      <c r="R71" s="88">
        <f t="shared" si="37"/>
        <v>1</v>
      </c>
      <c r="S71" s="6">
        <v>0</v>
      </c>
      <c r="T71" s="8">
        <f t="shared" si="32"/>
        <v>1786.7941875000004</v>
      </c>
      <c r="U71" s="8" t="e">
        <f>#REF!</f>
        <v>#REF!</v>
      </c>
      <c r="V71" s="8"/>
      <c r="W71" s="8" t="e">
        <f t="shared" si="33"/>
        <v>#REF!</v>
      </c>
      <c r="X71" s="27"/>
      <c r="Y71" s="26" t="e">
        <f t="shared" si="38"/>
        <v>#REF!</v>
      </c>
      <c r="Z71" s="95"/>
      <c r="AA71" s="95"/>
      <c r="AB71" s="8">
        <f>'Business_172 PH Rd Budget'!$C$25</f>
        <v>2155.2899999999995</v>
      </c>
      <c r="AC71" s="8" t="e">
        <f t="shared" si="39"/>
        <v>#REF!</v>
      </c>
      <c r="AD71" s="8">
        <v>350000</v>
      </c>
      <c r="AE71" s="76" t="e">
        <f t="shared" si="28"/>
        <v>#REF!</v>
      </c>
      <c r="AF71" s="8" t="e">
        <f t="shared" si="29"/>
        <v>#REF!</v>
      </c>
      <c r="AH71" s="7" t="e">
        <f t="shared" si="34"/>
        <v>#REF!</v>
      </c>
      <c r="AI71" s="79" t="e">
        <f t="shared" si="40"/>
        <v>#REF!</v>
      </c>
      <c r="AJ71" s="79" t="e">
        <f t="shared" si="43"/>
        <v>#REF!</v>
      </c>
      <c r="AK71" s="75" t="e">
        <f>PMT(#REF!,#REF!,-#REF!,0,0)</f>
        <v>#REF!</v>
      </c>
      <c r="AL71" s="75"/>
      <c r="AM71" s="7" t="e">
        <f>AJ71*(#REF!/12)</f>
        <v>#REF!</v>
      </c>
      <c r="AN71" s="7" t="e">
        <f t="shared" si="41"/>
        <v>#REF!</v>
      </c>
      <c r="AO71" s="75" t="e">
        <f t="shared" si="30"/>
        <v>#REF!</v>
      </c>
      <c r="AP71" s="75" t="e">
        <f t="shared" si="42"/>
        <v>#REF!</v>
      </c>
      <c r="AQ71" s="7" t="e">
        <f t="shared" si="35"/>
        <v>#REF!</v>
      </c>
      <c r="AR71" s="41"/>
    </row>
    <row r="72" spans="10:44" x14ac:dyDescent="0.25">
      <c r="J72" s="5">
        <f t="shared" si="31"/>
        <v>33</v>
      </c>
      <c r="K72" s="5">
        <f t="shared" si="26"/>
        <v>2031</v>
      </c>
      <c r="L72" s="34" t="s">
        <v>51</v>
      </c>
      <c r="M72" s="70">
        <f t="shared" si="36"/>
        <v>446.69854687500009</v>
      </c>
      <c r="N72" s="70">
        <f t="shared" si="27"/>
        <v>446.69854687500009</v>
      </c>
      <c r="O72" s="71"/>
      <c r="P72" s="86">
        <v>4</v>
      </c>
      <c r="Q72" s="44">
        <v>4</v>
      </c>
      <c r="R72" s="88">
        <f t="shared" si="37"/>
        <v>1</v>
      </c>
      <c r="S72" s="6">
        <v>0</v>
      </c>
      <c r="T72" s="8">
        <f t="shared" si="32"/>
        <v>1786.7941875000004</v>
      </c>
      <c r="U72" s="8" t="e">
        <f>#REF!</f>
        <v>#REF!</v>
      </c>
      <c r="V72" s="8"/>
      <c r="W72" s="8" t="e">
        <f t="shared" si="33"/>
        <v>#REF!</v>
      </c>
      <c r="X72" s="27"/>
      <c r="Y72" s="26" t="e">
        <f t="shared" si="38"/>
        <v>#REF!</v>
      </c>
      <c r="Z72" s="95"/>
      <c r="AA72" s="95"/>
      <c r="AB72" s="8">
        <f>'Business_172 PH Rd Budget'!$C$25</f>
        <v>2155.2899999999995</v>
      </c>
      <c r="AC72" s="8" t="e">
        <f t="shared" si="39"/>
        <v>#REF!</v>
      </c>
      <c r="AD72" s="8">
        <v>350000</v>
      </c>
      <c r="AE72" s="76" t="e">
        <f t="shared" si="28"/>
        <v>#REF!</v>
      </c>
      <c r="AF72" s="8" t="e">
        <f t="shared" si="29"/>
        <v>#REF!</v>
      </c>
      <c r="AH72" s="7" t="e">
        <f t="shared" si="34"/>
        <v>#REF!</v>
      </c>
      <c r="AI72" s="79" t="e">
        <f t="shared" si="40"/>
        <v>#REF!</v>
      </c>
      <c r="AJ72" s="79" t="e">
        <f t="shared" si="43"/>
        <v>#REF!</v>
      </c>
      <c r="AK72" s="75" t="e">
        <f>PMT(#REF!,#REF!,-#REF!,0,0)</f>
        <v>#REF!</v>
      </c>
      <c r="AL72" s="75"/>
      <c r="AM72" s="7" t="e">
        <f>AJ72*(#REF!/12)</f>
        <v>#REF!</v>
      </c>
      <c r="AN72" s="7" t="e">
        <f t="shared" si="41"/>
        <v>#REF!</v>
      </c>
      <c r="AO72" s="75" t="e">
        <f t="shared" si="30"/>
        <v>#REF!</v>
      </c>
      <c r="AP72" s="75" t="e">
        <f t="shared" si="42"/>
        <v>#REF!</v>
      </c>
      <c r="AQ72" s="7" t="e">
        <f t="shared" si="35"/>
        <v>#REF!</v>
      </c>
      <c r="AR72" s="41"/>
    </row>
    <row r="73" spans="10:44" x14ac:dyDescent="0.25">
      <c r="J73" s="5">
        <f t="shared" si="31"/>
        <v>33</v>
      </c>
      <c r="K73" s="5">
        <f t="shared" si="26"/>
        <v>2031</v>
      </c>
      <c r="L73" s="34" t="s">
        <v>53</v>
      </c>
      <c r="M73" s="70">
        <f t="shared" si="36"/>
        <v>446.69854687500009</v>
      </c>
      <c r="N73" s="70">
        <f t="shared" si="27"/>
        <v>402.0286921875001</v>
      </c>
      <c r="O73" s="71"/>
      <c r="P73" s="86"/>
      <c r="Q73" s="51">
        <v>0</v>
      </c>
      <c r="R73" s="88" t="str">
        <f t="shared" si="37"/>
        <v/>
      </c>
      <c r="S73" s="6">
        <v>0.1</v>
      </c>
      <c r="T73" s="8">
        <f t="shared" si="32"/>
        <v>0</v>
      </c>
      <c r="U73" s="8" t="e">
        <f>#REF!</f>
        <v>#REF!</v>
      </c>
      <c r="V73" s="8"/>
      <c r="W73" s="8" t="e">
        <f t="shared" si="33"/>
        <v>#REF!</v>
      </c>
      <c r="X73" s="27"/>
      <c r="Y73" s="26" t="e">
        <f t="shared" si="38"/>
        <v>#REF!</v>
      </c>
      <c r="Z73" s="95"/>
      <c r="AA73" s="95"/>
      <c r="AB73" s="8">
        <f>'Business_172 PH Rd Budget'!$C$25</f>
        <v>2155.2899999999995</v>
      </c>
      <c r="AC73" s="8" t="e">
        <f t="shared" si="39"/>
        <v>#REF!</v>
      </c>
      <c r="AD73" s="8">
        <v>350000</v>
      </c>
      <c r="AE73" s="76" t="e">
        <f t="shared" si="28"/>
        <v>#REF!</v>
      </c>
      <c r="AF73" s="8" t="e">
        <f t="shared" si="29"/>
        <v>#REF!</v>
      </c>
      <c r="AH73" s="7" t="e">
        <f t="shared" si="34"/>
        <v>#REF!</v>
      </c>
      <c r="AI73" s="79" t="e">
        <f t="shared" si="40"/>
        <v>#REF!</v>
      </c>
      <c r="AJ73" s="79" t="e">
        <f t="shared" si="43"/>
        <v>#REF!</v>
      </c>
      <c r="AK73" s="75" t="e">
        <f>PMT(#REF!,#REF!,-#REF!,0,0)</f>
        <v>#REF!</v>
      </c>
      <c r="AL73" s="75"/>
      <c r="AM73" s="7" t="e">
        <f>AJ73*(#REF!/12)</f>
        <v>#REF!</v>
      </c>
      <c r="AN73" s="7" t="e">
        <f t="shared" si="41"/>
        <v>#REF!</v>
      </c>
      <c r="AO73" s="75" t="e">
        <f t="shared" si="30"/>
        <v>#REF!</v>
      </c>
      <c r="AP73" s="75" t="e">
        <f t="shared" si="42"/>
        <v>#REF!</v>
      </c>
      <c r="AQ73" s="7" t="e">
        <f t="shared" si="35"/>
        <v>#REF!</v>
      </c>
      <c r="AR73" s="41"/>
    </row>
    <row r="74" spans="10:44" x14ac:dyDescent="0.25">
      <c r="J74" s="5">
        <f t="shared" si="31"/>
        <v>33</v>
      </c>
      <c r="K74" s="5">
        <f t="shared" si="26"/>
        <v>2031</v>
      </c>
      <c r="L74" s="34" t="s">
        <v>55</v>
      </c>
      <c r="M74" s="70">
        <f t="shared" si="36"/>
        <v>446.69854687500009</v>
      </c>
      <c r="N74" s="70">
        <f t="shared" si="27"/>
        <v>357.35883750000011</v>
      </c>
      <c r="O74" s="71"/>
      <c r="P74" s="86"/>
      <c r="Q74" s="51">
        <v>0</v>
      </c>
      <c r="R74" s="88" t="str">
        <f t="shared" si="37"/>
        <v/>
      </c>
      <c r="S74" s="6">
        <v>0.2</v>
      </c>
      <c r="T74" s="8">
        <f t="shared" si="32"/>
        <v>0</v>
      </c>
      <c r="U74" s="8" t="e">
        <f>#REF!</f>
        <v>#REF!</v>
      </c>
      <c r="V74" s="8"/>
      <c r="W74" s="8" t="e">
        <f t="shared" si="33"/>
        <v>#REF!</v>
      </c>
      <c r="X74" s="27"/>
      <c r="Y74" s="26" t="e">
        <f t="shared" si="38"/>
        <v>#REF!</v>
      </c>
      <c r="Z74" s="95"/>
      <c r="AA74" s="95"/>
      <c r="AB74" s="8">
        <f>'Business_172 PH Rd Budget'!$C$25</f>
        <v>2155.2899999999995</v>
      </c>
      <c r="AC74" s="8" t="e">
        <f t="shared" si="39"/>
        <v>#REF!</v>
      </c>
      <c r="AD74" s="8">
        <v>350000</v>
      </c>
      <c r="AE74" s="76" t="e">
        <f t="shared" si="28"/>
        <v>#REF!</v>
      </c>
      <c r="AF74" s="8" t="e">
        <f t="shared" si="29"/>
        <v>#REF!</v>
      </c>
      <c r="AH74" s="7" t="e">
        <f t="shared" si="34"/>
        <v>#REF!</v>
      </c>
      <c r="AI74" s="79" t="e">
        <f t="shared" si="40"/>
        <v>#REF!</v>
      </c>
      <c r="AJ74" s="79" t="e">
        <f t="shared" si="43"/>
        <v>#REF!</v>
      </c>
      <c r="AK74" s="75" t="e">
        <f>PMT(#REF!,#REF!,-#REF!,0,0)</f>
        <v>#REF!</v>
      </c>
      <c r="AL74" s="75"/>
      <c r="AM74" s="7" t="e">
        <f>AJ74*(#REF!/12)</f>
        <v>#REF!</v>
      </c>
      <c r="AN74" s="7" t="e">
        <f t="shared" si="41"/>
        <v>#REF!</v>
      </c>
      <c r="AO74" s="75" t="e">
        <f t="shared" si="30"/>
        <v>#REF!</v>
      </c>
      <c r="AP74" s="75" t="e">
        <f t="shared" si="42"/>
        <v>#REF!</v>
      </c>
      <c r="AQ74" s="7" t="e">
        <f t="shared" si="35"/>
        <v>#REF!</v>
      </c>
      <c r="AR74" s="41"/>
    </row>
    <row r="75" spans="10:44" x14ac:dyDescent="0.25">
      <c r="J75" s="5">
        <f t="shared" si="31"/>
        <v>34</v>
      </c>
      <c r="K75" s="5">
        <f t="shared" si="26"/>
        <v>2032</v>
      </c>
      <c r="L75" s="34" t="s">
        <v>31</v>
      </c>
      <c r="M75" s="70">
        <f t="shared" si="36"/>
        <v>469.03347421875009</v>
      </c>
      <c r="N75" s="70">
        <f t="shared" si="27"/>
        <v>351.77510566406255</v>
      </c>
      <c r="O75" s="71">
        <v>0.05</v>
      </c>
      <c r="P75" s="86"/>
      <c r="Q75" s="51">
        <v>0</v>
      </c>
      <c r="R75" s="88" t="str">
        <f t="shared" si="37"/>
        <v/>
      </c>
      <c r="S75" s="6">
        <v>0.25</v>
      </c>
      <c r="T75" s="8">
        <f t="shared" si="32"/>
        <v>0</v>
      </c>
      <c r="U75" s="8" t="e">
        <f>#REF!</f>
        <v>#REF!</v>
      </c>
      <c r="V75" s="8"/>
      <c r="W75" s="8" t="e">
        <f t="shared" si="33"/>
        <v>#REF!</v>
      </c>
      <c r="X75" s="27"/>
      <c r="Y75" s="26" t="e">
        <f t="shared" si="38"/>
        <v>#REF!</v>
      </c>
      <c r="Z75" s="95"/>
      <c r="AA75" s="95"/>
      <c r="AB75" s="8">
        <f>'Business_172 PH Rd Budget'!$C$25</f>
        <v>2155.2899999999995</v>
      </c>
      <c r="AC75" s="8" t="e">
        <f t="shared" si="39"/>
        <v>#REF!</v>
      </c>
      <c r="AD75" s="8">
        <v>350000</v>
      </c>
      <c r="AE75" s="76" t="e">
        <f t="shared" si="28"/>
        <v>#REF!</v>
      </c>
      <c r="AF75" s="8" t="e">
        <f t="shared" si="29"/>
        <v>#REF!</v>
      </c>
      <c r="AH75" s="7" t="e">
        <f t="shared" si="34"/>
        <v>#REF!</v>
      </c>
      <c r="AI75" s="79" t="e">
        <f t="shared" si="40"/>
        <v>#REF!</v>
      </c>
      <c r="AJ75" s="79" t="e">
        <f t="shared" si="43"/>
        <v>#REF!</v>
      </c>
      <c r="AK75" s="75" t="e">
        <f>PMT(#REF!,#REF!,-#REF!,0,0)</f>
        <v>#REF!</v>
      </c>
      <c r="AL75" s="75"/>
      <c r="AM75" s="7" t="e">
        <f>AJ75*(#REF!/12)</f>
        <v>#REF!</v>
      </c>
      <c r="AN75" s="7" t="e">
        <f t="shared" si="41"/>
        <v>#REF!</v>
      </c>
      <c r="AO75" s="75" t="e">
        <f t="shared" si="30"/>
        <v>#REF!</v>
      </c>
      <c r="AP75" s="75" t="e">
        <f t="shared" si="42"/>
        <v>#REF!</v>
      </c>
      <c r="AQ75" s="7" t="e">
        <f t="shared" si="35"/>
        <v>#REF!</v>
      </c>
      <c r="AR75" s="41"/>
    </row>
    <row r="76" spans="10:44" x14ac:dyDescent="0.25">
      <c r="J76" s="5">
        <f t="shared" si="31"/>
        <v>34</v>
      </c>
      <c r="K76" s="5">
        <f t="shared" si="26"/>
        <v>2032</v>
      </c>
      <c r="L76" s="34" t="s">
        <v>33</v>
      </c>
      <c r="M76" s="70">
        <f t="shared" si="36"/>
        <v>469.03347421875009</v>
      </c>
      <c r="N76" s="70">
        <f t="shared" si="27"/>
        <v>351.77510566406255</v>
      </c>
      <c r="O76" s="71"/>
      <c r="P76" s="86"/>
      <c r="Q76" s="51">
        <v>0</v>
      </c>
      <c r="R76" s="88" t="str">
        <f t="shared" si="37"/>
        <v/>
      </c>
      <c r="S76" s="6">
        <v>0.25</v>
      </c>
      <c r="T76" s="8">
        <f t="shared" si="32"/>
        <v>0</v>
      </c>
      <c r="U76" s="8" t="e">
        <f>#REF!</f>
        <v>#REF!</v>
      </c>
      <c r="V76" s="8"/>
      <c r="W76" s="8" t="e">
        <f t="shared" si="33"/>
        <v>#REF!</v>
      </c>
      <c r="X76" s="27"/>
      <c r="Y76" s="26" t="e">
        <f t="shared" si="38"/>
        <v>#REF!</v>
      </c>
      <c r="Z76" s="95"/>
      <c r="AA76" s="95"/>
      <c r="AB76" s="8">
        <f>'Business_172 PH Rd Budget'!$C$25</f>
        <v>2155.2899999999995</v>
      </c>
      <c r="AC76" s="8" t="e">
        <f t="shared" si="39"/>
        <v>#REF!</v>
      </c>
      <c r="AD76" s="8">
        <v>350000</v>
      </c>
      <c r="AE76" s="76" t="e">
        <f t="shared" si="28"/>
        <v>#REF!</v>
      </c>
      <c r="AF76" s="8" t="e">
        <f t="shared" si="29"/>
        <v>#REF!</v>
      </c>
      <c r="AH76" s="7" t="e">
        <f t="shared" si="34"/>
        <v>#REF!</v>
      </c>
      <c r="AI76" s="79" t="e">
        <f t="shared" si="40"/>
        <v>#REF!</v>
      </c>
      <c r="AJ76" s="79" t="e">
        <f t="shared" si="43"/>
        <v>#REF!</v>
      </c>
      <c r="AK76" s="75" t="e">
        <f>PMT(#REF!,#REF!,-#REF!,0,0)</f>
        <v>#REF!</v>
      </c>
      <c r="AL76" s="75"/>
      <c r="AM76" s="7" t="e">
        <f>AJ76*(#REF!/12)</f>
        <v>#REF!</v>
      </c>
      <c r="AN76" s="7" t="e">
        <f t="shared" si="41"/>
        <v>#REF!</v>
      </c>
      <c r="AO76" s="75" t="e">
        <f t="shared" si="30"/>
        <v>#REF!</v>
      </c>
      <c r="AP76" s="75" t="e">
        <f t="shared" si="42"/>
        <v>#REF!</v>
      </c>
      <c r="AQ76" s="7" t="e">
        <f t="shared" si="35"/>
        <v>#REF!</v>
      </c>
      <c r="AR76" s="41"/>
    </row>
    <row r="77" spans="10:44" x14ac:dyDescent="0.25">
      <c r="J77" s="5">
        <f t="shared" si="31"/>
        <v>34</v>
      </c>
      <c r="K77" s="5">
        <f t="shared" si="26"/>
        <v>2032</v>
      </c>
      <c r="L77" s="34" t="s">
        <v>36</v>
      </c>
      <c r="M77" s="70">
        <f t="shared" si="36"/>
        <v>469.03347421875009</v>
      </c>
      <c r="N77" s="70">
        <f t="shared" si="27"/>
        <v>375.22677937500009</v>
      </c>
      <c r="O77" s="71"/>
      <c r="P77" s="86"/>
      <c r="Q77" s="51">
        <v>0</v>
      </c>
      <c r="R77" s="88" t="str">
        <f t="shared" si="37"/>
        <v/>
      </c>
      <c r="S77" s="6">
        <v>0.2</v>
      </c>
      <c r="T77" s="8">
        <f t="shared" si="32"/>
        <v>0</v>
      </c>
      <c r="U77" s="8" t="e">
        <f>#REF!</f>
        <v>#REF!</v>
      </c>
      <c r="V77" s="8"/>
      <c r="W77" s="8" t="e">
        <f t="shared" si="33"/>
        <v>#REF!</v>
      </c>
      <c r="X77" s="27"/>
      <c r="Y77" s="26" t="e">
        <f t="shared" si="38"/>
        <v>#REF!</v>
      </c>
      <c r="Z77" s="95"/>
      <c r="AA77" s="95"/>
      <c r="AB77" s="8">
        <f>'Business_172 PH Rd Budget'!$C$25</f>
        <v>2155.2899999999995</v>
      </c>
      <c r="AC77" s="8" t="e">
        <f t="shared" si="39"/>
        <v>#REF!</v>
      </c>
      <c r="AD77" s="8">
        <v>350000</v>
      </c>
      <c r="AE77" s="76" t="e">
        <f t="shared" si="28"/>
        <v>#REF!</v>
      </c>
      <c r="AF77" s="8" t="e">
        <f t="shared" si="29"/>
        <v>#REF!</v>
      </c>
      <c r="AH77" s="7" t="e">
        <f t="shared" si="34"/>
        <v>#REF!</v>
      </c>
      <c r="AI77" s="79" t="e">
        <f t="shared" si="40"/>
        <v>#REF!</v>
      </c>
      <c r="AJ77" s="79" t="e">
        <f t="shared" si="43"/>
        <v>#REF!</v>
      </c>
      <c r="AK77" s="75" t="e">
        <f>PMT(#REF!,#REF!,-#REF!,0,0)</f>
        <v>#REF!</v>
      </c>
      <c r="AL77" s="75"/>
      <c r="AM77" s="7" t="e">
        <f>AJ77*(#REF!/12)</f>
        <v>#REF!</v>
      </c>
      <c r="AN77" s="7" t="e">
        <f t="shared" si="41"/>
        <v>#REF!</v>
      </c>
      <c r="AO77" s="75" t="e">
        <f t="shared" si="30"/>
        <v>#REF!</v>
      </c>
      <c r="AP77" s="75" t="e">
        <f t="shared" si="42"/>
        <v>#REF!</v>
      </c>
      <c r="AQ77" s="7" t="e">
        <f t="shared" si="35"/>
        <v>#REF!</v>
      </c>
      <c r="AR77" s="41"/>
    </row>
    <row r="78" spans="10:44" x14ac:dyDescent="0.25">
      <c r="J78" s="5">
        <f t="shared" si="31"/>
        <v>34</v>
      </c>
      <c r="K78" s="5">
        <f t="shared" si="26"/>
        <v>2032</v>
      </c>
      <c r="L78" s="34" t="s">
        <v>38</v>
      </c>
      <c r="M78" s="70">
        <f t="shared" si="36"/>
        <v>469.03347421875009</v>
      </c>
      <c r="N78" s="70">
        <f t="shared" si="27"/>
        <v>422.13012679687506</v>
      </c>
      <c r="O78" s="71"/>
      <c r="P78" s="86"/>
      <c r="Q78" s="51">
        <v>0</v>
      </c>
      <c r="R78" s="88" t="str">
        <f t="shared" si="37"/>
        <v/>
      </c>
      <c r="S78" s="6">
        <v>0.1</v>
      </c>
      <c r="T78" s="8">
        <f t="shared" si="32"/>
        <v>0</v>
      </c>
      <c r="U78" s="8" t="e">
        <f>#REF!</f>
        <v>#REF!</v>
      </c>
      <c r="V78" s="8"/>
      <c r="W78" s="8" t="e">
        <f t="shared" si="33"/>
        <v>#REF!</v>
      </c>
      <c r="X78" s="27"/>
      <c r="Y78" s="26" t="e">
        <f t="shared" si="38"/>
        <v>#REF!</v>
      </c>
      <c r="Z78" s="95"/>
      <c r="AA78" s="95"/>
      <c r="AB78" s="8">
        <f>'Business_172 PH Rd Budget'!$C$25</f>
        <v>2155.2899999999995</v>
      </c>
      <c r="AC78" s="8" t="e">
        <f t="shared" si="39"/>
        <v>#REF!</v>
      </c>
      <c r="AD78" s="8">
        <v>350000</v>
      </c>
      <c r="AE78" s="76" t="e">
        <f t="shared" si="28"/>
        <v>#REF!</v>
      </c>
      <c r="AF78" s="8" t="e">
        <f t="shared" si="29"/>
        <v>#REF!</v>
      </c>
      <c r="AH78" s="7" t="e">
        <f t="shared" si="34"/>
        <v>#REF!</v>
      </c>
      <c r="AI78" s="79" t="e">
        <f t="shared" si="40"/>
        <v>#REF!</v>
      </c>
      <c r="AJ78" s="79" t="e">
        <f t="shared" si="43"/>
        <v>#REF!</v>
      </c>
      <c r="AK78" s="75" t="e">
        <f>PMT(#REF!,#REF!,-#REF!,0,0)</f>
        <v>#REF!</v>
      </c>
      <c r="AL78" s="75"/>
      <c r="AM78" s="7" t="e">
        <f>AJ78*(#REF!/12)</f>
        <v>#REF!</v>
      </c>
      <c r="AN78" s="7" t="e">
        <f t="shared" si="41"/>
        <v>#REF!</v>
      </c>
      <c r="AO78" s="75" t="e">
        <f t="shared" si="30"/>
        <v>#REF!</v>
      </c>
      <c r="AP78" s="75" t="e">
        <f t="shared" si="42"/>
        <v>#REF!</v>
      </c>
      <c r="AQ78" s="7" t="e">
        <f t="shared" si="35"/>
        <v>#REF!</v>
      </c>
      <c r="AR78" s="41"/>
    </row>
    <row r="79" spans="10:44" x14ac:dyDescent="0.25">
      <c r="J79" s="5">
        <f t="shared" si="31"/>
        <v>34</v>
      </c>
      <c r="K79" s="5">
        <f t="shared" si="26"/>
        <v>2032</v>
      </c>
      <c r="L79" s="34" t="s">
        <v>40</v>
      </c>
      <c r="M79" s="70">
        <f t="shared" si="36"/>
        <v>469.03347421875009</v>
      </c>
      <c r="N79" s="70">
        <f t="shared" si="27"/>
        <v>469.03347421875009</v>
      </c>
      <c r="O79" s="71"/>
      <c r="P79" s="86">
        <v>5</v>
      </c>
      <c r="Q79" s="51">
        <v>2</v>
      </c>
      <c r="R79" s="88">
        <f t="shared" si="37"/>
        <v>0.4</v>
      </c>
      <c r="S79" s="6">
        <v>0</v>
      </c>
      <c r="T79" s="8">
        <f t="shared" si="32"/>
        <v>938.06694843750017</v>
      </c>
      <c r="U79" s="8" t="e">
        <f>#REF!</f>
        <v>#REF!</v>
      </c>
      <c r="V79" s="8"/>
      <c r="W79" s="8" t="e">
        <f t="shared" si="33"/>
        <v>#REF!</v>
      </c>
      <c r="X79" s="27"/>
      <c r="Y79" s="26" t="e">
        <f t="shared" si="38"/>
        <v>#REF!</v>
      </c>
      <c r="Z79" s="95"/>
      <c r="AA79" s="95"/>
      <c r="AB79" s="8">
        <f>'Business_172 PH Rd Budget'!$C$25</f>
        <v>2155.2899999999995</v>
      </c>
      <c r="AC79" s="8" t="e">
        <f t="shared" si="39"/>
        <v>#REF!</v>
      </c>
      <c r="AD79" s="8">
        <v>350000</v>
      </c>
      <c r="AE79" s="76" t="e">
        <f t="shared" si="28"/>
        <v>#REF!</v>
      </c>
      <c r="AF79" s="8" t="e">
        <f t="shared" si="29"/>
        <v>#REF!</v>
      </c>
      <c r="AH79" s="7" t="e">
        <f t="shared" si="34"/>
        <v>#REF!</v>
      </c>
      <c r="AI79" s="79" t="e">
        <f t="shared" si="40"/>
        <v>#REF!</v>
      </c>
      <c r="AJ79" s="79" t="e">
        <f t="shared" si="43"/>
        <v>#REF!</v>
      </c>
      <c r="AK79" s="75" t="e">
        <f>PMT(#REF!,#REF!,-#REF!,0,0)</f>
        <v>#REF!</v>
      </c>
      <c r="AL79" s="75"/>
      <c r="AM79" s="7" t="e">
        <f>AJ79*(#REF!/12)</f>
        <v>#REF!</v>
      </c>
      <c r="AN79" s="7" t="e">
        <f t="shared" si="41"/>
        <v>#REF!</v>
      </c>
      <c r="AO79" s="75" t="e">
        <f t="shared" si="30"/>
        <v>#REF!</v>
      </c>
      <c r="AP79" s="75" t="e">
        <f t="shared" si="42"/>
        <v>#REF!</v>
      </c>
      <c r="AQ79" s="7" t="e">
        <f t="shared" si="35"/>
        <v>#REF!</v>
      </c>
      <c r="AR79" s="41"/>
    </row>
    <row r="80" spans="10:44" x14ac:dyDescent="0.25">
      <c r="J80" s="5">
        <f t="shared" si="31"/>
        <v>34</v>
      </c>
      <c r="K80" s="5">
        <f t="shared" ref="K80:K143" si="44">K68+1</f>
        <v>2032</v>
      </c>
      <c r="L80" s="34" t="s">
        <v>42</v>
      </c>
      <c r="M80" s="70">
        <f t="shared" si="36"/>
        <v>469.03347421875009</v>
      </c>
      <c r="N80" s="70">
        <f t="shared" si="27"/>
        <v>469.03347421875009</v>
      </c>
      <c r="O80" s="71"/>
      <c r="P80" s="86">
        <v>4</v>
      </c>
      <c r="Q80" s="51">
        <v>4</v>
      </c>
      <c r="R80" s="88">
        <f t="shared" si="37"/>
        <v>1</v>
      </c>
      <c r="S80" s="6">
        <v>0</v>
      </c>
      <c r="T80" s="8">
        <f t="shared" si="32"/>
        <v>1876.1338968750003</v>
      </c>
      <c r="U80" s="8" t="e">
        <f>#REF!</f>
        <v>#REF!</v>
      </c>
      <c r="V80" s="8"/>
      <c r="W80" s="8" t="e">
        <f t="shared" si="33"/>
        <v>#REF!</v>
      </c>
      <c r="X80" s="27"/>
      <c r="Y80" s="26" t="e">
        <f t="shared" si="38"/>
        <v>#REF!</v>
      </c>
      <c r="Z80" s="95"/>
      <c r="AA80" s="95"/>
      <c r="AB80" s="8">
        <f>'Business_172 PH Rd Budget'!$C$25</f>
        <v>2155.2899999999995</v>
      </c>
      <c r="AC80" s="8" t="e">
        <f t="shared" si="39"/>
        <v>#REF!</v>
      </c>
      <c r="AD80" s="8">
        <v>350000</v>
      </c>
      <c r="AE80" s="76" t="e">
        <f t="shared" si="28"/>
        <v>#REF!</v>
      </c>
      <c r="AF80" s="8" t="e">
        <f t="shared" si="29"/>
        <v>#REF!</v>
      </c>
      <c r="AH80" s="7" t="e">
        <f t="shared" si="34"/>
        <v>#REF!</v>
      </c>
      <c r="AI80" s="79" t="e">
        <f t="shared" si="40"/>
        <v>#REF!</v>
      </c>
      <c r="AJ80" s="79" t="e">
        <f t="shared" si="43"/>
        <v>#REF!</v>
      </c>
      <c r="AK80" s="75" t="e">
        <f>PMT(#REF!,#REF!,-#REF!,0,0)</f>
        <v>#REF!</v>
      </c>
      <c r="AL80" s="75"/>
      <c r="AM80" s="7" t="e">
        <f>AJ80*(#REF!/12)</f>
        <v>#REF!</v>
      </c>
      <c r="AN80" s="7" t="e">
        <f t="shared" si="41"/>
        <v>#REF!</v>
      </c>
      <c r="AO80" s="75" t="e">
        <f t="shared" si="30"/>
        <v>#REF!</v>
      </c>
      <c r="AP80" s="75" t="e">
        <f t="shared" si="42"/>
        <v>#REF!</v>
      </c>
      <c r="AQ80" s="7" t="e">
        <f t="shared" si="35"/>
        <v>#REF!</v>
      </c>
      <c r="AR80" s="41"/>
    </row>
    <row r="81" spans="10:44" x14ac:dyDescent="0.25">
      <c r="J81" s="5">
        <f t="shared" si="31"/>
        <v>34</v>
      </c>
      <c r="K81" s="5">
        <f t="shared" si="44"/>
        <v>2032</v>
      </c>
      <c r="L81" s="34" t="s">
        <v>44</v>
      </c>
      <c r="M81" s="70">
        <f t="shared" si="36"/>
        <v>469.03347421875009</v>
      </c>
      <c r="N81" s="70">
        <f t="shared" si="27"/>
        <v>469.03347421875009</v>
      </c>
      <c r="O81" s="71"/>
      <c r="P81" s="86">
        <v>5</v>
      </c>
      <c r="Q81" s="51">
        <v>4</v>
      </c>
      <c r="R81" s="88">
        <f t="shared" si="37"/>
        <v>0.8</v>
      </c>
      <c r="S81" s="6">
        <v>0</v>
      </c>
      <c r="T81" s="8">
        <f t="shared" si="32"/>
        <v>1876.1338968750003</v>
      </c>
      <c r="U81" s="8" t="e">
        <f>#REF!</f>
        <v>#REF!</v>
      </c>
      <c r="V81" s="8"/>
      <c r="W81" s="8" t="e">
        <f t="shared" si="33"/>
        <v>#REF!</v>
      </c>
      <c r="X81" s="27"/>
      <c r="Y81" s="26" t="e">
        <f t="shared" si="38"/>
        <v>#REF!</v>
      </c>
      <c r="Z81" s="95"/>
      <c r="AA81" s="95"/>
      <c r="AB81" s="8">
        <f>'Business_172 PH Rd Budget'!$C$25</f>
        <v>2155.2899999999995</v>
      </c>
      <c r="AC81" s="8" t="e">
        <f t="shared" si="39"/>
        <v>#REF!</v>
      </c>
      <c r="AD81" s="8">
        <v>350000</v>
      </c>
      <c r="AE81" s="76" t="e">
        <f t="shared" si="28"/>
        <v>#REF!</v>
      </c>
      <c r="AF81" s="8" t="e">
        <f t="shared" si="29"/>
        <v>#REF!</v>
      </c>
      <c r="AH81" s="7" t="e">
        <f t="shared" si="34"/>
        <v>#REF!</v>
      </c>
      <c r="AI81" s="79" t="e">
        <f t="shared" si="40"/>
        <v>#REF!</v>
      </c>
      <c r="AJ81" s="79" t="e">
        <f t="shared" si="43"/>
        <v>#REF!</v>
      </c>
      <c r="AK81" s="75" t="e">
        <f>PMT(#REF!,#REF!,-#REF!,0,0)</f>
        <v>#REF!</v>
      </c>
      <c r="AL81" s="75"/>
      <c r="AM81" s="7" t="e">
        <f>AJ81*(#REF!/12)</f>
        <v>#REF!</v>
      </c>
      <c r="AN81" s="7" t="e">
        <f t="shared" si="41"/>
        <v>#REF!</v>
      </c>
      <c r="AO81" s="75" t="e">
        <f t="shared" si="30"/>
        <v>#REF!</v>
      </c>
      <c r="AP81" s="75" t="e">
        <f t="shared" si="42"/>
        <v>#REF!</v>
      </c>
      <c r="AQ81" s="7" t="e">
        <f t="shared" si="35"/>
        <v>#REF!</v>
      </c>
      <c r="AR81" s="41"/>
    </row>
    <row r="82" spans="10:44" x14ac:dyDescent="0.25">
      <c r="J82" s="5">
        <f t="shared" si="31"/>
        <v>34</v>
      </c>
      <c r="K82" s="5">
        <f t="shared" si="44"/>
        <v>2032</v>
      </c>
      <c r="L82" s="34" t="s">
        <v>47</v>
      </c>
      <c r="M82" s="70">
        <f t="shared" si="36"/>
        <v>469.03347421875009</v>
      </c>
      <c r="N82" s="70">
        <f t="shared" si="27"/>
        <v>469.03347421875009</v>
      </c>
      <c r="O82" s="71"/>
      <c r="P82" s="86">
        <v>4</v>
      </c>
      <c r="Q82" s="51">
        <v>4</v>
      </c>
      <c r="R82" s="88">
        <f t="shared" si="37"/>
        <v>1</v>
      </c>
      <c r="S82" s="6">
        <v>0</v>
      </c>
      <c r="T82" s="8">
        <f t="shared" si="32"/>
        <v>1876.1338968750003</v>
      </c>
      <c r="U82" s="8" t="e">
        <f>#REF!</f>
        <v>#REF!</v>
      </c>
      <c r="V82" s="8"/>
      <c r="W82" s="8" t="e">
        <f t="shared" si="33"/>
        <v>#REF!</v>
      </c>
      <c r="X82" s="27"/>
      <c r="Y82" s="26" t="e">
        <f t="shared" si="38"/>
        <v>#REF!</v>
      </c>
      <c r="Z82" s="95"/>
      <c r="AA82" s="95"/>
      <c r="AB82" s="8">
        <f>'Business_172 PH Rd Budget'!$C$25</f>
        <v>2155.2899999999995</v>
      </c>
      <c r="AC82" s="8" t="e">
        <f t="shared" si="39"/>
        <v>#REF!</v>
      </c>
      <c r="AD82" s="8">
        <v>350000</v>
      </c>
      <c r="AE82" s="76" t="e">
        <f t="shared" si="28"/>
        <v>#REF!</v>
      </c>
      <c r="AF82" s="8" t="e">
        <f t="shared" si="29"/>
        <v>#REF!</v>
      </c>
      <c r="AH82" s="7" t="e">
        <f t="shared" si="34"/>
        <v>#REF!</v>
      </c>
      <c r="AI82" s="79" t="e">
        <f t="shared" si="40"/>
        <v>#REF!</v>
      </c>
      <c r="AJ82" s="79" t="e">
        <f t="shared" si="43"/>
        <v>#REF!</v>
      </c>
      <c r="AK82" s="75" t="e">
        <f>PMT(#REF!,#REF!,-#REF!,0,0)</f>
        <v>#REF!</v>
      </c>
      <c r="AL82" s="75"/>
      <c r="AM82" s="7" t="e">
        <f>AJ82*(#REF!/12)</f>
        <v>#REF!</v>
      </c>
      <c r="AN82" s="7" t="e">
        <f t="shared" si="41"/>
        <v>#REF!</v>
      </c>
      <c r="AO82" s="75" t="e">
        <f t="shared" si="30"/>
        <v>#REF!</v>
      </c>
      <c r="AP82" s="75" t="e">
        <f t="shared" si="42"/>
        <v>#REF!</v>
      </c>
      <c r="AQ82" s="7" t="e">
        <f t="shared" si="35"/>
        <v>#REF!</v>
      </c>
      <c r="AR82" s="41"/>
    </row>
    <row r="83" spans="10:44" x14ac:dyDescent="0.25">
      <c r="J83" s="5">
        <f t="shared" si="31"/>
        <v>34</v>
      </c>
      <c r="K83" s="5">
        <f t="shared" si="44"/>
        <v>2032</v>
      </c>
      <c r="L83" s="34" t="s">
        <v>49</v>
      </c>
      <c r="M83" s="70">
        <f t="shared" si="36"/>
        <v>469.03347421875009</v>
      </c>
      <c r="N83" s="70">
        <f t="shared" si="27"/>
        <v>469.03347421875009</v>
      </c>
      <c r="O83" s="71"/>
      <c r="P83" s="86">
        <v>4</v>
      </c>
      <c r="Q83" s="44">
        <v>4</v>
      </c>
      <c r="R83" s="88">
        <f t="shared" si="37"/>
        <v>1</v>
      </c>
      <c r="S83" s="6">
        <v>0</v>
      </c>
      <c r="T83" s="8">
        <f t="shared" si="32"/>
        <v>1876.1338968750003</v>
      </c>
      <c r="U83" s="8" t="e">
        <f>#REF!</f>
        <v>#REF!</v>
      </c>
      <c r="V83" s="8"/>
      <c r="W83" s="8" t="e">
        <f t="shared" si="33"/>
        <v>#REF!</v>
      </c>
      <c r="X83" s="27"/>
      <c r="Y83" s="26" t="e">
        <f t="shared" si="38"/>
        <v>#REF!</v>
      </c>
      <c r="Z83" s="95"/>
      <c r="AA83" s="95"/>
      <c r="AB83" s="8">
        <f>'Business_172 PH Rd Budget'!$C$25</f>
        <v>2155.2899999999995</v>
      </c>
      <c r="AC83" s="8" t="e">
        <f t="shared" si="39"/>
        <v>#REF!</v>
      </c>
      <c r="AD83" s="8">
        <v>350000</v>
      </c>
      <c r="AE83" s="76" t="e">
        <f t="shared" si="28"/>
        <v>#REF!</v>
      </c>
      <c r="AF83" s="8" t="e">
        <f t="shared" si="29"/>
        <v>#REF!</v>
      </c>
      <c r="AH83" s="7" t="e">
        <f t="shared" si="34"/>
        <v>#REF!</v>
      </c>
      <c r="AI83" s="79" t="e">
        <f t="shared" si="40"/>
        <v>#REF!</v>
      </c>
      <c r="AJ83" s="79" t="e">
        <f t="shared" si="43"/>
        <v>#REF!</v>
      </c>
      <c r="AK83" s="75" t="e">
        <f>PMT(#REF!,#REF!,-#REF!,0,0)</f>
        <v>#REF!</v>
      </c>
      <c r="AL83" s="75"/>
      <c r="AM83" s="7" t="e">
        <f>AJ83*(#REF!/12)</f>
        <v>#REF!</v>
      </c>
      <c r="AN83" s="7" t="e">
        <f t="shared" si="41"/>
        <v>#REF!</v>
      </c>
      <c r="AO83" s="75" t="e">
        <f t="shared" si="30"/>
        <v>#REF!</v>
      </c>
      <c r="AP83" s="75" t="e">
        <f t="shared" si="42"/>
        <v>#REF!</v>
      </c>
      <c r="AQ83" s="7" t="e">
        <f t="shared" si="35"/>
        <v>#REF!</v>
      </c>
      <c r="AR83" s="41"/>
    </row>
    <row r="84" spans="10:44" x14ac:dyDescent="0.25">
      <c r="J84" s="5">
        <f t="shared" si="31"/>
        <v>34</v>
      </c>
      <c r="K84" s="5">
        <f t="shared" si="44"/>
        <v>2032</v>
      </c>
      <c r="L84" s="34" t="s">
        <v>51</v>
      </c>
      <c r="M84" s="70">
        <f t="shared" si="36"/>
        <v>469.03347421875009</v>
      </c>
      <c r="N84" s="70">
        <f t="shared" si="27"/>
        <v>469.03347421875009</v>
      </c>
      <c r="O84" s="71"/>
      <c r="P84" s="86">
        <v>5</v>
      </c>
      <c r="Q84" s="44">
        <v>4</v>
      </c>
      <c r="R84" s="88">
        <f t="shared" si="37"/>
        <v>0.8</v>
      </c>
      <c r="S84" s="6">
        <v>0</v>
      </c>
      <c r="T84" s="8">
        <f t="shared" si="32"/>
        <v>1876.1338968750003</v>
      </c>
      <c r="U84" s="8" t="e">
        <f>#REF!</f>
        <v>#REF!</v>
      </c>
      <c r="V84" s="8"/>
      <c r="W84" s="8" t="e">
        <f t="shared" si="33"/>
        <v>#REF!</v>
      </c>
      <c r="X84" s="27"/>
      <c r="Y84" s="26" t="e">
        <f t="shared" si="38"/>
        <v>#REF!</v>
      </c>
      <c r="Z84" s="95"/>
      <c r="AA84" s="95"/>
      <c r="AB84" s="8">
        <f>'Business_172 PH Rd Budget'!$C$25</f>
        <v>2155.2899999999995</v>
      </c>
      <c r="AC84" s="8" t="e">
        <f t="shared" si="39"/>
        <v>#REF!</v>
      </c>
      <c r="AD84" s="8">
        <v>350000</v>
      </c>
      <c r="AE84" s="76" t="e">
        <f t="shared" si="28"/>
        <v>#REF!</v>
      </c>
      <c r="AF84" s="8" t="e">
        <f t="shared" si="29"/>
        <v>#REF!</v>
      </c>
      <c r="AH84" s="7" t="e">
        <f t="shared" si="34"/>
        <v>#REF!</v>
      </c>
      <c r="AI84" s="79" t="e">
        <f t="shared" si="40"/>
        <v>#REF!</v>
      </c>
      <c r="AJ84" s="79" t="e">
        <f t="shared" si="43"/>
        <v>#REF!</v>
      </c>
      <c r="AK84" s="75" t="e">
        <f>PMT(#REF!,#REF!,-#REF!,0,0)</f>
        <v>#REF!</v>
      </c>
      <c r="AL84" s="75"/>
      <c r="AM84" s="7" t="e">
        <f>AJ84*(#REF!/12)</f>
        <v>#REF!</v>
      </c>
      <c r="AN84" s="7" t="e">
        <f t="shared" si="41"/>
        <v>#REF!</v>
      </c>
      <c r="AO84" s="75" t="e">
        <f t="shared" si="30"/>
        <v>#REF!</v>
      </c>
      <c r="AP84" s="75" t="e">
        <f t="shared" si="42"/>
        <v>#REF!</v>
      </c>
      <c r="AQ84" s="7" t="e">
        <f t="shared" si="35"/>
        <v>#REF!</v>
      </c>
      <c r="AR84" s="41"/>
    </row>
    <row r="85" spans="10:44" x14ac:dyDescent="0.25">
      <c r="J85" s="5">
        <f t="shared" si="31"/>
        <v>34</v>
      </c>
      <c r="K85" s="5">
        <f t="shared" si="44"/>
        <v>2032</v>
      </c>
      <c r="L85" s="34" t="s">
        <v>53</v>
      </c>
      <c r="M85" s="70">
        <f t="shared" si="36"/>
        <v>469.03347421875009</v>
      </c>
      <c r="N85" s="70">
        <f t="shared" si="27"/>
        <v>422.13012679687506</v>
      </c>
      <c r="O85" s="71"/>
      <c r="P85" s="87"/>
      <c r="Q85" s="68">
        <v>0</v>
      </c>
      <c r="R85" s="88" t="str">
        <f t="shared" si="37"/>
        <v/>
      </c>
      <c r="S85" s="69">
        <v>0.1</v>
      </c>
      <c r="T85" s="8">
        <f t="shared" si="32"/>
        <v>0</v>
      </c>
      <c r="U85" s="8" t="e">
        <f>#REF!</f>
        <v>#REF!</v>
      </c>
      <c r="V85" s="8"/>
      <c r="W85" s="8" t="e">
        <f t="shared" si="33"/>
        <v>#REF!</v>
      </c>
      <c r="X85" s="27"/>
      <c r="Y85" s="26" t="e">
        <f t="shared" si="38"/>
        <v>#REF!</v>
      </c>
      <c r="Z85" s="95"/>
      <c r="AA85" s="95"/>
      <c r="AB85" s="8">
        <f>'Business_172 PH Rd Budget'!$C$25</f>
        <v>2155.2899999999995</v>
      </c>
      <c r="AC85" s="8" t="e">
        <f t="shared" si="39"/>
        <v>#REF!</v>
      </c>
      <c r="AD85" s="8">
        <v>350000</v>
      </c>
      <c r="AE85" s="76" t="e">
        <f t="shared" si="28"/>
        <v>#REF!</v>
      </c>
      <c r="AF85" s="8" t="e">
        <f t="shared" si="29"/>
        <v>#REF!</v>
      </c>
      <c r="AH85" s="7" t="e">
        <f t="shared" si="34"/>
        <v>#REF!</v>
      </c>
      <c r="AI85" s="79" t="e">
        <f t="shared" si="40"/>
        <v>#REF!</v>
      </c>
      <c r="AJ85" s="79" t="e">
        <f t="shared" si="43"/>
        <v>#REF!</v>
      </c>
      <c r="AK85" s="75" t="e">
        <f>PMT(#REF!,#REF!,-#REF!,0,0)</f>
        <v>#REF!</v>
      </c>
      <c r="AL85" s="75"/>
      <c r="AM85" s="7" t="e">
        <f>AJ85*(#REF!/12)</f>
        <v>#REF!</v>
      </c>
      <c r="AN85" s="7" t="e">
        <f t="shared" si="41"/>
        <v>#REF!</v>
      </c>
      <c r="AO85" s="75" t="e">
        <f t="shared" si="30"/>
        <v>#REF!</v>
      </c>
      <c r="AP85" s="75" t="e">
        <f t="shared" si="42"/>
        <v>#REF!</v>
      </c>
      <c r="AQ85" s="7" t="e">
        <f t="shared" si="35"/>
        <v>#REF!</v>
      </c>
      <c r="AR85" s="41"/>
    </row>
    <row r="86" spans="10:44" x14ac:dyDescent="0.25">
      <c r="J86" s="5">
        <f t="shared" si="31"/>
        <v>34</v>
      </c>
      <c r="K86" s="5">
        <f t="shared" si="44"/>
        <v>2032</v>
      </c>
      <c r="L86" s="34" t="s">
        <v>55</v>
      </c>
      <c r="M86" s="70">
        <f t="shared" si="36"/>
        <v>469.03347421875009</v>
      </c>
      <c r="N86" s="70">
        <f t="shared" si="27"/>
        <v>375.22677937500009</v>
      </c>
      <c r="O86" s="71"/>
      <c r="P86" s="86"/>
      <c r="Q86" s="51">
        <v>0</v>
      </c>
      <c r="R86" s="88" t="str">
        <f t="shared" si="37"/>
        <v/>
      </c>
      <c r="S86" s="6">
        <v>0.2</v>
      </c>
      <c r="T86" s="8">
        <f t="shared" si="32"/>
        <v>0</v>
      </c>
      <c r="U86" s="8" t="e">
        <f>#REF!</f>
        <v>#REF!</v>
      </c>
      <c r="V86" s="8"/>
      <c r="W86" s="8" t="e">
        <f t="shared" si="33"/>
        <v>#REF!</v>
      </c>
      <c r="X86" s="27"/>
      <c r="Y86" s="26" t="e">
        <f t="shared" si="38"/>
        <v>#REF!</v>
      </c>
      <c r="Z86" s="95"/>
      <c r="AA86" s="95"/>
      <c r="AB86" s="8">
        <f>'Business_172 PH Rd Budget'!$C$25</f>
        <v>2155.2899999999995</v>
      </c>
      <c r="AC86" s="8" t="e">
        <f t="shared" si="39"/>
        <v>#REF!</v>
      </c>
      <c r="AD86" s="8">
        <v>350000</v>
      </c>
      <c r="AE86" s="76" t="e">
        <f t="shared" si="28"/>
        <v>#REF!</v>
      </c>
      <c r="AF86" s="8" t="e">
        <f t="shared" si="29"/>
        <v>#REF!</v>
      </c>
      <c r="AH86" s="7" t="e">
        <f t="shared" si="34"/>
        <v>#REF!</v>
      </c>
      <c r="AI86" s="79" t="e">
        <f t="shared" si="40"/>
        <v>#REF!</v>
      </c>
      <c r="AJ86" s="79" t="e">
        <f t="shared" si="43"/>
        <v>#REF!</v>
      </c>
      <c r="AK86" s="75" t="e">
        <f>PMT(#REF!,#REF!,-#REF!,0,0)</f>
        <v>#REF!</v>
      </c>
      <c r="AL86" s="75"/>
      <c r="AM86" s="7" t="e">
        <f>AJ86*(#REF!/12)</f>
        <v>#REF!</v>
      </c>
      <c r="AN86" s="7" t="e">
        <f t="shared" si="41"/>
        <v>#REF!</v>
      </c>
      <c r="AO86" s="75" t="e">
        <f t="shared" si="30"/>
        <v>#REF!</v>
      </c>
      <c r="AP86" s="75" t="e">
        <f t="shared" si="42"/>
        <v>#REF!</v>
      </c>
      <c r="AQ86" s="7" t="e">
        <f t="shared" si="35"/>
        <v>#REF!</v>
      </c>
      <c r="AR86" s="41"/>
    </row>
    <row r="87" spans="10:44" x14ac:dyDescent="0.25">
      <c r="J87" s="5">
        <f t="shared" si="31"/>
        <v>35</v>
      </c>
      <c r="K87" s="5">
        <f t="shared" si="44"/>
        <v>2033</v>
      </c>
      <c r="L87" s="34" t="s">
        <v>31</v>
      </c>
      <c r="M87" s="70">
        <f t="shared" si="36"/>
        <v>492.48514792968763</v>
      </c>
      <c r="N87" s="70">
        <f t="shared" si="27"/>
        <v>369.36386094726572</v>
      </c>
      <c r="O87" s="71">
        <v>0.05</v>
      </c>
      <c r="P87" s="86"/>
      <c r="Q87" s="51">
        <v>0</v>
      </c>
      <c r="R87" s="88" t="str">
        <f t="shared" si="37"/>
        <v/>
      </c>
      <c r="S87" s="6">
        <v>0.25</v>
      </c>
      <c r="T87" s="8">
        <f t="shared" si="32"/>
        <v>0</v>
      </c>
      <c r="U87" s="8" t="e">
        <f>#REF!</f>
        <v>#REF!</v>
      </c>
      <c r="V87" s="8"/>
      <c r="W87" s="8" t="e">
        <f t="shared" si="33"/>
        <v>#REF!</v>
      </c>
      <c r="X87" s="27"/>
      <c r="Y87" s="26" t="e">
        <f t="shared" si="38"/>
        <v>#REF!</v>
      </c>
      <c r="Z87" s="95"/>
      <c r="AA87" s="95"/>
      <c r="AB87" s="8">
        <f>'Business_172 PH Rd Budget'!$C$25</f>
        <v>2155.2899999999995</v>
      </c>
      <c r="AC87" s="8" t="e">
        <f t="shared" si="39"/>
        <v>#REF!</v>
      </c>
      <c r="AD87" s="8">
        <v>350000</v>
      </c>
      <c r="AE87" s="76" t="e">
        <f t="shared" si="28"/>
        <v>#REF!</v>
      </c>
      <c r="AF87" s="8" t="e">
        <f t="shared" si="29"/>
        <v>#REF!</v>
      </c>
      <c r="AH87" s="7" t="e">
        <f t="shared" si="34"/>
        <v>#REF!</v>
      </c>
      <c r="AI87" s="79" t="e">
        <f t="shared" si="40"/>
        <v>#REF!</v>
      </c>
      <c r="AJ87" s="79" t="e">
        <f t="shared" si="43"/>
        <v>#REF!</v>
      </c>
      <c r="AK87" s="75" t="e">
        <f>PMT(#REF!,#REF!,-#REF!,0,0)</f>
        <v>#REF!</v>
      </c>
      <c r="AL87" s="75"/>
      <c r="AM87" s="7" t="e">
        <f>AJ87*(#REF!/12)</f>
        <v>#REF!</v>
      </c>
      <c r="AN87" s="7" t="e">
        <f t="shared" si="41"/>
        <v>#REF!</v>
      </c>
      <c r="AO87" s="75" t="e">
        <f t="shared" si="30"/>
        <v>#REF!</v>
      </c>
      <c r="AP87" s="75" t="e">
        <f t="shared" si="42"/>
        <v>#REF!</v>
      </c>
      <c r="AQ87" s="7" t="e">
        <f t="shared" si="35"/>
        <v>#REF!</v>
      </c>
      <c r="AR87" s="41"/>
    </row>
    <row r="88" spans="10:44" x14ac:dyDescent="0.25">
      <c r="J88" s="5">
        <f t="shared" si="31"/>
        <v>35</v>
      </c>
      <c r="K88" s="5">
        <f t="shared" si="44"/>
        <v>2033</v>
      </c>
      <c r="L88" s="34" t="s">
        <v>33</v>
      </c>
      <c r="M88" s="70">
        <f t="shared" si="36"/>
        <v>492.48514792968763</v>
      </c>
      <c r="N88" s="70">
        <f t="shared" si="27"/>
        <v>369.36386094726572</v>
      </c>
      <c r="O88" s="71"/>
      <c r="P88" s="86"/>
      <c r="Q88" s="51">
        <v>0</v>
      </c>
      <c r="R88" s="88" t="str">
        <f t="shared" si="37"/>
        <v/>
      </c>
      <c r="S88" s="6">
        <v>0.25</v>
      </c>
      <c r="T88" s="8">
        <f t="shared" si="32"/>
        <v>0</v>
      </c>
      <c r="U88" s="8" t="e">
        <f>#REF!</f>
        <v>#REF!</v>
      </c>
      <c r="V88" s="8"/>
      <c r="W88" s="8" t="e">
        <f t="shared" si="33"/>
        <v>#REF!</v>
      </c>
      <c r="X88" s="27"/>
      <c r="Y88" s="26" t="e">
        <f t="shared" si="38"/>
        <v>#REF!</v>
      </c>
      <c r="Z88" s="95"/>
      <c r="AA88" s="95"/>
      <c r="AB88" s="8">
        <f>'Business_172 PH Rd Budget'!$C$25</f>
        <v>2155.2899999999995</v>
      </c>
      <c r="AC88" s="8" t="e">
        <f t="shared" si="39"/>
        <v>#REF!</v>
      </c>
      <c r="AD88" s="8">
        <v>350000</v>
      </c>
      <c r="AE88" s="76" t="e">
        <f t="shared" si="28"/>
        <v>#REF!</v>
      </c>
      <c r="AF88" s="8" t="e">
        <f t="shared" si="29"/>
        <v>#REF!</v>
      </c>
      <c r="AH88" s="7" t="e">
        <f t="shared" si="34"/>
        <v>#REF!</v>
      </c>
      <c r="AI88" s="79" t="e">
        <f t="shared" si="40"/>
        <v>#REF!</v>
      </c>
      <c r="AJ88" s="79" t="e">
        <f t="shared" si="43"/>
        <v>#REF!</v>
      </c>
      <c r="AK88" s="75" t="e">
        <f>PMT(#REF!,#REF!,-#REF!,0,0)</f>
        <v>#REF!</v>
      </c>
      <c r="AL88" s="75"/>
      <c r="AM88" s="7" t="e">
        <f>AJ88*(#REF!/12)</f>
        <v>#REF!</v>
      </c>
      <c r="AN88" s="7" t="e">
        <f t="shared" si="41"/>
        <v>#REF!</v>
      </c>
      <c r="AO88" s="75" t="e">
        <f t="shared" si="30"/>
        <v>#REF!</v>
      </c>
      <c r="AP88" s="75" t="e">
        <f t="shared" si="42"/>
        <v>#REF!</v>
      </c>
      <c r="AQ88" s="7" t="e">
        <f t="shared" si="35"/>
        <v>#REF!</v>
      </c>
      <c r="AR88" s="41"/>
    </row>
    <row r="89" spans="10:44" x14ac:dyDescent="0.25">
      <c r="J89" s="5">
        <f t="shared" si="31"/>
        <v>35</v>
      </c>
      <c r="K89" s="5">
        <f t="shared" si="44"/>
        <v>2033</v>
      </c>
      <c r="L89" s="34" t="s">
        <v>36</v>
      </c>
      <c r="M89" s="70">
        <f t="shared" si="36"/>
        <v>492.48514792968763</v>
      </c>
      <c r="N89" s="70">
        <f t="shared" si="27"/>
        <v>393.9881183437501</v>
      </c>
      <c r="O89" s="71"/>
      <c r="P89" s="86"/>
      <c r="Q89" s="51">
        <v>0</v>
      </c>
      <c r="R89" s="88" t="str">
        <f t="shared" si="37"/>
        <v/>
      </c>
      <c r="S89" s="6">
        <v>0.2</v>
      </c>
      <c r="T89" s="8">
        <f t="shared" si="32"/>
        <v>0</v>
      </c>
      <c r="U89" s="8" t="e">
        <f>#REF!</f>
        <v>#REF!</v>
      </c>
      <c r="V89" s="8"/>
      <c r="W89" s="8" t="e">
        <f t="shared" si="33"/>
        <v>#REF!</v>
      </c>
      <c r="X89" s="27"/>
      <c r="Y89" s="26" t="e">
        <f t="shared" si="38"/>
        <v>#REF!</v>
      </c>
      <c r="Z89" s="95"/>
      <c r="AA89" s="95"/>
      <c r="AB89" s="8">
        <f>'Business_172 PH Rd Budget'!$C$25</f>
        <v>2155.2899999999995</v>
      </c>
      <c r="AC89" s="8" t="e">
        <f t="shared" si="39"/>
        <v>#REF!</v>
      </c>
      <c r="AD89" s="8">
        <v>350000</v>
      </c>
      <c r="AE89" s="76" t="e">
        <f t="shared" si="28"/>
        <v>#REF!</v>
      </c>
      <c r="AF89" s="8" t="e">
        <f t="shared" si="29"/>
        <v>#REF!</v>
      </c>
      <c r="AH89" s="7" t="e">
        <f t="shared" si="34"/>
        <v>#REF!</v>
      </c>
      <c r="AI89" s="79" t="e">
        <f t="shared" si="40"/>
        <v>#REF!</v>
      </c>
      <c r="AJ89" s="79" t="e">
        <f t="shared" si="43"/>
        <v>#REF!</v>
      </c>
      <c r="AK89" s="75" t="e">
        <f>PMT(#REF!,#REF!,-#REF!,0,0)</f>
        <v>#REF!</v>
      </c>
      <c r="AL89" s="75"/>
      <c r="AM89" s="7" t="e">
        <f>AJ89*(#REF!/12)</f>
        <v>#REF!</v>
      </c>
      <c r="AN89" s="7" t="e">
        <f t="shared" si="41"/>
        <v>#REF!</v>
      </c>
      <c r="AO89" s="75" t="e">
        <f t="shared" si="30"/>
        <v>#REF!</v>
      </c>
      <c r="AP89" s="75" t="e">
        <f t="shared" si="42"/>
        <v>#REF!</v>
      </c>
      <c r="AQ89" s="7" t="e">
        <f t="shared" si="35"/>
        <v>#REF!</v>
      </c>
      <c r="AR89" s="41"/>
    </row>
    <row r="90" spans="10:44" x14ac:dyDescent="0.25">
      <c r="J90" s="5">
        <f t="shared" si="31"/>
        <v>35</v>
      </c>
      <c r="K90" s="5">
        <f t="shared" si="44"/>
        <v>2033</v>
      </c>
      <c r="L90" s="34" t="s">
        <v>38</v>
      </c>
      <c r="M90" s="70">
        <f t="shared" si="36"/>
        <v>492.48514792968763</v>
      </c>
      <c r="N90" s="70">
        <f t="shared" si="27"/>
        <v>443.23663313671886</v>
      </c>
      <c r="O90" s="71"/>
      <c r="P90" s="86"/>
      <c r="Q90" s="51">
        <v>0</v>
      </c>
      <c r="R90" s="88" t="str">
        <f t="shared" si="37"/>
        <v/>
      </c>
      <c r="S90" s="6">
        <v>0.1</v>
      </c>
      <c r="T90" s="8">
        <f t="shared" si="32"/>
        <v>0</v>
      </c>
      <c r="U90" s="8" t="e">
        <f>#REF!</f>
        <v>#REF!</v>
      </c>
      <c r="V90" s="8"/>
      <c r="W90" s="8" t="e">
        <f t="shared" si="33"/>
        <v>#REF!</v>
      </c>
      <c r="X90" s="27"/>
      <c r="Y90" s="26" t="e">
        <f t="shared" si="38"/>
        <v>#REF!</v>
      </c>
      <c r="Z90" s="95"/>
      <c r="AA90" s="95"/>
      <c r="AB90" s="8">
        <f>'Business_172 PH Rd Budget'!$C$25</f>
        <v>2155.2899999999995</v>
      </c>
      <c r="AC90" s="8" t="e">
        <f t="shared" si="39"/>
        <v>#REF!</v>
      </c>
      <c r="AD90" s="8">
        <v>350000</v>
      </c>
      <c r="AE90" s="76" t="e">
        <f t="shared" si="28"/>
        <v>#REF!</v>
      </c>
      <c r="AF90" s="8" t="e">
        <f t="shared" si="29"/>
        <v>#REF!</v>
      </c>
      <c r="AH90" s="7" t="e">
        <f t="shared" si="34"/>
        <v>#REF!</v>
      </c>
      <c r="AI90" s="79" t="e">
        <f t="shared" si="40"/>
        <v>#REF!</v>
      </c>
      <c r="AJ90" s="79" t="e">
        <f t="shared" si="43"/>
        <v>#REF!</v>
      </c>
      <c r="AK90" s="75" t="e">
        <f>PMT(#REF!,#REF!,-#REF!,0,0)</f>
        <v>#REF!</v>
      </c>
      <c r="AL90" s="75"/>
      <c r="AM90" s="7" t="e">
        <f>AJ90*(#REF!/12)</f>
        <v>#REF!</v>
      </c>
      <c r="AN90" s="7" t="e">
        <f t="shared" si="41"/>
        <v>#REF!</v>
      </c>
      <c r="AO90" s="75" t="e">
        <f t="shared" si="30"/>
        <v>#REF!</v>
      </c>
      <c r="AP90" s="75" t="e">
        <f t="shared" si="42"/>
        <v>#REF!</v>
      </c>
      <c r="AQ90" s="7" t="e">
        <f t="shared" si="35"/>
        <v>#REF!</v>
      </c>
      <c r="AR90" s="41"/>
    </row>
    <row r="91" spans="10:44" x14ac:dyDescent="0.25">
      <c r="J91" s="5">
        <f t="shared" si="31"/>
        <v>35</v>
      </c>
      <c r="K91" s="5">
        <f t="shared" si="44"/>
        <v>2033</v>
      </c>
      <c r="L91" s="34" t="s">
        <v>40</v>
      </c>
      <c r="M91" s="70">
        <f t="shared" si="36"/>
        <v>492.48514792968763</v>
      </c>
      <c r="N91" s="70">
        <f t="shared" si="27"/>
        <v>492.48514792968763</v>
      </c>
      <c r="O91" s="71"/>
      <c r="P91" s="86">
        <v>4</v>
      </c>
      <c r="Q91" s="51">
        <v>2</v>
      </c>
      <c r="R91" s="88">
        <f t="shared" si="37"/>
        <v>0.5</v>
      </c>
      <c r="S91" s="6">
        <v>0</v>
      </c>
      <c r="T91" s="8">
        <f t="shared" si="32"/>
        <v>984.97029585937526</v>
      </c>
      <c r="U91" s="8" t="e">
        <f>#REF!</f>
        <v>#REF!</v>
      </c>
      <c r="V91" s="8"/>
      <c r="W91" s="8" t="e">
        <f t="shared" si="33"/>
        <v>#REF!</v>
      </c>
      <c r="X91" s="27"/>
      <c r="Y91" s="26" t="e">
        <f t="shared" si="38"/>
        <v>#REF!</v>
      </c>
      <c r="Z91" s="95"/>
      <c r="AA91" s="95"/>
      <c r="AB91" s="8">
        <f>'Business_172 PH Rd Budget'!$C$25</f>
        <v>2155.2899999999995</v>
      </c>
      <c r="AC91" s="8" t="e">
        <f t="shared" si="39"/>
        <v>#REF!</v>
      </c>
      <c r="AD91" s="8">
        <v>350000</v>
      </c>
      <c r="AE91" s="76" t="e">
        <f t="shared" si="28"/>
        <v>#REF!</v>
      </c>
      <c r="AF91" s="8" t="e">
        <f t="shared" si="29"/>
        <v>#REF!</v>
      </c>
      <c r="AH91" s="7" t="e">
        <f t="shared" si="34"/>
        <v>#REF!</v>
      </c>
      <c r="AI91" s="79" t="e">
        <f t="shared" si="40"/>
        <v>#REF!</v>
      </c>
      <c r="AJ91" s="79" t="e">
        <f t="shared" si="43"/>
        <v>#REF!</v>
      </c>
      <c r="AK91" s="75" t="e">
        <f>PMT(#REF!,#REF!,-#REF!,0,0)</f>
        <v>#REF!</v>
      </c>
      <c r="AL91" s="75"/>
      <c r="AM91" s="7" t="e">
        <f>AJ91*(#REF!/12)</f>
        <v>#REF!</v>
      </c>
      <c r="AN91" s="7" t="e">
        <f t="shared" si="41"/>
        <v>#REF!</v>
      </c>
      <c r="AO91" s="75" t="e">
        <f t="shared" si="30"/>
        <v>#REF!</v>
      </c>
      <c r="AP91" s="75" t="e">
        <f t="shared" si="42"/>
        <v>#REF!</v>
      </c>
      <c r="AQ91" s="7" t="e">
        <f t="shared" si="35"/>
        <v>#REF!</v>
      </c>
      <c r="AR91" s="41"/>
    </row>
    <row r="92" spans="10:44" x14ac:dyDescent="0.25">
      <c r="J92" s="5">
        <f t="shared" si="31"/>
        <v>35</v>
      </c>
      <c r="K92" s="5">
        <f t="shared" si="44"/>
        <v>2033</v>
      </c>
      <c r="L92" s="34" t="s">
        <v>42</v>
      </c>
      <c r="M92" s="70">
        <f t="shared" si="36"/>
        <v>492.48514792968763</v>
      </c>
      <c r="N92" s="70">
        <f t="shared" si="27"/>
        <v>492.48514792968763</v>
      </c>
      <c r="O92" s="71"/>
      <c r="P92" s="86">
        <v>4</v>
      </c>
      <c r="Q92" s="51">
        <v>4</v>
      </c>
      <c r="R92" s="88">
        <f t="shared" si="37"/>
        <v>1</v>
      </c>
      <c r="S92" s="6">
        <v>0</v>
      </c>
      <c r="T92" s="8">
        <f t="shared" si="32"/>
        <v>1969.9405917187505</v>
      </c>
      <c r="U92" s="8" t="e">
        <f>#REF!</f>
        <v>#REF!</v>
      </c>
      <c r="V92" s="8"/>
      <c r="W92" s="8" t="e">
        <f t="shared" si="33"/>
        <v>#REF!</v>
      </c>
      <c r="X92" s="27"/>
      <c r="Y92" s="26" t="e">
        <f t="shared" si="38"/>
        <v>#REF!</v>
      </c>
      <c r="Z92" s="95"/>
      <c r="AA92" s="95"/>
      <c r="AB92" s="8">
        <f>'Business_172 PH Rd Budget'!$C$25</f>
        <v>2155.2899999999995</v>
      </c>
      <c r="AC92" s="8" t="e">
        <f t="shared" si="39"/>
        <v>#REF!</v>
      </c>
      <c r="AD92" s="8">
        <v>350000</v>
      </c>
      <c r="AE92" s="76" t="e">
        <f t="shared" si="28"/>
        <v>#REF!</v>
      </c>
      <c r="AF92" s="8" t="e">
        <f t="shared" si="29"/>
        <v>#REF!</v>
      </c>
      <c r="AH92" s="7" t="e">
        <f t="shared" si="34"/>
        <v>#REF!</v>
      </c>
      <c r="AI92" s="79" t="e">
        <f t="shared" si="40"/>
        <v>#REF!</v>
      </c>
      <c r="AJ92" s="79" t="e">
        <f t="shared" si="43"/>
        <v>#REF!</v>
      </c>
      <c r="AK92" s="75" t="e">
        <f>PMT(#REF!,#REF!,-#REF!,0,0)</f>
        <v>#REF!</v>
      </c>
      <c r="AL92" s="75"/>
      <c r="AM92" s="7" t="e">
        <f>AJ92*(#REF!/12)</f>
        <v>#REF!</v>
      </c>
      <c r="AN92" s="7" t="e">
        <f t="shared" si="41"/>
        <v>#REF!</v>
      </c>
      <c r="AO92" s="75" t="e">
        <f t="shared" si="30"/>
        <v>#REF!</v>
      </c>
      <c r="AP92" s="75" t="e">
        <f t="shared" si="42"/>
        <v>#REF!</v>
      </c>
      <c r="AQ92" s="7" t="e">
        <f t="shared" si="35"/>
        <v>#REF!</v>
      </c>
      <c r="AR92" s="41"/>
    </row>
    <row r="93" spans="10:44" x14ac:dyDescent="0.25">
      <c r="J93" s="5">
        <f t="shared" si="31"/>
        <v>35</v>
      </c>
      <c r="K93" s="5">
        <f t="shared" si="44"/>
        <v>2033</v>
      </c>
      <c r="L93" s="34" t="s">
        <v>44</v>
      </c>
      <c r="M93" s="70">
        <f t="shared" si="36"/>
        <v>492.48514792968763</v>
      </c>
      <c r="N93" s="70">
        <f t="shared" si="27"/>
        <v>492.48514792968763</v>
      </c>
      <c r="O93" s="71"/>
      <c r="P93" s="86">
        <v>5</v>
      </c>
      <c r="Q93" s="51">
        <v>4</v>
      </c>
      <c r="R93" s="88">
        <f t="shared" si="37"/>
        <v>0.8</v>
      </c>
      <c r="S93" s="6">
        <v>0</v>
      </c>
      <c r="T93" s="8">
        <f t="shared" si="32"/>
        <v>1969.9405917187505</v>
      </c>
      <c r="U93" s="8" t="e">
        <f>#REF!</f>
        <v>#REF!</v>
      </c>
      <c r="V93" s="8"/>
      <c r="W93" s="8" t="e">
        <f t="shared" si="33"/>
        <v>#REF!</v>
      </c>
      <c r="X93" s="27"/>
      <c r="Y93" s="26" t="e">
        <f t="shared" si="38"/>
        <v>#REF!</v>
      </c>
      <c r="Z93" s="95"/>
      <c r="AA93" s="95"/>
      <c r="AB93" s="8">
        <f>'Business_172 PH Rd Budget'!$C$25</f>
        <v>2155.2899999999995</v>
      </c>
      <c r="AC93" s="8" t="e">
        <f t="shared" si="39"/>
        <v>#REF!</v>
      </c>
      <c r="AD93" s="8">
        <v>350000</v>
      </c>
      <c r="AE93" s="76" t="e">
        <f t="shared" si="28"/>
        <v>#REF!</v>
      </c>
      <c r="AF93" s="8" t="e">
        <f t="shared" si="29"/>
        <v>#REF!</v>
      </c>
      <c r="AH93" s="7" t="e">
        <f t="shared" si="34"/>
        <v>#REF!</v>
      </c>
      <c r="AI93" s="79" t="e">
        <f t="shared" si="40"/>
        <v>#REF!</v>
      </c>
      <c r="AJ93" s="79" t="e">
        <f t="shared" si="43"/>
        <v>#REF!</v>
      </c>
      <c r="AK93" s="75" t="e">
        <f>PMT(#REF!,#REF!,-#REF!,0,0)</f>
        <v>#REF!</v>
      </c>
      <c r="AL93" s="75"/>
      <c r="AM93" s="7" t="e">
        <f>AJ93*(#REF!/12)</f>
        <v>#REF!</v>
      </c>
      <c r="AN93" s="7" t="e">
        <f t="shared" si="41"/>
        <v>#REF!</v>
      </c>
      <c r="AO93" s="75" t="e">
        <f t="shared" si="30"/>
        <v>#REF!</v>
      </c>
      <c r="AP93" s="75" t="e">
        <f t="shared" si="42"/>
        <v>#REF!</v>
      </c>
      <c r="AQ93" s="7" t="e">
        <f t="shared" si="35"/>
        <v>#REF!</v>
      </c>
      <c r="AR93" s="41"/>
    </row>
    <row r="94" spans="10:44" x14ac:dyDescent="0.25">
      <c r="J94" s="5">
        <f t="shared" si="31"/>
        <v>35</v>
      </c>
      <c r="K94" s="5">
        <f t="shared" si="44"/>
        <v>2033</v>
      </c>
      <c r="L94" s="34" t="s">
        <v>47</v>
      </c>
      <c r="M94" s="70">
        <f t="shared" si="36"/>
        <v>492.48514792968763</v>
      </c>
      <c r="N94" s="70">
        <f t="shared" si="27"/>
        <v>492.48514792968763</v>
      </c>
      <c r="O94" s="71"/>
      <c r="P94" s="86">
        <v>4</v>
      </c>
      <c r="Q94" s="51">
        <v>4</v>
      </c>
      <c r="R94" s="88">
        <f t="shared" si="37"/>
        <v>1</v>
      </c>
      <c r="S94" s="6">
        <v>0</v>
      </c>
      <c r="T94" s="8">
        <f t="shared" si="32"/>
        <v>1969.9405917187505</v>
      </c>
      <c r="U94" s="8" t="e">
        <f>#REF!</f>
        <v>#REF!</v>
      </c>
      <c r="V94" s="8"/>
      <c r="W94" s="8" t="e">
        <f t="shared" si="33"/>
        <v>#REF!</v>
      </c>
      <c r="X94" s="27"/>
      <c r="Y94" s="26" t="e">
        <f t="shared" si="38"/>
        <v>#REF!</v>
      </c>
      <c r="Z94" s="95"/>
      <c r="AA94" s="95"/>
      <c r="AB94" s="8">
        <f>'Business_172 PH Rd Budget'!$C$25</f>
        <v>2155.2899999999995</v>
      </c>
      <c r="AC94" s="8" t="e">
        <f t="shared" si="39"/>
        <v>#REF!</v>
      </c>
      <c r="AD94" s="8">
        <v>350000</v>
      </c>
      <c r="AE94" s="76" t="e">
        <f t="shared" si="28"/>
        <v>#REF!</v>
      </c>
      <c r="AF94" s="8" t="e">
        <f t="shared" si="29"/>
        <v>#REF!</v>
      </c>
      <c r="AH94" s="7" t="e">
        <f t="shared" si="34"/>
        <v>#REF!</v>
      </c>
      <c r="AI94" s="79" t="e">
        <f t="shared" si="40"/>
        <v>#REF!</v>
      </c>
      <c r="AJ94" s="79" t="e">
        <f t="shared" si="43"/>
        <v>#REF!</v>
      </c>
      <c r="AK94" s="75" t="e">
        <f>PMT(#REF!,#REF!,-#REF!,0,0)</f>
        <v>#REF!</v>
      </c>
      <c r="AL94" s="75"/>
      <c r="AM94" s="7" t="e">
        <f>AJ94*(#REF!/12)</f>
        <v>#REF!</v>
      </c>
      <c r="AN94" s="7" t="e">
        <f t="shared" si="41"/>
        <v>#REF!</v>
      </c>
      <c r="AO94" s="75" t="e">
        <f t="shared" si="30"/>
        <v>#REF!</v>
      </c>
      <c r="AP94" s="75" t="e">
        <f t="shared" si="42"/>
        <v>#REF!</v>
      </c>
      <c r="AQ94" s="7" t="e">
        <f t="shared" si="35"/>
        <v>#REF!</v>
      </c>
      <c r="AR94" s="41"/>
    </row>
    <row r="95" spans="10:44" x14ac:dyDescent="0.25">
      <c r="J95" s="5">
        <f t="shared" si="31"/>
        <v>35</v>
      </c>
      <c r="K95" s="5">
        <f t="shared" si="44"/>
        <v>2033</v>
      </c>
      <c r="L95" s="34" t="s">
        <v>49</v>
      </c>
      <c r="M95" s="70">
        <f t="shared" si="36"/>
        <v>492.48514792968763</v>
      </c>
      <c r="N95" s="70">
        <f t="shared" si="27"/>
        <v>492.48514792968763</v>
      </c>
      <c r="O95" s="71"/>
      <c r="P95" s="86">
        <v>4</v>
      </c>
      <c r="Q95" s="44">
        <v>4</v>
      </c>
      <c r="R95" s="88">
        <f t="shared" si="37"/>
        <v>1</v>
      </c>
      <c r="S95" s="6">
        <v>0</v>
      </c>
      <c r="T95" s="8">
        <f t="shared" si="32"/>
        <v>1969.9405917187505</v>
      </c>
      <c r="U95" s="8" t="e">
        <f>#REF!</f>
        <v>#REF!</v>
      </c>
      <c r="V95" s="8"/>
      <c r="W95" s="8" t="e">
        <f t="shared" si="33"/>
        <v>#REF!</v>
      </c>
      <c r="X95" s="27"/>
      <c r="Y95" s="26" t="e">
        <f t="shared" si="38"/>
        <v>#REF!</v>
      </c>
      <c r="Z95" s="95"/>
      <c r="AA95" s="95"/>
      <c r="AB95" s="8">
        <f>'Business_172 PH Rd Budget'!$C$25</f>
        <v>2155.2899999999995</v>
      </c>
      <c r="AC95" s="8" t="e">
        <f t="shared" si="39"/>
        <v>#REF!</v>
      </c>
      <c r="AD95" s="8">
        <v>350000</v>
      </c>
      <c r="AE95" s="76" t="e">
        <f t="shared" si="28"/>
        <v>#REF!</v>
      </c>
      <c r="AF95" s="8" t="e">
        <f t="shared" si="29"/>
        <v>#REF!</v>
      </c>
      <c r="AH95" s="7" t="e">
        <f t="shared" si="34"/>
        <v>#REF!</v>
      </c>
      <c r="AI95" s="79" t="e">
        <f t="shared" si="40"/>
        <v>#REF!</v>
      </c>
      <c r="AJ95" s="79" t="e">
        <f t="shared" si="43"/>
        <v>#REF!</v>
      </c>
      <c r="AK95" s="75" t="e">
        <f>PMT(#REF!,#REF!,-#REF!,0,0)</f>
        <v>#REF!</v>
      </c>
      <c r="AL95" s="75"/>
      <c r="AM95" s="7" t="e">
        <f>AJ95*(#REF!/12)</f>
        <v>#REF!</v>
      </c>
      <c r="AN95" s="7" t="e">
        <f t="shared" si="41"/>
        <v>#REF!</v>
      </c>
      <c r="AO95" s="75" t="e">
        <f t="shared" si="30"/>
        <v>#REF!</v>
      </c>
      <c r="AP95" s="75" t="e">
        <f t="shared" si="42"/>
        <v>#REF!</v>
      </c>
      <c r="AQ95" s="7" t="e">
        <f t="shared" si="35"/>
        <v>#REF!</v>
      </c>
      <c r="AR95" s="41"/>
    </row>
    <row r="96" spans="10:44" x14ac:dyDescent="0.25">
      <c r="J96" s="5">
        <f t="shared" si="31"/>
        <v>35</v>
      </c>
      <c r="K96" s="5">
        <f t="shared" si="44"/>
        <v>2033</v>
      </c>
      <c r="L96" s="34" t="s">
        <v>51</v>
      </c>
      <c r="M96" s="70">
        <f t="shared" si="36"/>
        <v>492.48514792968763</v>
      </c>
      <c r="N96" s="70">
        <f t="shared" si="27"/>
        <v>492.48514792968763</v>
      </c>
      <c r="O96" s="71"/>
      <c r="P96" s="86">
        <v>5</v>
      </c>
      <c r="Q96" s="44">
        <v>4</v>
      </c>
      <c r="R96" s="88">
        <f t="shared" si="37"/>
        <v>0.8</v>
      </c>
      <c r="S96" s="6">
        <v>0</v>
      </c>
      <c r="T96" s="8">
        <f t="shared" si="32"/>
        <v>1969.9405917187505</v>
      </c>
      <c r="U96" s="8" t="e">
        <f>#REF!</f>
        <v>#REF!</v>
      </c>
      <c r="V96" s="8"/>
      <c r="W96" s="8" t="e">
        <f t="shared" si="33"/>
        <v>#REF!</v>
      </c>
      <c r="X96" s="27"/>
      <c r="Y96" s="26" t="e">
        <f t="shared" si="38"/>
        <v>#REF!</v>
      </c>
      <c r="Z96" s="95"/>
      <c r="AA96" s="95"/>
      <c r="AB96" s="8">
        <f>'Business_172 PH Rd Budget'!$C$25</f>
        <v>2155.2899999999995</v>
      </c>
      <c r="AC96" s="8" t="e">
        <f t="shared" si="39"/>
        <v>#REF!</v>
      </c>
      <c r="AD96" s="8">
        <v>350000</v>
      </c>
      <c r="AE96" s="76" t="e">
        <f t="shared" si="28"/>
        <v>#REF!</v>
      </c>
      <c r="AF96" s="8" t="e">
        <f t="shared" si="29"/>
        <v>#REF!</v>
      </c>
      <c r="AH96" s="7" t="e">
        <f t="shared" si="34"/>
        <v>#REF!</v>
      </c>
      <c r="AI96" s="79" t="e">
        <f t="shared" si="40"/>
        <v>#REF!</v>
      </c>
      <c r="AJ96" s="79" t="e">
        <f t="shared" si="43"/>
        <v>#REF!</v>
      </c>
      <c r="AK96" s="75" t="e">
        <f>PMT(#REF!,#REF!,-#REF!,0,0)</f>
        <v>#REF!</v>
      </c>
      <c r="AL96" s="75"/>
      <c r="AM96" s="7" t="e">
        <f>AJ96*(#REF!/12)</f>
        <v>#REF!</v>
      </c>
      <c r="AN96" s="7" t="e">
        <f t="shared" si="41"/>
        <v>#REF!</v>
      </c>
      <c r="AO96" s="75" t="e">
        <f t="shared" si="30"/>
        <v>#REF!</v>
      </c>
      <c r="AP96" s="75" t="e">
        <f t="shared" si="42"/>
        <v>#REF!</v>
      </c>
      <c r="AQ96" s="7" t="e">
        <f t="shared" si="35"/>
        <v>#REF!</v>
      </c>
      <c r="AR96" s="41"/>
    </row>
    <row r="97" spans="10:44" x14ac:dyDescent="0.25">
      <c r="J97" s="5">
        <f t="shared" si="31"/>
        <v>35</v>
      </c>
      <c r="K97" s="5">
        <f t="shared" si="44"/>
        <v>2033</v>
      </c>
      <c r="L97" s="34" t="s">
        <v>53</v>
      </c>
      <c r="M97" s="70">
        <f t="shared" si="36"/>
        <v>492.48514792968763</v>
      </c>
      <c r="N97" s="70">
        <f t="shared" si="27"/>
        <v>443.23663313671886</v>
      </c>
      <c r="O97" s="71"/>
      <c r="P97" s="87"/>
      <c r="Q97" s="68">
        <v>0</v>
      </c>
      <c r="R97" s="88" t="str">
        <f t="shared" si="37"/>
        <v/>
      </c>
      <c r="S97" s="69">
        <v>0.1</v>
      </c>
      <c r="T97" s="8">
        <f t="shared" si="32"/>
        <v>0</v>
      </c>
      <c r="U97" s="8" t="e">
        <f>#REF!</f>
        <v>#REF!</v>
      </c>
      <c r="V97" s="8"/>
      <c r="W97" s="8" t="e">
        <f t="shared" si="33"/>
        <v>#REF!</v>
      </c>
      <c r="X97" s="27"/>
      <c r="Y97" s="26" t="e">
        <f t="shared" si="38"/>
        <v>#REF!</v>
      </c>
      <c r="Z97" s="95"/>
      <c r="AA97" s="95"/>
      <c r="AB97" s="8">
        <f>'Business_172 PH Rd Budget'!$C$25</f>
        <v>2155.2899999999995</v>
      </c>
      <c r="AC97" s="8" t="e">
        <f t="shared" si="39"/>
        <v>#REF!</v>
      </c>
      <c r="AD97" s="8">
        <v>350000</v>
      </c>
      <c r="AE97" s="76" t="e">
        <f t="shared" si="28"/>
        <v>#REF!</v>
      </c>
      <c r="AF97" s="8" t="e">
        <f t="shared" si="29"/>
        <v>#REF!</v>
      </c>
      <c r="AH97" s="7" t="e">
        <f t="shared" si="34"/>
        <v>#REF!</v>
      </c>
      <c r="AI97" s="79" t="e">
        <f t="shared" si="40"/>
        <v>#REF!</v>
      </c>
      <c r="AJ97" s="79" t="e">
        <f t="shared" si="43"/>
        <v>#REF!</v>
      </c>
      <c r="AK97" s="75" t="e">
        <f>PMT(#REF!,#REF!,-#REF!,0,0)</f>
        <v>#REF!</v>
      </c>
      <c r="AL97" s="75"/>
      <c r="AM97" s="7" t="e">
        <f>AJ97*(#REF!/12)</f>
        <v>#REF!</v>
      </c>
      <c r="AN97" s="7" t="e">
        <f t="shared" si="41"/>
        <v>#REF!</v>
      </c>
      <c r="AO97" s="75" t="e">
        <f t="shared" si="30"/>
        <v>#REF!</v>
      </c>
      <c r="AP97" s="75" t="e">
        <f t="shared" si="42"/>
        <v>#REF!</v>
      </c>
      <c r="AQ97" s="7" t="e">
        <f t="shared" si="35"/>
        <v>#REF!</v>
      </c>
      <c r="AR97" s="41"/>
    </row>
    <row r="98" spans="10:44" x14ac:dyDescent="0.25">
      <c r="J98" s="5">
        <f t="shared" si="31"/>
        <v>35</v>
      </c>
      <c r="K98" s="5">
        <f t="shared" si="44"/>
        <v>2033</v>
      </c>
      <c r="L98" s="34" t="s">
        <v>55</v>
      </c>
      <c r="M98" s="70">
        <f t="shared" si="36"/>
        <v>492.48514792968763</v>
      </c>
      <c r="N98" s="70">
        <f t="shared" si="27"/>
        <v>393.9881183437501</v>
      </c>
      <c r="O98" s="71"/>
      <c r="P98" s="86"/>
      <c r="Q98" s="51">
        <v>0</v>
      </c>
      <c r="R98" s="88" t="str">
        <f t="shared" si="37"/>
        <v/>
      </c>
      <c r="S98" s="6">
        <v>0.2</v>
      </c>
      <c r="T98" s="8">
        <f t="shared" si="32"/>
        <v>0</v>
      </c>
      <c r="U98" s="8" t="e">
        <f>#REF!</f>
        <v>#REF!</v>
      </c>
      <c r="V98" s="8"/>
      <c r="W98" s="8" t="e">
        <f t="shared" si="33"/>
        <v>#REF!</v>
      </c>
      <c r="X98" s="27"/>
      <c r="Y98" s="26" t="e">
        <f t="shared" si="38"/>
        <v>#REF!</v>
      </c>
      <c r="Z98" s="95"/>
      <c r="AA98" s="95"/>
      <c r="AB98" s="8">
        <f>'Business_172 PH Rd Budget'!$C$25</f>
        <v>2155.2899999999995</v>
      </c>
      <c r="AC98" s="8" t="e">
        <f t="shared" si="39"/>
        <v>#REF!</v>
      </c>
      <c r="AD98" s="8">
        <v>350000</v>
      </c>
      <c r="AE98" s="76" t="e">
        <f t="shared" si="28"/>
        <v>#REF!</v>
      </c>
      <c r="AF98" s="8" t="e">
        <f t="shared" si="29"/>
        <v>#REF!</v>
      </c>
      <c r="AH98" s="7" t="e">
        <f t="shared" si="34"/>
        <v>#REF!</v>
      </c>
      <c r="AI98" s="79" t="e">
        <f t="shared" si="40"/>
        <v>#REF!</v>
      </c>
      <c r="AJ98" s="79" t="e">
        <f t="shared" si="43"/>
        <v>#REF!</v>
      </c>
      <c r="AK98" s="75" t="e">
        <f>PMT(#REF!,#REF!,-#REF!,0,0)</f>
        <v>#REF!</v>
      </c>
      <c r="AL98" s="75"/>
      <c r="AM98" s="7" t="e">
        <f>AJ98*(#REF!/12)</f>
        <v>#REF!</v>
      </c>
      <c r="AN98" s="7" t="e">
        <f t="shared" si="41"/>
        <v>#REF!</v>
      </c>
      <c r="AO98" s="75" t="e">
        <f t="shared" si="30"/>
        <v>#REF!</v>
      </c>
      <c r="AP98" s="75" t="e">
        <f t="shared" si="42"/>
        <v>#REF!</v>
      </c>
      <c r="AQ98" s="7" t="e">
        <f t="shared" si="35"/>
        <v>#REF!</v>
      </c>
      <c r="AR98" s="41"/>
    </row>
    <row r="99" spans="10:44" x14ac:dyDescent="0.25">
      <c r="J99" s="5">
        <f t="shared" si="31"/>
        <v>36</v>
      </c>
      <c r="K99" s="5">
        <f t="shared" si="44"/>
        <v>2034</v>
      </c>
      <c r="L99" s="34" t="s">
        <v>31</v>
      </c>
      <c r="M99" s="70">
        <f t="shared" si="36"/>
        <v>517.10940532617201</v>
      </c>
      <c r="N99" s="70">
        <f t="shared" si="27"/>
        <v>387.83205399462901</v>
      </c>
      <c r="O99" s="71">
        <v>0.05</v>
      </c>
      <c r="P99" s="86"/>
      <c r="Q99" s="51">
        <v>0</v>
      </c>
      <c r="R99" s="88" t="str">
        <f t="shared" si="37"/>
        <v/>
      </c>
      <c r="S99" s="6">
        <v>0.25</v>
      </c>
      <c r="T99" s="8">
        <f t="shared" si="32"/>
        <v>0</v>
      </c>
      <c r="U99" s="8" t="e">
        <f>#REF!</f>
        <v>#REF!</v>
      </c>
      <c r="V99" s="8"/>
      <c r="W99" s="8" t="e">
        <f t="shared" si="33"/>
        <v>#REF!</v>
      </c>
      <c r="X99" s="27"/>
      <c r="Y99" s="26" t="e">
        <f t="shared" si="38"/>
        <v>#REF!</v>
      </c>
      <c r="Z99" s="95"/>
      <c r="AA99" s="95"/>
      <c r="AB99" s="8">
        <f>'Business_172 PH Rd Budget'!$C$25</f>
        <v>2155.2899999999995</v>
      </c>
      <c r="AC99" s="8" t="e">
        <f t="shared" si="39"/>
        <v>#REF!</v>
      </c>
      <c r="AD99" s="8">
        <v>350000</v>
      </c>
      <c r="AE99" s="76" t="e">
        <f t="shared" si="28"/>
        <v>#REF!</v>
      </c>
      <c r="AF99" s="8" t="e">
        <f t="shared" si="29"/>
        <v>#REF!</v>
      </c>
      <c r="AH99" s="7" t="e">
        <f t="shared" si="34"/>
        <v>#REF!</v>
      </c>
      <c r="AI99" s="79" t="e">
        <f t="shared" si="40"/>
        <v>#REF!</v>
      </c>
      <c r="AJ99" s="79" t="e">
        <f t="shared" si="43"/>
        <v>#REF!</v>
      </c>
      <c r="AK99" s="75" t="e">
        <f>PMT(#REF!,#REF!,-#REF!,0,0)</f>
        <v>#REF!</v>
      </c>
      <c r="AL99" s="75"/>
      <c r="AM99" s="7" t="e">
        <f>AJ99*(#REF!/12)</f>
        <v>#REF!</v>
      </c>
      <c r="AN99" s="7" t="e">
        <f t="shared" si="41"/>
        <v>#REF!</v>
      </c>
      <c r="AO99" s="75" t="e">
        <f t="shared" si="30"/>
        <v>#REF!</v>
      </c>
      <c r="AP99" s="75" t="e">
        <f t="shared" si="42"/>
        <v>#REF!</v>
      </c>
      <c r="AQ99" s="7" t="e">
        <f t="shared" si="35"/>
        <v>#REF!</v>
      </c>
      <c r="AR99" s="41"/>
    </row>
    <row r="100" spans="10:44" x14ac:dyDescent="0.25">
      <c r="J100" s="5">
        <f t="shared" si="31"/>
        <v>36</v>
      </c>
      <c r="K100" s="5">
        <f t="shared" si="44"/>
        <v>2034</v>
      </c>
      <c r="L100" s="34" t="s">
        <v>33</v>
      </c>
      <c r="M100" s="70">
        <f t="shared" si="36"/>
        <v>517.10940532617201</v>
      </c>
      <c r="N100" s="70">
        <f t="shared" si="27"/>
        <v>387.83205399462901</v>
      </c>
      <c r="O100" s="71"/>
      <c r="P100" s="86"/>
      <c r="Q100" s="51">
        <v>0</v>
      </c>
      <c r="R100" s="88" t="str">
        <f t="shared" si="37"/>
        <v/>
      </c>
      <c r="S100" s="6">
        <v>0.25</v>
      </c>
      <c r="T100" s="8">
        <f t="shared" si="32"/>
        <v>0</v>
      </c>
      <c r="U100" s="8" t="e">
        <f>#REF!</f>
        <v>#REF!</v>
      </c>
      <c r="V100" s="8"/>
      <c r="W100" s="8" t="e">
        <f t="shared" si="33"/>
        <v>#REF!</v>
      </c>
      <c r="X100" s="27"/>
      <c r="Y100" s="26" t="e">
        <f t="shared" si="38"/>
        <v>#REF!</v>
      </c>
      <c r="Z100" s="95"/>
      <c r="AA100" s="95"/>
      <c r="AB100" s="8">
        <f>'Business_172 PH Rd Budget'!$C$25</f>
        <v>2155.2899999999995</v>
      </c>
      <c r="AC100" s="8" t="e">
        <f t="shared" si="39"/>
        <v>#REF!</v>
      </c>
      <c r="AD100" s="8">
        <v>350000</v>
      </c>
      <c r="AE100" s="76" t="e">
        <f t="shared" si="28"/>
        <v>#REF!</v>
      </c>
      <c r="AF100" s="8" t="e">
        <f t="shared" si="29"/>
        <v>#REF!</v>
      </c>
      <c r="AH100" s="7" t="e">
        <f t="shared" si="34"/>
        <v>#REF!</v>
      </c>
      <c r="AI100" s="79" t="e">
        <f t="shared" si="40"/>
        <v>#REF!</v>
      </c>
      <c r="AJ100" s="79" t="e">
        <f t="shared" si="43"/>
        <v>#REF!</v>
      </c>
      <c r="AK100" s="75" t="e">
        <f>PMT(#REF!,#REF!,-#REF!,0,0)</f>
        <v>#REF!</v>
      </c>
      <c r="AL100" s="75"/>
      <c r="AM100" s="7" t="e">
        <f>AJ100*(#REF!/12)</f>
        <v>#REF!</v>
      </c>
      <c r="AN100" s="7" t="e">
        <f t="shared" si="41"/>
        <v>#REF!</v>
      </c>
      <c r="AO100" s="75" t="e">
        <f t="shared" si="30"/>
        <v>#REF!</v>
      </c>
      <c r="AP100" s="75" t="e">
        <f t="shared" si="42"/>
        <v>#REF!</v>
      </c>
      <c r="AQ100" s="7" t="e">
        <f t="shared" si="35"/>
        <v>#REF!</v>
      </c>
      <c r="AR100" s="41"/>
    </row>
    <row r="101" spans="10:44" x14ac:dyDescent="0.25">
      <c r="J101" s="5">
        <f t="shared" si="31"/>
        <v>36</v>
      </c>
      <c r="K101" s="5">
        <f t="shared" si="44"/>
        <v>2034</v>
      </c>
      <c r="L101" s="34" t="s">
        <v>36</v>
      </c>
      <c r="M101" s="70">
        <f t="shared" si="36"/>
        <v>517.10940532617201</v>
      </c>
      <c r="N101" s="70">
        <f t="shared" si="27"/>
        <v>413.68752426093761</v>
      </c>
      <c r="O101" s="71"/>
      <c r="P101" s="86"/>
      <c r="Q101" s="51">
        <v>0</v>
      </c>
      <c r="R101" s="88" t="str">
        <f t="shared" si="37"/>
        <v/>
      </c>
      <c r="S101" s="6">
        <v>0.2</v>
      </c>
      <c r="T101" s="8">
        <f t="shared" si="32"/>
        <v>0</v>
      </c>
      <c r="U101" s="8" t="e">
        <f>#REF!</f>
        <v>#REF!</v>
      </c>
      <c r="V101" s="8"/>
      <c r="W101" s="8" t="e">
        <f t="shared" si="33"/>
        <v>#REF!</v>
      </c>
      <c r="X101" s="27"/>
      <c r="Y101" s="26" t="e">
        <f t="shared" si="38"/>
        <v>#REF!</v>
      </c>
      <c r="Z101" s="95"/>
      <c r="AA101" s="95"/>
      <c r="AB101" s="8">
        <f>'Business_172 PH Rd Budget'!$C$25</f>
        <v>2155.2899999999995</v>
      </c>
      <c r="AC101" s="8" t="e">
        <f t="shared" si="39"/>
        <v>#REF!</v>
      </c>
      <c r="AD101" s="8">
        <v>350000</v>
      </c>
      <c r="AE101" s="76" t="e">
        <f t="shared" si="28"/>
        <v>#REF!</v>
      </c>
      <c r="AF101" s="8" t="e">
        <f t="shared" si="29"/>
        <v>#REF!</v>
      </c>
      <c r="AH101" s="7" t="e">
        <f t="shared" si="34"/>
        <v>#REF!</v>
      </c>
      <c r="AI101" s="79" t="e">
        <f t="shared" si="40"/>
        <v>#REF!</v>
      </c>
      <c r="AJ101" s="79" t="e">
        <f t="shared" si="43"/>
        <v>#REF!</v>
      </c>
      <c r="AK101" s="75" t="e">
        <f>PMT(#REF!,#REF!,-#REF!,0,0)</f>
        <v>#REF!</v>
      </c>
      <c r="AL101" s="75"/>
      <c r="AM101" s="7" t="e">
        <f>AJ101*(#REF!/12)</f>
        <v>#REF!</v>
      </c>
      <c r="AN101" s="7" t="e">
        <f t="shared" si="41"/>
        <v>#REF!</v>
      </c>
      <c r="AO101" s="75" t="e">
        <f t="shared" si="30"/>
        <v>#REF!</v>
      </c>
      <c r="AP101" s="75" t="e">
        <f t="shared" si="42"/>
        <v>#REF!</v>
      </c>
      <c r="AQ101" s="7" t="e">
        <f t="shared" si="35"/>
        <v>#REF!</v>
      </c>
      <c r="AR101" s="41"/>
    </row>
    <row r="102" spans="10:44" x14ac:dyDescent="0.25">
      <c r="J102" s="5">
        <f t="shared" si="31"/>
        <v>36</v>
      </c>
      <c r="K102" s="5">
        <f t="shared" si="44"/>
        <v>2034</v>
      </c>
      <c r="L102" s="34" t="s">
        <v>38</v>
      </c>
      <c r="M102" s="70">
        <f t="shared" si="36"/>
        <v>517.10940532617201</v>
      </c>
      <c r="N102" s="70">
        <f t="shared" si="27"/>
        <v>465.39846479355481</v>
      </c>
      <c r="O102" s="71"/>
      <c r="P102" s="86"/>
      <c r="Q102" s="51">
        <v>0</v>
      </c>
      <c r="R102" s="88" t="str">
        <f t="shared" si="37"/>
        <v/>
      </c>
      <c r="S102" s="6">
        <v>0.1</v>
      </c>
      <c r="T102" s="8">
        <f t="shared" si="32"/>
        <v>0</v>
      </c>
      <c r="U102" s="8" t="e">
        <f>#REF!</f>
        <v>#REF!</v>
      </c>
      <c r="V102" s="8"/>
      <c r="W102" s="8" t="e">
        <f t="shared" si="33"/>
        <v>#REF!</v>
      </c>
      <c r="X102" s="27"/>
      <c r="Y102" s="26" t="e">
        <f t="shared" si="38"/>
        <v>#REF!</v>
      </c>
      <c r="Z102" s="95"/>
      <c r="AA102" s="95"/>
      <c r="AB102" s="8">
        <f>'Business_172 PH Rd Budget'!$C$25</f>
        <v>2155.2899999999995</v>
      </c>
      <c r="AC102" s="8" t="e">
        <f t="shared" si="39"/>
        <v>#REF!</v>
      </c>
      <c r="AD102" s="8">
        <v>350000</v>
      </c>
      <c r="AE102" s="76" t="e">
        <f t="shared" si="28"/>
        <v>#REF!</v>
      </c>
      <c r="AF102" s="8" t="e">
        <f t="shared" si="29"/>
        <v>#REF!</v>
      </c>
      <c r="AH102" s="7" t="e">
        <f t="shared" si="34"/>
        <v>#REF!</v>
      </c>
      <c r="AI102" s="79" t="e">
        <f t="shared" si="40"/>
        <v>#REF!</v>
      </c>
      <c r="AJ102" s="79" t="e">
        <f t="shared" si="43"/>
        <v>#REF!</v>
      </c>
      <c r="AK102" s="75" t="e">
        <f>PMT(#REF!,#REF!,-#REF!,0,0)</f>
        <v>#REF!</v>
      </c>
      <c r="AL102" s="75"/>
      <c r="AM102" s="7" t="e">
        <f>AJ102*(#REF!/12)</f>
        <v>#REF!</v>
      </c>
      <c r="AN102" s="7" t="e">
        <f t="shared" si="41"/>
        <v>#REF!</v>
      </c>
      <c r="AO102" s="75" t="e">
        <f t="shared" si="30"/>
        <v>#REF!</v>
      </c>
      <c r="AP102" s="75" t="e">
        <f t="shared" si="42"/>
        <v>#REF!</v>
      </c>
      <c r="AQ102" s="7" t="e">
        <f t="shared" si="35"/>
        <v>#REF!</v>
      </c>
      <c r="AR102" s="41"/>
    </row>
    <row r="103" spans="10:44" x14ac:dyDescent="0.25">
      <c r="J103" s="5">
        <f t="shared" si="31"/>
        <v>36</v>
      </c>
      <c r="K103" s="5">
        <f t="shared" si="44"/>
        <v>2034</v>
      </c>
      <c r="L103" s="34" t="s">
        <v>40</v>
      </c>
      <c r="M103" s="70">
        <f t="shared" si="36"/>
        <v>517.10940532617201</v>
      </c>
      <c r="N103" s="70">
        <f t="shared" si="27"/>
        <v>517.10940532617201</v>
      </c>
      <c r="O103" s="71"/>
      <c r="P103" s="86">
        <v>4</v>
      </c>
      <c r="Q103" s="51">
        <v>2</v>
      </c>
      <c r="R103" s="88">
        <f t="shared" si="37"/>
        <v>0.5</v>
      </c>
      <c r="S103" s="6">
        <v>0</v>
      </c>
      <c r="T103" s="8">
        <f t="shared" si="32"/>
        <v>1034.218810652344</v>
      </c>
      <c r="U103" s="8" t="e">
        <f>#REF!</f>
        <v>#REF!</v>
      </c>
      <c r="V103" s="8"/>
      <c r="W103" s="8" t="e">
        <f t="shared" si="33"/>
        <v>#REF!</v>
      </c>
      <c r="X103" s="27"/>
      <c r="Y103" s="26" t="e">
        <f t="shared" si="38"/>
        <v>#REF!</v>
      </c>
      <c r="Z103" s="95"/>
      <c r="AA103" s="95"/>
      <c r="AB103" s="8">
        <f>'Business_172 PH Rd Budget'!$C$25</f>
        <v>2155.2899999999995</v>
      </c>
      <c r="AC103" s="8" t="e">
        <f t="shared" si="39"/>
        <v>#REF!</v>
      </c>
      <c r="AD103" s="8">
        <v>350000</v>
      </c>
      <c r="AE103" s="76" t="e">
        <f t="shared" si="28"/>
        <v>#REF!</v>
      </c>
      <c r="AF103" s="8" t="e">
        <f t="shared" si="29"/>
        <v>#REF!</v>
      </c>
      <c r="AH103" s="7" t="e">
        <f t="shared" si="34"/>
        <v>#REF!</v>
      </c>
      <c r="AI103" s="79" t="e">
        <f t="shared" si="40"/>
        <v>#REF!</v>
      </c>
      <c r="AJ103" s="79" t="e">
        <f t="shared" si="43"/>
        <v>#REF!</v>
      </c>
      <c r="AK103" s="75" t="e">
        <f>PMT(#REF!,#REF!,-#REF!,0,0)</f>
        <v>#REF!</v>
      </c>
      <c r="AL103" s="75"/>
      <c r="AM103" s="7" t="e">
        <f>AJ103*(#REF!/12)</f>
        <v>#REF!</v>
      </c>
      <c r="AN103" s="7" t="e">
        <f t="shared" si="41"/>
        <v>#REF!</v>
      </c>
      <c r="AO103" s="75" t="e">
        <f t="shared" si="30"/>
        <v>#REF!</v>
      </c>
      <c r="AP103" s="75" t="e">
        <f t="shared" si="42"/>
        <v>#REF!</v>
      </c>
      <c r="AQ103" s="7" t="e">
        <f t="shared" si="35"/>
        <v>#REF!</v>
      </c>
      <c r="AR103" s="41"/>
    </row>
    <row r="104" spans="10:44" x14ac:dyDescent="0.25">
      <c r="J104" s="5">
        <f t="shared" si="31"/>
        <v>36</v>
      </c>
      <c r="K104" s="5">
        <f t="shared" si="44"/>
        <v>2034</v>
      </c>
      <c r="L104" s="34" t="s">
        <v>42</v>
      </c>
      <c r="M104" s="70">
        <f t="shared" si="36"/>
        <v>517.10940532617201</v>
      </c>
      <c r="N104" s="70">
        <f t="shared" si="27"/>
        <v>517.10940532617201</v>
      </c>
      <c r="O104" s="71"/>
      <c r="P104" s="86">
        <v>4</v>
      </c>
      <c r="Q104" s="51">
        <v>4</v>
      </c>
      <c r="R104" s="88">
        <f t="shared" si="37"/>
        <v>1</v>
      </c>
      <c r="S104" s="6">
        <v>0</v>
      </c>
      <c r="T104" s="8">
        <f t="shared" si="32"/>
        <v>2068.437621304688</v>
      </c>
      <c r="U104" s="8" t="e">
        <f>#REF!</f>
        <v>#REF!</v>
      </c>
      <c r="V104" s="8"/>
      <c r="W104" s="8" t="e">
        <f t="shared" si="33"/>
        <v>#REF!</v>
      </c>
      <c r="X104" s="27"/>
      <c r="Y104" s="26" t="e">
        <f t="shared" si="38"/>
        <v>#REF!</v>
      </c>
      <c r="Z104" s="95"/>
      <c r="AA104" s="95"/>
      <c r="AB104" s="8">
        <f>'Business_172 PH Rd Budget'!$C$25</f>
        <v>2155.2899999999995</v>
      </c>
      <c r="AC104" s="8" t="e">
        <f t="shared" si="39"/>
        <v>#REF!</v>
      </c>
      <c r="AD104" s="8">
        <v>350000</v>
      </c>
      <c r="AE104" s="76" t="e">
        <f t="shared" si="28"/>
        <v>#REF!</v>
      </c>
      <c r="AF104" s="8" t="e">
        <f t="shared" si="29"/>
        <v>#REF!</v>
      </c>
      <c r="AH104" s="7" t="e">
        <f t="shared" si="34"/>
        <v>#REF!</v>
      </c>
      <c r="AI104" s="79" t="e">
        <f t="shared" si="40"/>
        <v>#REF!</v>
      </c>
      <c r="AJ104" s="79" t="e">
        <f t="shared" si="43"/>
        <v>#REF!</v>
      </c>
      <c r="AK104" s="75" t="e">
        <f>PMT(#REF!,#REF!,-#REF!,0,0)</f>
        <v>#REF!</v>
      </c>
      <c r="AL104" s="75"/>
      <c r="AM104" s="7" t="e">
        <f>AJ104*(#REF!/12)</f>
        <v>#REF!</v>
      </c>
      <c r="AN104" s="7" t="e">
        <f t="shared" si="41"/>
        <v>#REF!</v>
      </c>
      <c r="AO104" s="75" t="e">
        <f t="shared" si="30"/>
        <v>#REF!</v>
      </c>
      <c r="AP104" s="75" t="e">
        <f t="shared" si="42"/>
        <v>#REF!</v>
      </c>
      <c r="AQ104" s="7" t="e">
        <f t="shared" si="35"/>
        <v>#REF!</v>
      </c>
      <c r="AR104" s="41"/>
    </row>
    <row r="105" spans="10:44" x14ac:dyDescent="0.25">
      <c r="J105" s="5">
        <f t="shared" si="31"/>
        <v>36</v>
      </c>
      <c r="K105" s="5">
        <f t="shared" si="44"/>
        <v>2034</v>
      </c>
      <c r="L105" s="34" t="s">
        <v>44</v>
      </c>
      <c r="M105" s="70">
        <f t="shared" si="36"/>
        <v>517.10940532617201</v>
      </c>
      <c r="N105" s="70">
        <f t="shared" si="27"/>
        <v>517.10940532617201</v>
      </c>
      <c r="O105" s="71"/>
      <c r="P105" s="86">
        <v>5</v>
      </c>
      <c r="Q105" s="51">
        <v>4</v>
      </c>
      <c r="R105" s="88">
        <f t="shared" si="37"/>
        <v>0.8</v>
      </c>
      <c r="S105" s="6">
        <v>0</v>
      </c>
      <c r="T105" s="8">
        <f t="shared" si="32"/>
        <v>2068.437621304688</v>
      </c>
      <c r="U105" s="8" t="e">
        <f>#REF!</f>
        <v>#REF!</v>
      </c>
      <c r="V105" s="8"/>
      <c r="W105" s="8" t="e">
        <f t="shared" si="33"/>
        <v>#REF!</v>
      </c>
      <c r="X105" s="27"/>
      <c r="Y105" s="26" t="e">
        <f t="shared" si="38"/>
        <v>#REF!</v>
      </c>
      <c r="Z105" s="95"/>
      <c r="AA105" s="95"/>
      <c r="AB105" s="8">
        <f>'Business_172 PH Rd Budget'!$C$25</f>
        <v>2155.2899999999995</v>
      </c>
      <c r="AC105" s="8" t="e">
        <f t="shared" si="39"/>
        <v>#REF!</v>
      </c>
      <c r="AD105" s="8">
        <v>350000</v>
      </c>
      <c r="AE105" s="76" t="e">
        <f t="shared" si="28"/>
        <v>#REF!</v>
      </c>
      <c r="AF105" s="8" t="e">
        <f t="shared" si="29"/>
        <v>#REF!</v>
      </c>
      <c r="AH105" s="7" t="e">
        <f t="shared" si="34"/>
        <v>#REF!</v>
      </c>
      <c r="AI105" s="79" t="e">
        <f t="shared" si="40"/>
        <v>#REF!</v>
      </c>
      <c r="AJ105" s="79" t="e">
        <f t="shared" si="43"/>
        <v>#REF!</v>
      </c>
      <c r="AK105" s="75" t="e">
        <f>PMT(#REF!,#REF!,-#REF!,0,0)</f>
        <v>#REF!</v>
      </c>
      <c r="AL105" s="75"/>
      <c r="AM105" s="7" t="e">
        <f>AJ105*(#REF!/12)</f>
        <v>#REF!</v>
      </c>
      <c r="AN105" s="7" t="e">
        <f t="shared" si="41"/>
        <v>#REF!</v>
      </c>
      <c r="AO105" s="75" t="e">
        <f t="shared" si="30"/>
        <v>#REF!</v>
      </c>
      <c r="AP105" s="75" t="e">
        <f t="shared" si="42"/>
        <v>#REF!</v>
      </c>
      <c r="AQ105" s="7" t="e">
        <f t="shared" si="35"/>
        <v>#REF!</v>
      </c>
      <c r="AR105" s="41"/>
    </row>
    <row r="106" spans="10:44" x14ac:dyDescent="0.25">
      <c r="J106" s="5">
        <f t="shared" si="31"/>
        <v>36</v>
      </c>
      <c r="K106" s="5">
        <f t="shared" si="44"/>
        <v>2034</v>
      </c>
      <c r="L106" s="34" t="s">
        <v>47</v>
      </c>
      <c r="M106" s="70">
        <f t="shared" si="36"/>
        <v>517.10940532617201</v>
      </c>
      <c r="N106" s="70">
        <f t="shared" si="27"/>
        <v>517.10940532617201</v>
      </c>
      <c r="O106" s="71"/>
      <c r="P106" s="86">
        <v>4</v>
      </c>
      <c r="Q106" s="51">
        <v>4</v>
      </c>
      <c r="R106" s="88">
        <f t="shared" si="37"/>
        <v>1</v>
      </c>
      <c r="S106" s="6">
        <v>0</v>
      </c>
      <c r="T106" s="8">
        <f t="shared" si="32"/>
        <v>2068.437621304688</v>
      </c>
      <c r="U106" s="8" t="e">
        <f>#REF!</f>
        <v>#REF!</v>
      </c>
      <c r="V106" s="8"/>
      <c r="W106" s="8" t="e">
        <f t="shared" si="33"/>
        <v>#REF!</v>
      </c>
      <c r="X106" s="27"/>
      <c r="Y106" s="26" t="e">
        <f t="shared" si="38"/>
        <v>#REF!</v>
      </c>
      <c r="Z106" s="95"/>
      <c r="AA106" s="95"/>
      <c r="AB106" s="8">
        <f>'Business_172 PH Rd Budget'!$C$25</f>
        <v>2155.2899999999995</v>
      </c>
      <c r="AC106" s="8" t="e">
        <f t="shared" si="39"/>
        <v>#REF!</v>
      </c>
      <c r="AD106" s="8">
        <v>350000</v>
      </c>
      <c r="AE106" s="76" t="e">
        <f t="shared" si="28"/>
        <v>#REF!</v>
      </c>
      <c r="AF106" s="8" t="e">
        <f t="shared" si="29"/>
        <v>#REF!</v>
      </c>
      <c r="AH106" s="7" t="e">
        <f t="shared" si="34"/>
        <v>#REF!</v>
      </c>
      <c r="AI106" s="79" t="e">
        <f t="shared" si="40"/>
        <v>#REF!</v>
      </c>
      <c r="AJ106" s="79" t="e">
        <f t="shared" si="43"/>
        <v>#REF!</v>
      </c>
      <c r="AK106" s="75" t="e">
        <f>PMT(#REF!,#REF!,-#REF!,0,0)</f>
        <v>#REF!</v>
      </c>
      <c r="AL106" s="75"/>
      <c r="AM106" s="7" t="e">
        <f>AJ106*(#REF!/12)</f>
        <v>#REF!</v>
      </c>
      <c r="AN106" s="7" t="e">
        <f t="shared" si="41"/>
        <v>#REF!</v>
      </c>
      <c r="AO106" s="75" t="e">
        <f t="shared" si="30"/>
        <v>#REF!</v>
      </c>
      <c r="AP106" s="75" t="e">
        <f t="shared" si="42"/>
        <v>#REF!</v>
      </c>
      <c r="AQ106" s="7" t="e">
        <f t="shared" si="35"/>
        <v>#REF!</v>
      </c>
      <c r="AR106" s="41"/>
    </row>
    <row r="107" spans="10:44" x14ac:dyDescent="0.25">
      <c r="J107" s="5">
        <f t="shared" si="31"/>
        <v>36</v>
      </c>
      <c r="K107" s="5">
        <f t="shared" si="44"/>
        <v>2034</v>
      </c>
      <c r="L107" s="34" t="s">
        <v>49</v>
      </c>
      <c r="M107" s="70">
        <f t="shared" si="36"/>
        <v>517.10940532617201</v>
      </c>
      <c r="N107" s="70">
        <f t="shared" si="27"/>
        <v>517.10940532617201</v>
      </c>
      <c r="O107" s="71"/>
      <c r="P107" s="86">
        <v>5</v>
      </c>
      <c r="Q107" s="44">
        <v>4</v>
      </c>
      <c r="R107" s="88">
        <f t="shared" si="37"/>
        <v>0.8</v>
      </c>
      <c r="S107" s="6">
        <v>0</v>
      </c>
      <c r="T107" s="8">
        <f t="shared" si="32"/>
        <v>2068.437621304688</v>
      </c>
      <c r="U107" s="8" t="e">
        <f>#REF!</f>
        <v>#REF!</v>
      </c>
      <c r="V107" s="8"/>
      <c r="W107" s="8" t="e">
        <f t="shared" si="33"/>
        <v>#REF!</v>
      </c>
      <c r="X107" s="27"/>
      <c r="Y107" s="26" t="e">
        <f t="shared" si="38"/>
        <v>#REF!</v>
      </c>
      <c r="Z107" s="95"/>
      <c r="AA107" s="95"/>
      <c r="AB107" s="8">
        <f>'Business_172 PH Rd Budget'!$C$25</f>
        <v>2155.2899999999995</v>
      </c>
      <c r="AC107" s="8" t="e">
        <f t="shared" si="39"/>
        <v>#REF!</v>
      </c>
      <c r="AD107" s="8">
        <v>350000</v>
      </c>
      <c r="AE107" s="76" t="e">
        <f t="shared" si="28"/>
        <v>#REF!</v>
      </c>
      <c r="AF107" s="8" t="e">
        <f t="shared" si="29"/>
        <v>#REF!</v>
      </c>
      <c r="AH107" s="7" t="e">
        <f t="shared" si="34"/>
        <v>#REF!</v>
      </c>
      <c r="AI107" s="79" t="e">
        <f t="shared" si="40"/>
        <v>#REF!</v>
      </c>
      <c r="AJ107" s="79" t="e">
        <f t="shared" si="43"/>
        <v>#REF!</v>
      </c>
      <c r="AK107" s="75" t="e">
        <f>PMT(#REF!,#REF!,-#REF!,0,0)</f>
        <v>#REF!</v>
      </c>
      <c r="AL107" s="75"/>
      <c r="AM107" s="7" t="e">
        <f>AJ107*(#REF!/12)</f>
        <v>#REF!</v>
      </c>
      <c r="AN107" s="7" t="e">
        <f t="shared" si="41"/>
        <v>#REF!</v>
      </c>
      <c r="AO107" s="75" t="e">
        <f t="shared" si="30"/>
        <v>#REF!</v>
      </c>
      <c r="AP107" s="75" t="e">
        <f t="shared" si="42"/>
        <v>#REF!</v>
      </c>
      <c r="AQ107" s="7" t="e">
        <f t="shared" si="35"/>
        <v>#REF!</v>
      </c>
      <c r="AR107" s="41"/>
    </row>
    <row r="108" spans="10:44" x14ac:dyDescent="0.25">
      <c r="J108" s="5">
        <f t="shared" si="31"/>
        <v>36</v>
      </c>
      <c r="K108" s="5">
        <f t="shared" si="44"/>
        <v>2034</v>
      </c>
      <c r="L108" s="34" t="s">
        <v>51</v>
      </c>
      <c r="M108" s="70">
        <f t="shared" si="36"/>
        <v>517.10940532617201</v>
      </c>
      <c r="N108" s="70">
        <f t="shared" si="27"/>
        <v>517.10940532617201</v>
      </c>
      <c r="O108" s="71"/>
      <c r="P108" s="86">
        <v>4</v>
      </c>
      <c r="Q108" s="44">
        <v>4</v>
      </c>
      <c r="R108" s="88">
        <f t="shared" si="37"/>
        <v>1</v>
      </c>
      <c r="S108" s="6">
        <v>0</v>
      </c>
      <c r="T108" s="8">
        <f t="shared" si="32"/>
        <v>2068.437621304688</v>
      </c>
      <c r="U108" s="8" t="e">
        <f>#REF!</f>
        <v>#REF!</v>
      </c>
      <c r="V108" s="8"/>
      <c r="W108" s="8" t="e">
        <f t="shared" si="33"/>
        <v>#REF!</v>
      </c>
      <c r="X108" s="27"/>
      <c r="Y108" s="26" t="e">
        <f t="shared" si="38"/>
        <v>#REF!</v>
      </c>
      <c r="Z108" s="95"/>
      <c r="AA108" s="95"/>
      <c r="AB108" s="8">
        <f>'Business_172 PH Rd Budget'!$C$25</f>
        <v>2155.2899999999995</v>
      </c>
      <c r="AC108" s="8" t="e">
        <f t="shared" si="39"/>
        <v>#REF!</v>
      </c>
      <c r="AD108" s="8">
        <v>350000</v>
      </c>
      <c r="AE108" s="76" t="e">
        <f t="shared" si="28"/>
        <v>#REF!</v>
      </c>
      <c r="AF108" s="8" t="e">
        <f t="shared" si="29"/>
        <v>#REF!</v>
      </c>
      <c r="AH108" s="7" t="e">
        <f t="shared" si="34"/>
        <v>#REF!</v>
      </c>
      <c r="AI108" s="79" t="e">
        <f t="shared" si="40"/>
        <v>#REF!</v>
      </c>
      <c r="AJ108" s="79" t="e">
        <f t="shared" si="43"/>
        <v>#REF!</v>
      </c>
      <c r="AK108" s="75" t="e">
        <f>PMT(#REF!,#REF!,-#REF!,0,0)</f>
        <v>#REF!</v>
      </c>
      <c r="AL108" s="75"/>
      <c r="AM108" s="7" t="e">
        <f>AJ108*(#REF!/12)</f>
        <v>#REF!</v>
      </c>
      <c r="AN108" s="7" t="e">
        <f t="shared" si="41"/>
        <v>#REF!</v>
      </c>
      <c r="AO108" s="75" t="e">
        <f t="shared" si="30"/>
        <v>#REF!</v>
      </c>
      <c r="AP108" s="75" t="e">
        <f t="shared" si="42"/>
        <v>#REF!</v>
      </c>
      <c r="AQ108" s="7" t="e">
        <f t="shared" si="35"/>
        <v>#REF!</v>
      </c>
      <c r="AR108" s="41"/>
    </row>
    <row r="109" spans="10:44" x14ac:dyDescent="0.25">
      <c r="J109" s="5">
        <f t="shared" si="31"/>
        <v>36</v>
      </c>
      <c r="K109" s="5">
        <f t="shared" si="44"/>
        <v>2034</v>
      </c>
      <c r="L109" s="34" t="s">
        <v>53</v>
      </c>
      <c r="M109" s="70">
        <f t="shared" si="36"/>
        <v>517.10940532617201</v>
      </c>
      <c r="N109" s="70">
        <f t="shared" si="27"/>
        <v>465.39846479355481</v>
      </c>
      <c r="O109" s="71"/>
      <c r="P109" s="87"/>
      <c r="Q109" s="68">
        <v>0</v>
      </c>
      <c r="R109" s="88" t="str">
        <f t="shared" si="37"/>
        <v/>
      </c>
      <c r="S109" s="69">
        <v>0.1</v>
      </c>
      <c r="T109" s="8">
        <f t="shared" si="32"/>
        <v>0</v>
      </c>
      <c r="U109" s="8" t="e">
        <f>#REF!</f>
        <v>#REF!</v>
      </c>
      <c r="V109" s="8"/>
      <c r="W109" s="8" t="e">
        <f t="shared" si="33"/>
        <v>#REF!</v>
      </c>
      <c r="X109" s="27"/>
      <c r="Y109" s="26" t="e">
        <f t="shared" si="38"/>
        <v>#REF!</v>
      </c>
      <c r="Z109" s="95"/>
      <c r="AA109" s="95"/>
      <c r="AB109" s="8">
        <f>'Business_172 PH Rd Budget'!$C$25</f>
        <v>2155.2899999999995</v>
      </c>
      <c r="AC109" s="8" t="e">
        <f t="shared" si="39"/>
        <v>#REF!</v>
      </c>
      <c r="AD109" s="8">
        <v>350000</v>
      </c>
      <c r="AE109" s="76" t="e">
        <f t="shared" si="28"/>
        <v>#REF!</v>
      </c>
      <c r="AF109" s="8" t="e">
        <f t="shared" si="29"/>
        <v>#REF!</v>
      </c>
      <c r="AH109" s="7" t="e">
        <f t="shared" si="34"/>
        <v>#REF!</v>
      </c>
      <c r="AI109" s="79" t="e">
        <f t="shared" si="40"/>
        <v>#REF!</v>
      </c>
      <c r="AJ109" s="79" t="e">
        <f t="shared" si="43"/>
        <v>#REF!</v>
      </c>
      <c r="AK109" s="75" t="e">
        <f>PMT(#REF!,#REF!,-#REF!,0,0)</f>
        <v>#REF!</v>
      </c>
      <c r="AL109" s="75"/>
      <c r="AM109" s="7" t="e">
        <f>AJ109*(#REF!/12)</f>
        <v>#REF!</v>
      </c>
      <c r="AN109" s="7" t="e">
        <f t="shared" si="41"/>
        <v>#REF!</v>
      </c>
      <c r="AO109" s="75" t="e">
        <f t="shared" si="30"/>
        <v>#REF!</v>
      </c>
      <c r="AP109" s="75" t="e">
        <f t="shared" si="42"/>
        <v>#REF!</v>
      </c>
      <c r="AQ109" s="7" t="e">
        <f t="shared" si="35"/>
        <v>#REF!</v>
      </c>
      <c r="AR109" s="41"/>
    </row>
    <row r="110" spans="10:44" x14ac:dyDescent="0.25">
      <c r="J110" s="5">
        <f t="shared" si="31"/>
        <v>36</v>
      </c>
      <c r="K110" s="5">
        <f t="shared" si="44"/>
        <v>2034</v>
      </c>
      <c r="L110" s="34" t="s">
        <v>55</v>
      </c>
      <c r="M110" s="70">
        <f t="shared" si="36"/>
        <v>517.10940532617201</v>
      </c>
      <c r="N110" s="70">
        <f t="shared" si="27"/>
        <v>413.68752426093761</v>
      </c>
      <c r="O110" s="71"/>
      <c r="P110" s="86"/>
      <c r="Q110" s="51">
        <v>0</v>
      </c>
      <c r="R110" s="88" t="str">
        <f t="shared" si="37"/>
        <v/>
      </c>
      <c r="S110" s="6">
        <v>0.2</v>
      </c>
      <c r="T110" s="8">
        <f t="shared" si="32"/>
        <v>0</v>
      </c>
      <c r="U110" s="8" t="e">
        <f>#REF!</f>
        <v>#REF!</v>
      </c>
      <c r="V110" s="8"/>
      <c r="W110" s="8" t="e">
        <f t="shared" si="33"/>
        <v>#REF!</v>
      </c>
      <c r="X110" s="27"/>
      <c r="Y110" s="26" t="e">
        <f t="shared" si="38"/>
        <v>#REF!</v>
      </c>
      <c r="Z110" s="95"/>
      <c r="AA110" s="95"/>
      <c r="AB110" s="8">
        <f>'Business_172 PH Rd Budget'!$C$25</f>
        <v>2155.2899999999995</v>
      </c>
      <c r="AC110" s="8" t="e">
        <f t="shared" si="39"/>
        <v>#REF!</v>
      </c>
      <c r="AD110" s="8">
        <v>350000</v>
      </c>
      <c r="AE110" s="76" t="e">
        <f t="shared" si="28"/>
        <v>#REF!</v>
      </c>
      <c r="AF110" s="8" t="e">
        <f t="shared" si="29"/>
        <v>#REF!</v>
      </c>
      <c r="AH110" s="7" t="e">
        <f t="shared" si="34"/>
        <v>#REF!</v>
      </c>
      <c r="AI110" s="79" t="e">
        <f t="shared" si="40"/>
        <v>#REF!</v>
      </c>
      <c r="AJ110" s="79" t="e">
        <f t="shared" si="43"/>
        <v>#REF!</v>
      </c>
      <c r="AK110" s="75" t="e">
        <f>PMT(#REF!,#REF!,-#REF!,0,0)</f>
        <v>#REF!</v>
      </c>
      <c r="AL110" s="75"/>
      <c r="AM110" s="7" t="e">
        <f>AJ110*(#REF!/12)</f>
        <v>#REF!</v>
      </c>
      <c r="AN110" s="7" t="e">
        <f t="shared" si="41"/>
        <v>#REF!</v>
      </c>
      <c r="AO110" s="75" t="e">
        <f t="shared" si="30"/>
        <v>#REF!</v>
      </c>
      <c r="AP110" s="75" t="e">
        <f t="shared" si="42"/>
        <v>#REF!</v>
      </c>
      <c r="AQ110" s="7" t="e">
        <f t="shared" si="35"/>
        <v>#REF!</v>
      </c>
      <c r="AR110" s="41"/>
    </row>
    <row r="111" spans="10:44" x14ac:dyDescent="0.25">
      <c r="J111" s="5">
        <f t="shared" si="31"/>
        <v>37</v>
      </c>
      <c r="K111" s="5">
        <f t="shared" si="44"/>
        <v>2035</v>
      </c>
      <c r="L111" s="34" t="s">
        <v>31</v>
      </c>
      <c r="M111" s="70">
        <f t="shared" si="36"/>
        <v>542.96487559248067</v>
      </c>
      <c r="N111" s="70">
        <f t="shared" si="27"/>
        <v>407.2236566943605</v>
      </c>
      <c r="O111" s="71">
        <v>0.05</v>
      </c>
      <c r="P111" s="86"/>
      <c r="Q111" s="51">
        <v>0</v>
      </c>
      <c r="R111" s="88" t="str">
        <f t="shared" si="37"/>
        <v/>
      </c>
      <c r="S111" s="6">
        <v>0.25</v>
      </c>
      <c r="T111" s="8">
        <f t="shared" si="32"/>
        <v>0</v>
      </c>
      <c r="U111" s="8" t="e">
        <f>#REF!</f>
        <v>#REF!</v>
      </c>
      <c r="V111" s="8"/>
      <c r="W111" s="8" t="e">
        <f t="shared" si="33"/>
        <v>#REF!</v>
      </c>
      <c r="X111" s="27"/>
      <c r="Y111" s="26" t="e">
        <f t="shared" si="38"/>
        <v>#REF!</v>
      </c>
      <c r="Z111" s="95"/>
      <c r="AA111" s="95"/>
      <c r="AB111" s="8">
        <f>'Business_172 PH Rd Budget'!$C$25</f>
        <v>2155.2899999999995</v>
      </c>
      <c r="AC111" s="8" t="e">
        <f t="shared" si="39"/>
        <v>#REF!</v>
      </c>
      <c r="AD111" s="8">
        <v>350000</v>
      </c>
      <c r="AE111" s="76" t="e">
        <f t="shared" si="28"/>
        <v>#REF!</v>
      </c>
      <c r="AF111" s="8" t="e">
        <f t="shared" si="29"/>
        <v>#REF!</v>
      </c>
      <c r="AH111" s="7" t="e">
        <f t="shared" si="34"/>
        <v>#REF!</v>
      </c>
      <c r="AI111" s="79" t="e">
        <f t="shared" si="40"/>
        <v>#REF!</v>
      </c>
      <c r="AJ111" s="79" t="e">
        <f t="shared" si="43"/>
        <v>#REF!</v>
      </c>
      <c r="AK111" s="75" t="e">
        <f>PMT(#REF!,#REF!,-#REF!,0,0)</f>
        <v>#REF!</v>
      </c>
      <c r="AL111" s="75"/>
      <c r="AM111" s="7" t="e">
        <f>AJ111*(#REF!/12)</f>
        <v>#REF!</v>
      </c>
      <c r="AN111" s="7" t="e">
        <f t="shared" si="41"/>
        <v>#REF!</v>
      </c>
      <c r="AO111" s="75" t="e">
        <f t="shared" si="30"/>
        <v>#REF!</v>
      </c>
      <c r="AP111" s="75" t="e">
        <f t="shared" si="42"/>
        <v>#REF!</v>
      </c>
      <c r="AQ111" s="7" t="e">
        <f t="shared" si="35"/>
        <v>#REF!</v>
      </c>
      <c r="AR111" s="41"/>
    </row>
    <row r="112" spans="10:44" x14ac:dyDescent="0.25">
      <c r="J112" s="5">
        <f t="shared" si="31"/>
        <v>37</v>
      </c>
      <c r="K112" s="5">
        <f t="shared" si="44"/>
        <v>2035</v>
      </c>
      <c r="L112" s="34" t="s">
        <v>33</v>
      </c>
      <c r="M112" s="70">
        <f t="shared" si="36"/>
        <v>542.96487559248067</v>
      </c>
      <c r="N112" s="70">
        <f t="shared" si="27"/>
        <v>407.2236566943605</v>
      </c>
      <c r="O112" s="71"/>
      <c r="P112" s="86"/>
      <c r="Q112" s="51">
        <v>0</v>
      </c>
      <c r="R112" s="88" t="str">
        <f t="shared" si="37"/>
        <v/>
      </c>
      <c r="S112" s="6">
        <v>0.25</v>
      </c>
      <c r="T112" s="8">
        <f t="shared" si="32"/>
        <v>0</v>
      </c>
      <c r="U112" s="8" t="e">
        <f>#REF!</f>
        <v>#REF!</v>
      </c>
      <c r="V112" s="8"/>
      <c r="W112" s="8" t="e">
        <f t="shared" si="33"/>
        <v>#REF!</v>
      </c>
      <c r="X112" s="27"/>
      <c r="Y112" s="26" t="e">
        <f t="shared" si="38"/>
        <v>#REF!</v>
      </c>
      <c r="Z112" s="95"/>
      <c r="AA112" s="95"/>
      <c r="AB112" s="8">
        <f>'Business_172 PH Rd Budget'!$C$25</f>
        <v>2155.2899999999995</v>
      </c>
      <c r="AC112" s="8" t="e">
        <f t="shared" si="39"/>
        <v>#REF!</v>
      </c>
      <c r="AD112" s="8">
        <v>350000</v>
      </c>
      <c r="AE112" s="76" t="e">
        <f t="shared" si="28"/>
        <v>#REF!</v>
      </c>
      <c r="AF112" s="8" t="e">
        <f t="shared" si="29"/>
        <v>#REF!</v>
      </c>
      <c r="AH112" s="7" t="e">
        <f t="shared" si="34"/>
        <v>#REF!</v>
      </c>
      <c r="AI112" s="79" t="e">
        <f t="shared" si="40"/>
        <v>#REF!</v>
      </c>
      <c r="AJ112" s="79" t="e">
        <f t="shared" si="43"/>
        <v>#REF!</v>
      </c>
      <c r="AK112" s="75" t="e">
        <f>PMT(#REF!,#REF!,-#REF!,0,0)</f>
        <v>#REF!</v>
      </c>
      <c r="AL112" s="75"/>
      <c r="AM112" s="7" t="e">
        <f>AJ112*(#REF!/12)</f>
        <v>#REF!</v>
      </c>
      <c r="AN112" s="7" t="e">
        <f t="shared" si="41"/>
        <v>#REF!</v>
      </c>
      <c r="AO112" s="75" t="e">
        <f t="shared" si="30"/>
        <v>#REF!</v>
      </c>
      <c r="AP112" s="75" t="e">
        <f t="shared" si="42"/>
        <v>#REF!</v>
      </c>
      <c r="AQ112" s="7" t="e">
        <f t="shared" si="35"/>
        <v>#REF!</v>
      </c>
      <c r="AR112" s="41"/>
    </row>
    <row r="113" spans="10:44" x14ac:dyDescent="0.25">
      <c r="J113" s="5">
        <f t="shared" si="31"/>
        <v>37</v>
      </c>
      <c r="K113" s="5">
        <f t="shared" si="44"/>
        <v>2035</v>
      </c>
      <c r="L113" s="34" t="s">
        <v>36</v>
      </c>
      <c r="M113" s="70">
        <f t="shared" si="36"/>
        <v>542.96487559248067</v>
      </c>
      <c r="N113" s="70">
        <f t="shared" si="27"/>
        <v>434.37190047398457</v>
      </c>
      <c r="O113" s="71"/>
      <c r="P113" s="86"/>
      <c r="Q113" s="51">
        <v>0</v>
      </c>
      <c r="R113" s="88" t="str">
        <f t="shared" si="37"/>
        <v/>
      </c>
      <c r="S113" s="6">
        <v>0.2</v>
      </c>
      <c r="T113" s="8">
        <f t="shared" si="32"/>
        <v>0</v>
      </c>
      <c r="U113" s="8" t="e">
        <f>#REF!</f>
        <v>#REF!</v>
      </c>
      <c r="V113" s="8"/>
      <c r="W113" s="8" t="e">
        <f t="shared" si="33"/>
        <v>#REF!</v>
      </c>
      <c r="X113" s="27"/>
      <c r="Y113" s="26" t="e">
        <f t="shared" si="38"/>
        <v>#REF!</v>
      </c>
      <c r="Z113" s="95"/>
      <c r="AA113" s="95"/>
      <c r="AB113" s="8">
        <f>'Business_172 PH Rd Budget'!$C$25</f>
        <v>2155.2899999999995</v>
      </c>
      <c r="AC113" s="8" t="e">
        <f t="shared" si="39"/>
        <v>#REF!</v>
      </c>
      <c r="AD113" s="8">
        <v>350000</v>
      </c>
      <c r="AE113" s="76" t="e">
        <f t="shared" si="28"/>
        <v>#REF!</v>
      </c>
      <c r="AF113" s="8" t="e">
        <f t="shared" si="29"/>
        <v>#REF!</v>
      </c>
      <c r="AH113" s="7" t="e">
        <f t="shared" si="34"/>
        <v>#REF!</v>
      </c>
      <c r="AI113" s="79" t="e">
        <f t="shared" si="40"/>
        <v>#REF!</v>
      </c>
      <c r="AJ113" s="79" t="e">
        <f t="shared" si="43"/>
        <v>#REF!</v>
      </c>
      <c r="AK113" s="75" t="e">
        <f>PMT(#REF!,#REF!,-#REF!,0,0)</f>
        <v>#REF!</v>
      </c>
      <c r="AL113" s="75"/>
      <c r="AM113" s="7" t="e">
        <f>AJ113*(#REF!/12)</f>
        <v>#REF!</v>
      </c>
      <c r="AN113" s="7" t="e">
        <f t="shared" si="41"/>
        <v>#REF!</v>
      </c>
      <c r="AO113" s="75" t="e">
        <f t="shared" si="30"/>
        <v>#REF!</v>
      </c>
      <c r="AP113" s="75" t="e">
        <f t="shared" si="42"/>
        <v>#REF!</v>
      </c>
      <c r="AQ113" s="7" t="e">
        <f t="shared" si="35"/>
        <v>#REF!</v>
      </c>
      <c r="AR113" s="41"/>
    </row>
    <row r="114" spans="10:44" x14ac:dyDescent="0.25">
      <c r="J114" s="5">
        <f t="shared" si="31"/>
        <v>37</v>
      </c>
      <c r="K114" s="5">
        <f t="shared" si="44"/>
        <v>2035</v>
      </c>
      <c r="L114" s="34" t="s">
        <v>38</v>
      </c>
      <c r="M114" s="70">
        <f t="shared" si="36"/>
        <v>542.96487559248067</v>
      </c>
      <c r="N114" s="70">
        <f t="shared" si="27"/>
        <v>488.66838803323259</v>
      </c>
      <c r="O114" s="71"/>
      <c r="P114" s="86"/>
      <c r="Q114" s="51"/>
      <c r="R114" s="88" t="str">
        <f t="shared" si="37"/>
        <v/>
      </c>
      <c r="S114" s="6">
        <v>0.1</v>
      </c>
      <c r="T114" s="8">
        <f t="shared" si="32"/>
        <v>0</v>
      </c>
      <c r="U114" s="8" t="e">
        <f>#REF!</f>
        <v>#REF!</v>
      </c>
      <c r="V114" s="8"/>
      <c r="W114" s="8" t="e">
        <f t="shared" si="33"/>
        <v>#REF!</v>
      </c>
      <c r="X114" s="27"/>
      <c r="Y114" s="26" t="e">
        <f t="shared" si="38"/>
        <v>#REF!</v>
      </c>
      <c r="Z114" s="95"/>
      <c r="AA114" s="95"/>
      <c r="AB114" s="8">
        <f>'Business_172 PH Rd Budget'!$C$25</f>
        <v>2155.2899999999995</v>
      </c>
      <c r="AC114" s="8" t="e">
        <f t="shared" si="39"/>
        <v>#REF!</v>
      </c>
      <c r="AD114" s="8">
        <v>350000</v>
      </c>
      <c r="AE114" s="76" t="e">
        <f t="shared" si="28"/>
        <v>#REF!</v>
      </c>
      <c r="AF114" s="8" t="e">
        <f t="shared" si="29"/>
        <v>#REF!</v>
      </c>
      <c r="AH114" s="7" t="e">
        <f t="shared" si="34"/>
        <v>#REF!</v>
      </c>
      <c r="AI114" s="79" t="e">
        <f t="shared" si="40"/>
        <v>#REF!</v>
      </c>
      <c r="AJ114" s="79" t="e">
        <f t="shared" si="43"/>
        <v>#REF!</v>
      </c>
      <c r="AK114" s="75" t="e">
        <f>PMT(#REF!,#REF!,-#REF!,0,0)</f>
        <v>#REF!</v>
      </c>
      <c r="AL114" s="75"/>
      <c r="AM114" s="7" t="e">
        <f>AJ114*(#REF!/12)</f>
        <v>#REF!</v>
      </c>
      <c r="AN114" s="7" t="e">
        <f t="shared" si="41"/>
        <v>#REF!</v>
      </c>
      <c r="AO114" s="75" t="e">
        <f t="shared" si="30"/>
        <v>#REF!</v>
      </c>
      <c r="AP114" s="75" t="e">
        <f t="shared" si="42"/>
        <v>#REF!</v>
      </c>
      <c r="AQ114" s="7" t="e">
        <f t="shared" si="35"/>
        <v>#REF!</v>
      </c>
      <c r="AR114" s="41"/>
    </row>
    <row r="115" spans="10:44" x14ac:dyDescent="0.25">
      <c r="J115" s="5">
        <f t="shared" si="31"/>
        <v>37</v>
      </c>
      <c r="K115" s="5">
        <f t="shared" si="44"/>
        <v>2035</v>
      </c>
      <c r="L115" s="34" t="s">
        <v>40</v>
      </c>
      <c r="M115" s="70">
        <f t="shared" si="36"/>
        <v>542.96487559248067</v>
      </c>
      <c r="N115" s="70">
        <f t="shared" si="27"/>
        <v>542.96487559248067</v>
      </c>
      <c r="O115" s="71"/>
      <c r="P115" s="86"/>
      <c r="Q115" s="51"/>
      <c r="R115" s="88" t="str">
        <f t="shared" si="37"/>
        <v/>
      </c>
      <c r="S115" s="6">
        <v>0</v>
      </c>
      <c r="T115" s="8">
        <f t="shared" si="32"/>
        <v>0</v>
      </c>
      <c r="U115" s="8" t="e">
        <f>#REF!</f>
        <v>#REF!</v>
      </c>
      <c r="V115" s="8"/>
      <c r="W115" s="8" t="e">
        <f t="shared" si="33"/>
        <v>#REF!</v>
      </c>
      <c r="X115" s="27"/>
      <c r="Y115" s="26" t="e">
        <f t="shared" si="38"/>
        <v>#REF!</v>
      </c>
      <c r="Z115" s="95"/>
      <c r="AA115" s="95"/>
      <c r="AB115" s="8">
        <f>'Business_172 PH Rd Budget'!$C$25</f>
        <v>2155.2899999999995</v>
      </c>
      <c r="AC115" s="8" t="e">
        <f t="shared" si="39"/>
        <v>#REF!</v>
      </c>
      <c r="AD115" s="8">
        <v>350000</v>
      </c>
      <c r="AE115" s="76" t="e">
        <f t="shared" si="28"/>
        <v>#REF!</v>
      </c>
      <c r="AF115" s="8" t="e">
        <f t="shared" si="29"/>
        <v>#REF!</v>
      </c>
      <c r="AH115" s="7" t="e">
        <f t="shared" si="34"/>
        <v>#REF!</v>
      </c>
      <c r="AI115" s="79" t="e">
        <f t="shared" si="40"/>
        <v>#REF!</v>
      </c>
      <c r="AJ115" s="79" t="e">
        <f t="shared" si="43"/>
        <v>#REF!</v>
      </c>
      <c r="AK115" s="75" t="e">
        <f>PMT(#REF!,#REF!,-#REF!,0,0)</f>
        <v>#REF!</v>
      </c>
      <c r="AL115" s="75"/>
      <c r="AM115" s="7" t="e">
        <f>AJ115*(#REF!/12)</f>
        <v>#REF!</v>
      </c>
      <c r="AN115" s="7" t="e">
        <f t="shared" si="41"/>
        <v>#REF!</v>
      </c>
      <c r="AO115" s="75" t="e">
        <f t="shared" si="30"/>
        <v>#REF!</v>
      </c>
      <c r="AP115" s="75" t="e">
        <f t="shared" si="42"/>
        <v>#REF!</v>
      </c>
      <c r="AQ115" s="7" t="e">
        <f t="shared" si="35"/>
        <v>#REF!</v>
      </c>
      <c r="AR115" s="41"/>
    </row>
    <row r="116" spans="10:44" x14ac:dyDescent="0.25">
      <c r="J116" s="5">
        <f t="shared" si="31"/>
        <v>37</v>
      </c>
      <c r="K116" s="5">
        <f t="shared" si="44"/>
        <v>2035</v>
      </c>
      <c r="L116" s="34" t="s">
        <v>42</v>
      </c>
      <c r="M116" s="70">
        <f t="shared" si="36"/>
        <v>542.96487559248067</v>
      </c>
      <c r="N116" s="70">
        <f t="shared" si="27"/>
        <v>542.96487559248067</v>
      </c>
      <c r="O116" s="71"/>
      <c r="P116" s="86">
        <v>4</v>
      </c>
      <c r="Q116" s="51">
        <v>2</v>
      </c>
      <c r="R116" s="88">
        <f t="shared" si="37"/>
        <v>0.5</v>
      </c>
      <c r="S116" s="6">
        <v>0</v>
      </c>
      <c r="T116" s="8">
        <f t="shared" si="32"/>
        <v>1085.9297511849613</v>
      </c>
      <c r="U116" s="8" t="e">
        <f>#REF!</f>
        <v>#REF!</v>
      </c>
      <c r="V116" s="8"/>
      <c r="W116" s="8" t="e">
        <f t="shared" si="33"/>
        <v>#REF!</v>
      </c>
      <c r="X116" s="27"/>
      <c r="Y116" s="26" t="e">
        <f t="shared" si="38"/>
        <v>#REF!</v>
      </c>
      <c r="Z116" s="95"/>
      <c r="AA116" s="95"/>
      <c r="AB116" s="8">
        <f>'Business_172 PH Rd Budget'!$C$25</f>
        <v>2155.2899999999995</v>
      </c>
      <c r="AC116" s="8" t="e">
        <f t="shared" si="39"/>
        <v>#REF!</v>
      </c>
      <c r="AD116" s="8">
        <v>350000</v>
      </c>
      <c r="AE116" s="76" t="e">
        <f t="shared" si="28"/>
        <v>#REF!</v>
      </c>
      <c r="AF116" s="8" t="e">
        <f t="shared" si="29"/>
        <v>#REF!</v>
      </c>
      <c r="AH116" s="7" t="e">
        <f t="shared" si="34"/>
        <v>#REF!</v>
      </c>
      <c r="AI116" s="79" t="e">
        <f t="shared" si="40"/>
        <v>#REF!</v>
      </c>
      <c r="AJ116" s="79" t="e">
        <f t="shared" si="43"/>
        <v>#REF!</v>
      </c>
      <c r="AK116" s="75" t="e">
        <f>PMT(#REF!,#REF!,-#REF!,0,0)</f>
        <v>#REF!</v>
      </c>
      <c r="AL116" s="75"/>
      <c r="AM116" s="7" t="e">
        <f>AJ116*(#REF!/12)</f>
        <v>#REF!</v>
      </c>
      <c r="AN116" s="7" t="e">
        <f t="shared" si="41"/>
        <v>#REF!</v>
      </c>
      <c r="AO116" s="75" t="e">
        <f t="shared" si="30"/>
        <v>#REF!</v>
      </c>
      <c r="AP116" s="75" t="e">
        <f t="shared" si="42"/>
        <v>#REF!</v>
      </c>
      <c r="AQ116" s="7" t="e">
        <f t="shared" si="35"/>
        <v>#REF!</v>
      </c>
      <c r="AR116" s="41"/>
    </row>
    <row r="117" spans="10:44" x14ac:dyDescent="0.25">
      <c r="J117" s="5">
        <f t="shared" si="31"/>
        <v>37</v>
      </c>
      <c r="K117" s="5">
        <f t="shared" si="44"/>
        <v>2035</v>
      </c>
      <c r="L117" s="34" t="s">
        <v>44</v>
      </c>
      <c r="M117" s="70">
        <f t="shared" si="36"/>
        <v>542.96487559248067</v>
      </c>
      <c r="N117" s="70">
        <f t="shared" si="27"/>
        <v>542.96487559248067</v>
      </c>
      <c r="O117" s="71"/>
      <c r="P117" s="86">
        <v>5</v>
      </c>
      <c r="Q117" s="51">
        <v>4</v>
      </c>
      <c r="R117" s="88">
        <f t="shared" si="37"/>
        <v>0.8</v>
      </c>
      <c r="S117" s="6">
        <v>0</v>
      </c>
      <c r="T117" s="8">
        <f t="shared" si="32"/>
        <v>2171.8595023699227</v>
      </c>
      <c r="U117" s="8" t="e">
        <f>#REF!</f>
        <v>#REF!</v>
      </c>
      <c r="V117" s="8"/>
      <c r="W117" s="8" t="e">
        <f t="shared" si="33"/>
        <v>#REF!</v>
      </c>
      <c r="X117" s="27"/>
      <c r="Y117" s="26" t="e">
        <f t="shared" si="38"/>
        <v>#REF!</v>
      </c>
      <c r="Z117" s="95"/>
      <c r="AA117" s="95"/>
      <c r="AB117" s="8">
        <f>'Business_172 PH Rd Budget'!$C$25</f>
        <v>2155.2899999999995</v>
      </c>
      <c r="AC117" s="8" t="e">
        <f t="shared" si="39"/>
        <v>#REF!</v>
      </c>
      <c r="AD117" s="8">
        <v>350000</v>
      </c>
      <c r="AE117" s="76" t="e">
        <f t="shared" si="28"/>
        <v>#REF!</v>
      </c>
      <c r="AF117" s="8" t="e">
        <f t="shared" si="29"/>
        <v>#REF!</v>
      </c>
      <c r="AH117" s="7" t="e">
        <f t="shared" si="34"/>
        <v>#REF!</v>
      </c>
      <c r="AI117" s="79" t="e">
        <f t="shared" si="40"/>
        <v>#REF!</v>
      </c>
      <c r="AJ117" s="79" t="e">
        <f t="shared" si="43"/>
        <v>#REF!</v>
      </c>
      <c r="AK117" s="75" t="e">
        <f>PMT(#REF!,#REF!,-#REF!,0,0)</f>
        <v>#REF!</v>
      </c>
      <c r="AL117" s="75"/>
      <c r="AM117" s="7" t="e">
        <f>AJ117*(#REF!/12)</f>
        <v>#REF!</v>
      </c>
      <c r="AN117" s="7" t="e">
        <f t="shared" si="41"/>
        <v>#REF!</v>
      </c>
      <c r="AO117" s="75" t="e">
        <f t="shared" si="30"/>
        <v>#REF!</v>
      </c>
      <c r="AP117" s="75" t="e">
        <f t="shared" si="42"/>
        <v>#REF!</v>
      </c>
      <c r="AQ117" s="7" t="e">
        <f t="shared" si="35"/>
        <v>#REF!</v>
      </c>
      <c r="AR117" s="41"/>
    </row>
    <row r="118" spans="10:44" x14ac:dyDescent="0.25">
      <c r="J118" s="5">
        <f t="shared" si="31"/>
        <v>37</v>
      </c>
      <c r="K118" s="5">
        <f t="shared" si="44"/>
        <v>2035</v>
      </c>
      <c r="L118" s="34" t="s">
        <v>47</v>
      </c>
      <c r="M118" s="70">
        <f t="shared" si="36"/>
        <v>542.96487559248067</v>
      </c>
      <c r="N118" s="70">
        <f t="shared" si="27"/>
        <v>542.96487559248067</v>
      </c>
      <c r="O118" s="71"/>
      <c r="P118" s="86">
        <v>4</v>
      </c>
      <c r="Q118" s="51">
        <v>4</v>
      </c>
      <c r="R118" s="88">
        <f t="shared" si="37"/>
        <v>1</v>
      </c>
      <c r="S118" s="6">
        <v>0</v>
      </c>
      <c r="T118" s="8">
        <f t="shared" si="32"/>
        <v>2171.8595023699227</v>
      </c>
      <c r="U118" s="8" t="e">
        <f>#REF!</f>
        <v>#REF!</v>
      </c>
      <c r="V118" s="8"/>
      <c r="W118" s="8" t="e">
        <f t="shared" si="33"/>
        <v>#REF!</v>
      </c>
      <c r="X118" s="27"/>
      <c r="Y118" s="26" t="e">
        <f t="shared" si="38"/>
        <v>#REF!</v>
      </c>
      <c r="Z118" s="95"/>
      <c r="AA118" s="95"/>
      <c r="AB118" s="8">
        <f>'Business_172 PH Rd Budget'!$C$25</f>
        <v>2155.2899999999995</v>
      </c>
      <c r="AC118" s="8" t="e">
        <f t="shared" si="39"/>
        <v>#REF!</v>
      </c>
      <c r="AD118" s="8">
        <v>350000</v>
      </c>
      <c r="AE118" s="76" t="e">
        <f t="shared" si="28"/>
        <v>#REF!</v>
      </c>
      <c r="AF118" s="8" t="e">
        <f t="shared" si="29"/>
        <v>#REF!</v>
      </c>
      <c r="AH118" s="7" t="e">
        <f t="shared" si="34"/>
        <v>#REF!</v>
      </c>
      <c r="AI118" s="79" t="e">
        <f t="shared" si="40"/>
        <v>#REF!</v>
      </c>
      <c r="AJ118" s="79" t="e">
        <f t="shared" si="43"/>
        <v>#REF!</v>
      </c>
      <c r="AK118" s="75" t="e">
        <f>PMT(#REF!,#REF!,-#REF!,0,0)</f>
        <v>#REF!</v>
      </c>
      <c r="AL118" s="75"/>
      <c r="AM118" s="7" t="e">
        <f>AJ118*(#REF!/12)</f>
        <v>#REF!</v>
      </c>
      <c r="AN118" s="7" t="e">
        <f t="shared" si="41"/>
        <v>#REF!</v>
      </c>
      <c r="AO118" s="75" t="e">
        <f t="shared" si="30"/>
        <v>#REF!</v>
      </c>
      <c r="AP118" s="75" t="e">
        <f t="shared" si="42"/>
        <v>#REF!</v>
      </c>
      <c r="AQ118" s="7" t="e">
        <f t="shared" si="35"/>
        <v>#REF!</v>
      </c>
      <c r="AR118" s="41"/>
    </row>
    <row r="119" spans="10:44" x14ac:dyDescent="0.25">
      <c r="J119" s="5">
        <f t="shared" si="31"/>
        <v>37</v>
      </c>
      <c r="K119" s="5">
        <f t="shared" si="44"/>
        <v>2035</v>
      </c>
      <c r="L119" s="34" t="s">
        <v>49</v>
      </c>
      <c r="M119" s="70">
        <f t="shared" si="36"/>
        <v>542.96487559248067</v>
      </c>
      <c r="N119" s="70">
        <f t="shared" si="27"/>
        <v>542.96487559248067</v>
      </c>
      <c r="O119" s="71"/>
      <c r="P119" s="86">
        <v>4</v>
      </c>
      <c r="Q119" s="51">
        <v>4</v>
      </c>
      <c r="R119" s="88">
        <f t="shared" si="37"/>
        <v>1</v>
      </c>
      <c r="S119" s="6">
        <v>0</v>
      </c>
      <c r="T119" s="8">
        <f t="shared" si="32"/>
        <v>2171.8595023699227</v>
      </c>
      <c r="U119" s="8" t="e">
        <f>#REF!</f>
        <v>#REF!</v>
      </c>
      <c r="V119" s="8"/>
      <c r="W119" s="8" t="e">
        <f t="shared" si="33"/>
        <v>#REF!</v>
      </c>
      <c r="X119" s="27"/>
      <c r="Y119" s="26" t="e">
        <f t="shared" si="38"/>
        <v>#REF!</v>
      </c>
      <c r="Z119" s="95"/>
      <c r="AA119" s="95"/>
      <c r="AB119" s="8">
        <f>'Business_172 PH Rd Budget'!$C$25</f>
        <v>2155.2899999999995</v>
      </c>
      <c r="AC119" s="8" t="e">
        <f t="shared" si="39"/>
        <v>#REF!</v>
      </c>
      <c r="AD119" s="8">
        <v>350000</v>
      </c>
      <c r="AE119" s="76" t="e">
        <f t="shared" si="28"/>
        <v>#REF!</v>
      </c>
      <c r="AF119" s="8" t="e">
        <f t="shared" si="29"/>
        <v>#REF!</v>
      </c>
      <c r="AH119" s="7" t="e">
        <f t="shared" si="34"/>
        <v>#REF!</v>
      </c>
      <c r="AI119" s="79" t="e">
        <f t="shared" si="40"/>
        <v>#REF!</v>
      </c>
      <c r="AJ119" s="79" t="e">
        <f t="shared" si="43"/>
        <v>#REF!</v>
      </c>
      <c r="AK119" s="75" t="e">
        <f>PMT(#REF!,#REF!,-#REF!,0,0)</f>
        <v>#REF!</v>
      </c>
      <c r="AL119" s="75"/>
      <c r="AM119" s="7" t="e">
        <f>AJ119*(#REF!/12)</f>
        <v>#REF!</v>
      </c>
      <c r="AN119" s="7" t="e">
        <f t="shared" si="41"/>
        <v>#REF!</v>
      </c>
      <c r="AO119" s="75" t="e">
        <f t="shared" si="30"/>
        <v>#REF!</v>
      </c>
      <c r="AP119" s="75" t="e">
        <f t="shared" si="42"/>
        <v>#REF!</v>
      </c>
      <c r="AQ119" s="7" t="e">
        <f t="shared" si="35"/>
        <v>#REF!</v>
      </c>
      <c r="AR119" s="41"/>
    </row>
    <row r="120" spans="10:44" x14ac:dyDescent="0.25">
      <c r="J120" s="5">
        <f t="shared" si="31"/>
        <v>37</v>
      </c>
      <c r="K120" s="5">
        <f t="shared" si="44"/>
        <v>2035</v>
      </c>
      <c r="L120" s="34" t="s">
        <v>51</v>
      </c>
      <c r="M120" s="70">
        <f t="shared" si="36"/>
        <v>542.96487559248067</v>
      </c>
      <c r="N120" s="70">
        <f t="shared" si="27"/>
        <v>542.96487559248067</v>
      </c>
      <c r="O120" s="71"/>
      <c r="P120" s="86">
        <v>5</v>
      </c>
      <c r="Q120" s="44">
        <v>4</v>
      </c>
      <c r="R120" s="88">
        <f t="shared" si="37"/>
        <v>0.8</v>
      </c>
      <c r="S120" s="6">
        <v>0</v>
      </c>
      <c r="T120" s="8">
        <f t="shared" si="32"/>
        <v>2171.8595023699227</v>
      </c>
      <c r="U120" s="8" t="e">
        <f>#REF!</f>
        <v>#REF!</v>
      </c>
      <c r="V120" s="8"/>
      <c r="W120" s="8" t="e">
        <f t="shared" si="33"/>
        <v>#REF!</v>
      </c>
      <c r="X120" s="27"/>
      <c r="Y120" s="26" t="e">
        <f t="shared" si="38"/>
        <v>#REF!</v>
      </c>
      <c r="Z120" s="95"/>
      <c r="AA120" s="95"/>
      <c r="AB120" s="8">
        <f>'Business_172 PH Rd Budget'!$C$25</f>
        <v>2155.2899999999995</v>
      </c>
      <c r="AC120" s="8" t="e">
        <f t="shared" si="39"/>
        <v>#REF!</v>
      </c>
      <c r="AD120" s="8">
        <v>350000</v>
      </c>
      <c r="AE120" s="76" t="e">
        <f t="shared" si="28"/>
        <v>#REF!</v>
      </c>
      <c r="AF120" s="8" t="e">
        <f t="shared" si="29"/>
        <v>#REF!</v>
      </c>
      <c r="AH120" s="7" t="e">
        <f t="shared" si="34"/>
        <v>#REF!</v>
      </c>
      <c r="AI120" s="79" t="e">
        <f t="shared" si="40"/>
        <v>#REF!</v>
      </c>
      <c r="AJ120" s="79" t="e">
        <f t="shared" si="43"/>
        <v>#REF!</v>
      </c>
      <c r="AK120" s="75" t="e">
        <f>PMT(#REF!,#REF!,-#REF!,0,0)</f>
        <v>#REF!</v>
      </c>
      <c r="AL120" s="75"/>
      <c r="AM120" s="7" t="e">
        <f>AJ120*(#REF!/12)</f>
        <v>#REF!</v>
      </c>
      <c r="AN120" s="7" t="e">
        <f t="shared" si="41"/>
        <v>#REF!</v>
      </c>
      <c r="AO120" s="75" t="e">
        <f t="shared" si="30"/>
        <v>#REF!</v>
      </c>
      <c r="AP120" s="75" t="e">
        <f t="shared" si="42"/>
        <v>#REF!</v>
      </c>
      <c r="AQ120" s="7" t="e">
        <f t="shared" si="35"/>
        <v>#REF!</v>
      </c>
      <c r="AR120" s="41"/>
    </row>
    <row r="121" spans="10:44" x14ac:dyDescent="0.25">
      <c r="J121" s="5">
        <f t="shared" si="31"/>
        <v>37</v>
      </c>
      <c r="K121" s="5">
        <f t="shared" si="44"/>
        <v>2035</v>
      </c>
      <c r="L121" s="34" t="s">
        <v>53</v>
      </c>
      <c r="M121" s="70">
        <f t="shared" si="36"/>
        <v>542.96487559248067</v>
      </c>
      <c r="N121" s="70">
        <f t="shared" si="27"/>
        <v>488.66838803323259</v>
      </c>
      <c r="O121" s="71"/>
      <c r="P121" s="86">
        <v>4</v>
      </c>
      <c r="Q121" s="44">
        <v>4</v>
      </c>
      <c r="R121" s="88">
        <f t="shared" si="37"/>
        <v>1</v>
      </c>
      <c r="S121" s="69">
        <v>0.1</v>
      </c>
      <c r="T121" s="8">
        <f t="shared" si="32"/>
        <v>1954.6735521329304</v>
      </c>
      <c r="U121" s="8" t="e">
        <f>#REF!</f>
        <v>#REF!</v>
      </c>
      <c r="V121" s="8"/>
      <c r="W121" s="8" t="e">
        <f t="shared" si="33"/>
        <v>#REF!</v>
      </c>
      <c r="X121" s="27"/>
      <c r="Y121" s="26" t="e">
        <f t="shared" si="38"/>
        <v>#REF!</v>
      </c>
      <c r="Z121" s="95"/>
      <c r="AA121" s="95"/>
      <c r="AB121" s="8">
        <f>'Business_172 PH Rd Budget'!$C$25</f>
        <v>2155.2899999999995</v>
      </c>
      <c r="AC121" s="8" t="e">
        <f t="shared" si="39"/>
        <v>#REF!</v>
      </c>
      <c r="AD121" s="8">
        <v>350000</v>
      </c>
      <c r="AE121" s="76" t="e">
        <f t="shared" si="28"/>
        <v>#REF!</v>
      </c>
      <c r="AF121" s="8" t="e">
        <f t="shared" si="29"/>
        <v>#REF!</v>
      </c>
      <c r="AH121" s="7" t="e">
        <f t="shared" si="34"/>
        <v>#REF!</v>
      </c>
      <c r="AI121" s="79" t="e">
        <f t="shared" si="40"/>
        <v>#REF!</v>
      </c>
      <c r="AJ121" s="79" t="e">
        <f t="shared" si="43"/>
        <v>#REF!</v>
      </c>
      <c r="AK121" s="75" t="e">
        <f>PMT(#REF!,#REF!,-#REF!,0,0)</f>
        <v>#REF!</v>
      </c>
      <c r="AL121" s="75"/>
      <c r="AM121" s="7" t="e">
        <f>AJ121*(#REF!/12)</f>
        <v>#REF!</v>
      </c>
      <c r="AN121" s="7" t="e">
        <f t="shared" si="41"/>
        <v>#REF!</v>
      </c>
      <c r="AO121" s="75" t="e">
        <f t="shared" si="30"/>
        <v>#REF!</v>
      </c>
      <c r="AP121" s="75" t="e">
        <f t="shared" si="42"/>
        <v>#REF!</v>
      </c>
      <c r="AQ121" s="7" t="e">
        <f t="shared" si="35"/>
        <v>#REF!</v>
      </c>
      <c r="AR121" s="41"/>
    </row>
    <row r="122" spans="10:44" x14ac:dyDescent="0.25">
      <c r="J122" s="5">
        <f t="shared" si="31"/>
        <v>37</v>
      </c>
      <c r="K122" s="5">
        <f t="shared" si="44"/>
        <v>2035</v>
      </c>
      <c r="L122" s="34" t="s">
        <v>55</v>
      </c>
      <c r="M122" s="70">
        <f t="shared" si="36"/>
        <v>542.96487559248067</v>
      </c>
      <c r="N122" s="70">
        <f t="shared" si="27"/>
        <v>434.37190047398457</v>
      </c>
      <c r="O122" s="71"/>
      <c r="P122" s="86"/>
      <c r="Q122" s="51">
        <v>0</v>
      </c>
      <c r="R122" s="88" t="str">
        <f t="shared" si="37"/>
        <v/>
      </c>
      <c r="S122" s="6">
        <v>0.2</v>
      </c>
      <c r="T122" s="8">
        <f t="shared" si="32"/>
        <v>0</v>
      </c>
      <c r="U122" s="8" t="e">
        <f>#REF!</f>
        <v>#REF!</v>
      </c>
      <c r="V122" s="8"/>
      <c r="W122" s="8" t="e">
        <f t="shared" si="33"/>
        <v>#REF!</v>
      </c>
      <c r="X122" s="27"/>
      <c r="Y122" s="26" t="e">
        <f t="shared" si="38"/>
        <v>#REF!</v>
      </c>
      <c r="Z122" s="95"/>
      <c r="AA122" s="95"/>
      <c r="AB122" s="8">
        <f>'Business_172 PH Rd Budget'!$C$25</f>
        <v>2155.2899999999995</v>
      </c>
      <c r="AC122" s="8" t="e">
        <f t="shared" si="39"/>
        <v>#REF!</v>
      </c>
      <c r="AD122" s="8">
        <v>350000</v>
      </c>
      <c r="AE122" s="76" t="e">
        <f t="shared" si="28"/>
        <v>#REF!</v>
      </c>
      <c r="AF122" s="8" t="e">
        <f t="shared" si="29"/>
        <v>#REF!</v>
      </c>
      <c r="AH122" s="7" t="e">
        <f t="shared" si="34"/>
        <v>#REF!</v>
      </c>
      <c r="AI122" s="79" t="e">
        <f t="shared" si="40"/>
        <v>#REF!</v>
      </c>
      <c r="AJ122" s="79" t="e">
        <f t="shared" si="43"/>
        <v>#REF!</v>
      </c>
      <c r="AK122" s="75" t="e">
        <f>PMT(#REF!,#REF!,-#REF!,0,0)</f>
        <v>#REF!</v>
      </c>
      <c r="AL122" s="75"/>
      <c r="AM122" s="7" t="e">
        <f>AJ122*(#REF!/12)</f>
        <v>#REF!</v>
      </c>
      <c r="AN122" s="7" t="e">
        <f t="shared" si="41"/>
        <v>#REF!</v>
      </c>
      <c r="AO122" s="75" t="e">
        <f t="shared" si="30"/>
        <v>#REF!</v>
      </c>
      <c r="AP122" s="75" t="e">
        <f t="shared" si="42"/>
        <v>#REF!</v>
      </c>
      <c r="AQ122" s="7" t="e">
        <f t="shared" si="35"/>
        <v>#REF!</v>
      </c>
      <c r="AR122" s="41"/>
    </row>
    <row r="123" spans="10:44" x14ac:dyDescent="0.25">
      <c r="J123" s="5">
        <f t="shared" si="31"/>
        <v>38</v>
      </c>
      <c r="K123" s="5">
        <f t="shared" si="44"/>
        <v>2036</v>
      </c>
      <c r="L123" s="34" t="s">
        <v>31</v>
      </c>
      <c r="M123" s="70">
        <f t="shared" si="36"/>
        <v>570.11311937210473</v>
      </c>
      <c r="N123" s="70">
        <f t="shared" si="27"/>
        <v>427.58483952907852</v>
      </c>
      <c r="O123" s="71">
        <v>0.05</v>
      </c>
      <c r="P123" s="86"/>
      <c r="Q123" s="51">
        <v>0</v>
      </c>
      <c r="R123" s="88" t="str">
        <f t="shared" si="37"/>
        <v/>
      </c>
      <c r="S123" s="6">
        <v>0.25</v>
      </c>
      <c r="T123" s="8">
        <f t="shared" si="32"/>
        <v>0</v>
      </c>
      <c r="U123" s="8" t="e">
        <f>#REF!</f>
        <v>#REF!</v>
      </c>
      <c r="V123" s="8"/>
      <c r="W123" s="8" t="e">
        <f t="shared" si="33"/>
        <v>#REF!</v>
      </c>
      <c r="X123" s="27"/>
      <c r="Y123" s="26" t="e">
        <f t="shared" si="38"/>
        <v>#REF!</v>
      </c>
      <c r="Z123" s="95"/>
      <c r="AA123" s="95"/>
      <c r="AB123" s="8">
        <f>'Business_172 PH Rd Budget'!$C$25</f>
        <v>2155.2899999999995</v>
      </c>
      <c r="AC123" s="8" t="e">
        <f t="shared" si="39"/>
        <v>#REF!</v>
      </c>
      <c r="AD123" s="8">
        <v>350000</v>
      </c>
      <c r="AE123" s="76" t="e">
        <f t="shared" si="28"/>
        <v>#REF!</v>
      </c>
      <c r="AF123" s="8" t="e">
        <f t="shared" si="29"/>
        <v>#REF!</v>
      </c>
      <c r="AH123" s="7" t="e">
        <f t="shared" si="34"/>
        <v>#REF!</v>
      </c>
      <c r="AI123" s="79" t="e">
        <f t="shared" si="40"/>
        <v>#REF!</v>
      </c>
      <c r="AJ123" s="79" t="e">
        <f t="shared" si="43"/>
        <v>#REF!</v>
      </c>
      <c r="AK123" s="75" t="e">
        <f>PMT(#REF!,#REF!,-#REF!,0,0)</f>
        <v>#REF!</v>
      </c>
      <c r="AL123" s="75"/>
      <c r="AM123" s="7" t="e">
        <f>AJ123*(#REF!/12)</f>
        <v>#REF!</v>
      </c>
      <c r="AN123" s="7" t="e">
        <f t="shared" si="41"/>
        <v>#REF!</v>
      </c>
      <c r="AO123" s="75" t="e">
        <f t="shared" si="30"/>
        <v>#REF!</v>
      </c>
      <c r="AP123" s="75" t="e">
        <f t="shared" si="42"/>
        <v>#REF!</v>
      </c>
      <c r="AQ123" s="7" t="e">
        <f t="shared" si="35"/>
        <v>#REF!</v>
      </c>
      <c r="AR123" s="41"/>
    </row>
    <row r="124" spans="10:44" x14ac:dyDescent="0.25">
      <c r="J124" s="5">
        <f t="shared" si="31"/>
        <v>38</v>
      </c>
      <c r="K124" s="5">
        <f t="shared" si="44"/>
        <v>2036</v>
      </c>
      <c r="L124" s="34" t="s">
        <v>33</v>
      </c>
      <c r="M124" s="70">
        <f t="shared" si="36"/>
        <v>570.11311937210473</v>
      </c>
      <c r="N124" s="70">
        <f t="shared" si="27"/>
        <v>427.58483952907852</v>
      </c>
      <c r="O124" s="71"/>
      <c r="P124" s="86"/>
      <c r="Q124" s="51">
        <v>0</v>
      </c>
      <c r="R124" s="88" t="str">
        <f t="shared" si="37"/>
        <v/>
      </c>
      <c r="S124" s="6">
        <v>0.25</v>
      </c>
      <c r="T124" s="8">
        <f t="shared" si="32"/>
        <v>0</v>
      </c>
      <c r="U124" s="8" t="e">
        <f>#REF!</f>
        <v>#REF!</v>
      </c>
      <c r="V124" s="8"/>
      <c r="W124" s="8" t="e">
        <f t="shared" si="33"/>
        <v>#REF!</v>
      </c>
      <c r="X124" s="27"/>
      <c r="Y124" s="26" t="e">
        <f t="shared" si="38"/>
        <v>#REF!</v>
      </c>
      <c r="Z124" s="95"/>
      <c r="AA124" s="95"/>
      <c r="AB124" s="8">
        <f>'Business_172 PH Rd Budget'!$C$25</f>
        <v>2155.2899999999995</v>
      </c>
      <c r="AC124" s="8" t="e">
        <f t="shared" si="39"/>
        <v>#REF!</v>
      </c>
      <c r="AD124" s="8">
        <v>350000</v>
      </c>
      <c r="AE124" s="76" t="e">
        <f t="shared" si="28"/>
        <v>#REF!</v>
      </c>
      <c r="AF124" s="8" t="e">
        <f t="shared" si="29"/>
        <v>#REF!</v>
      </c>
      <c r="AH124" s="7" t="e">
        <f t="shared" si="34"/>
        <v>#REF!</v>
      </c>
      <c r="AI124" s="79" t="e">
        <f t="shared" si="40"/>
        <v>#REF!</v>
      </c>
      <c r="AJ124" s="79" t="e">
        <f t="shared" si="43"/>
        <v>#REF!</v>
      </c>
      <c r="AK124" s="75" t="e">
        <f>PMT(#REF!,#REF!,-#REF!,0,0)</f>
        <v>#REF!</v>
      </c>
      <c r="AL124" s="75"/>
      <c r="AM124" s="7" t="e">
        <f>AJ124*(#REF!/12)</f>
        <v>#REF!</v>
      </c>
      <c r="AN124" s="7" t="e">
        <f t="shared" si="41"/>
        <v>#REF!</v>
      </c>
      <c r="AO124" s="75" t="e">
        <f t="shared" si="30"/>
        <v>#REF!</v>
      </c>
      <c r="AP124" s="75" t="e">
        <f t="shared" si="42"/>
        <v>#REF!</v>
      </c>
      <c r="AQ124" s="7" t="e">
        <f t="shared" si="35"/>
        <v>#REF!</v>
      </c>
      <c r="AR124" s="41"/>
    </row>
    <row r="125" spans="10:44" x14ac:dyDescent="0.25">
      <c r="J125" s="5">
        <f t="shared" si="31"/>
        <v>38</v>
      </c>
      <c r="K125" s="5">
        <f t="shared" si="44"/>
        <v>2036</v>
      </c>
      <c r="L125" s="34" t="s">
        <v>36</v>
      </c>
      <c r="M125" s="70">
        <f t="shared" si="36"/>
        <v>570.11311937210473</v>
      </c>
      <c r="N125" s="70">
        <f t="shared" si="27"/>
        <v>456.09049549768383</v>
      </c>
      <c r="O125" s="71"/>
      <c r="P125" s="86"/>
      <c r="Q125" s="51">
        <v>0</v>
      </c>
      <c r="R125" s="88" t="str">
        <f t="shared" si="37"/>
        <v/>
      </c>
      <c r="S125" s="6">
        <v>0.2</v>
      </c>
      <c r="T125" s="8">
        <f t="shared" si="32"/>
        <v>0</v>
      </c>
      <c r="U125" s="8" t="e">
        <f>#REF!</f>
        <v>#REF!</v>
      </c>
      <c r="V125" s="8"/>
      <c r="W125" s="8" t="e">
        <f t="shared" si="33"/>
        <v>#REF!</v>
      </c>
      <c r="X125" s="27"/>
      <c r="Y125" s="26" t="e">
        <f t="shared" si="38"/>
        <v>#REF!</v>
      </c>
      <c r="Z125" s="95"/>
      <c r="AA125" s="95"/>
      <c r="AB125" s="8">
        <f>'Business_172 PH Rd Budget'!$C$25</f>
        <v>2155.2899999999995</v>
      </c>
      <c r="AC125" s="8" t="e">
        <f t="shared" si="39"/>
        <v>#REF!</v>
      </c>
      <c r="AD125" s="8">
        <v>350000</v>
      </c>
      <c r="AE125" s="76" t="e">
        <f t="shared" si="28"/>
        <v>#REF!</v>
      </c>
      <c r="AF125" s="8" t="e">
        <f t="shared" si="29"/>
        <v>#REF!</v>
      </c>
      <c r="AH125" s="7" t="e">
        <f t="shared" si="34"/>
        <v>#REF!</v>
      </c>
      <c r="AI125" s="79" t="e">
        <f t="shared" si="40"/>
        <v>#REF!</v>
      </c>
      <c r="AJ125" s="79" t="e">
        <f t="shared" si="43"/>
        <v>#REF!</v>
      </c>
      <c r="AK125" s="75" t="e">
        <f>PMT(#REF!,#REF!,-#REF!,0,0)</f>
        <v>#REF!</v>
      </c>
      <c r="AL125" s="75"/>
      <c r="AM125" s="7" t="e">
        <f>AJ125*(#REF!/12)</f>
        <v>#REF!</v>
      </c>
      <c r="AN125" s="7" t="e">
        <f t="shared" si="41"/>
        <v>#REF!</v>
      </c>
      <c r="AO125" s="75" t="e">
        <f t="shared" si="30"/>
        <v>#REF!</v>
      </c>
      <c r="AP125" s="75" t="e">
        <f t="shared" si="42"/>
        <v>#REF!</v>
      </c>
      <c r="AQ125" s="7" t="e">
        <f t="shared" si="35"/>
        <v>#REF!</v>
      </c>
      <c r="AR125" s="41"/>
    </row>
    <row r="126" spans="10:44" x14ac:dyDescent="0.25">
      <c r="J126" s="5">
        <f t="shared" si="31"/>
        <v>38</v>
      </c>
      <c r="K126" s="5">
        <f t="shared" si="44"/>
        <v>2036</v>
      </c>
      <c r="L126" s="34" t="s">
        <v>38</v>
      </c>
      <c r="M126" s="70">
        <f t="shared" si="36"/>
        <v>570.11311937210473</v>
      </c>
      <c r="N126" s="70">
        <f t="shared" si="27"/>
        <v>513.10180743489423</v>
      </c>
      <c r="O126" s="71"/>
      <c r="P126" s="86"/>
      <c r="Q126" s="51"/>
      <c r="R126" s="88" t="str">
        <f t="shared" si="37"/>
        <v/>
      </c>
      <c r="S126" s="6">
        <v>0.1</v>
      </c>
      <c r="T126" s="8">
        <f t="shared" si="32"/>
        <v>0</v>
      </c>
      <c r="U126" s="8" t="e">
        <f>#REF!</f>
        <v>#REF!</v>
      </c>
      <c r="V126" s="8"/>
      <c r="W126" s="8" t="e">
        <f t="shared" si="33"/>
        <v>#REF!</v>
      </c>
      <c r="X126" s="27"/>
      <c r="Y126" s="26" t="e">
        <f t="shared" si="38"/>
        <v>#REF!</v>
      </c>
      <c r="Z126" s="95"/>
      <c r="AA126" s="95"/>
      <c r="AB126" s="8">
        <f>'Business_172 PH Rd Budget'!$C$25</f>
        <v>2155.2899999999995</v>
      </c>
      <c r="AC126" s="8" t="e">
        <f t="shared" si="39"/>
        <v>#REF!</v>
      </c>
      <c r="AD126" s="8">
        <v>350000</v>
      </c>
      <c r="AE126" s="76" t="e">
        <f t="shared" si="28"/>
        <v>#REF!</v>
      </c>
      <c r="AF126" s="8" t="e">
        <f t="shared" si="29"/>
        <v>#REF!</v>
      </c>
      <c r="AH126" s="7" t="e">
        <f t="shared" si="34"/>
        <v>#REF!</v>
      </c>
      <c r="AI126" s="79" t="e">
        <f t="shared" si="40"/>
        <v>#REF!</v>
      </c>
      <c r="AJ126" s="79" t="e">
        <f t="shared" si="43"/>
        <v>#REF!</v>
      </c>
      <c r="AK126" s="75" t="e">
        <f>PMT(#REF!,#REF!,-#REF!,0,0)</f>
        <v>#REF!</v>
      </c>
      <c r="AL126" s="75"/>
      <c r="AM126" s="7" t="e">
        <f>AJ126*(#REF!/12)</f>
        <v>#REF!</v>
      </c>
      <c r="AN126" s="7" t="e">
        <f t="shared" si="41"/>
        <v>#REF!</v>
      </c>
      <c r="AO126" s="75" t="e">
        <f t="shared" si="30"/>
        <v>#REF!</v>
      </c>
      <c r="AP126" s="75" t="e">
        <f t="shared" si="42"/>
        <v>#REF!</v>
      </c>
      <c r="AQ126" s="7" t="e">
        <f t="shared" si="35"/>
        <v>#REF!</v>
      </c>
      <c r="AR126" s="41"/>
    </row>
    <row r="127" spans="10:44" x14ac:dyDescent="0.25">
      <c r="J127" s="5">
        <f t="shared" si="31"/>
        <v>38</v>
      </c>
      <c r="K127" s="5">
        <f t="shared" si="44"/>
        <v>2036</v>
      </c>
      <c r="L127" s="34" t="s">
        <v>40</v>
      </c>
      <c r="M127" s="70">
        <f t="shared" si="36"/>
        <v>570.11311937210473</v>
      </c>
      <c r="N127" s="70">
        <f t="shared" si="27"/>
        <v>570.11311937210473</v>
      </c>
      <c r="O127" s="71"/>
      <c r="P127" s="86">
        <v>5</v>
      </c>
      <c r="Q127" s="51">
        <v>2</v>
      </c>
      <c r="R127" s="88">
        <f t="shared" si="37"/>
        <v>0.4</v>
      </c>
      <c r="S127" s="6">
        <v>0</v>
      </c>
      <c r="T127" s="8">
        <f t="shared" si="32"/>
        <v>1140.2262387442095</v>
      </c>
      <c r="U127" s="8" t="e">
        <f>#REF!</f>
        <v>#REF!</v>
      </c>
      <c r="V127" s="8"/>
      <c r="W127" s="8" t="e">
        <f t="shared" si="33"/>
        <v>#REF!</v>
      </c>
      <c r="X127" s="27"/>
      <c r="Y127" s="26" t="e">
        <f t="shared" si="38"/>
        <v>#REF!</v>
      </c>
      <c r="Z127" s="95"/>
      <c r="AA127" s="95"/>
      <c r="AB127" s="8">
        <f>'Business_172 PH Rd Budget'!$C$25</f>
        <v>2155.2899999999995</v>
      </c>
      <c r="AC127" s="8" t="e">
        <f t="shared" si="39"/>
        <v>#REF!</v>
      </c>
      <c r="AD127" s="8">
        <v>350000</v>
      </c>
      <c r="AE127" s="76" t="e">
        <f t="shared" si="28"/>
        <v>#REF!</v>
      </c>
      <c r="AF127" s="8" t="e">
        <f t="shared" si="29"/>
        <v>#REF!</v>
      </c>
      <c r="AH127" s="7" t="e">
        <f t="shared" si="34"/>
        <v>#REF!</v>
      </c>
      <c r="AI127" s="79" t="e">
        <f t="shared" si="40"/>
        <v>#REF!</v>
      </c>
      <c r="AJ127" s="79" t="e">
        <f t="shared" si="43"/>
        <v>#REF!</v>
      </c>
      <c r="AK127" s="75" t="e">
        <f>PMT(#REF!,#REF!,-#REF!,0,0)</f>
        <v>#REF!</v>
      </c>
      <c r="AL127" s="75"/>
      <c r="AM127" s="7" t="e">
        <f>AJ127*(#REF!/12)</f>
        <v>#REF!</v>
      </c>
      <c r="AN127" s="7" t="e">
        <f t="shared" si="41"/>
        <v>#REF!</v>
      </c>
      <c r="AO127" s="75" t="e">
        <f t="shared" si="30"/>
        <v>#REF!</v>
      </c>
      <c r="AP127" s="75" t="e">
        <f t="shared" si="42"/>
        <v>#REF!</v>
      </c>
      <c r="AQ127" s="7" t="e">
        <f t="shared" si="35"/>
        <v>#REF!</v>
      </c>
      <c r="AR127" s="41"/>
    </row>
    <row r="128" spans="10:44" x14ac:dyDescent="0.25">
      <c r="J128" s="5">
        <f t="shared" si="31"/>
        <v>38</v>
      </c>
      <c r="K128" s="5">
        <f t="shared" si="44"/>
        <v>2036</v>
      </c>
      <c r="L128" s="34" t="s">
        <v>42</v>
      </c>
      <c r="M128" s="70">
        <f t="shared" si="36"/>
        <v>570.11311937210473</v>
      </c>
      <c r="N128" s="70">
        <f t="shared" si="27"/>
        <v>570.11311937210473</v>
      </c>
      <c r="O128" s="71"/>
      <c r="P128" s="86">
        <v>4</v>
      </c>
      <c r="Q128" s="51">
        <v>4</v>
      </c>
      <c r="R128" s="88">
        <f t="shared" si="37"/>
        <v>1</v>
      </c>
      <c r="S128" s="6">
        <v>0</v>
      </c>
      <c r="T128" s="8">
        <f t="shared" si="32"/>
        <v>2280.4524774884189</v>
      </c>
      <c r="U128" s="8" t="e">
        <f>#REF!</f>
        <v>#REF!</v>
      </c>
      <c r="V128" s="8"/>
      <c r="W128" s="8" t="e">
        <f t="shared" si="33"/>
        <v>#REF!</v>
      </c>
      <c r="X128" s="27"/>
      <c r="Y128" s="26" t="e">
        <f t="shared" si="38"/>
        <v>#REF!</v>
      </c>
      <c r="Z128" s="95"/>
      <c r="AA128" s="95"/>
      <c r="AB128" s="8">
        <f>'Business_172 PH Rd Budget'!$C$25</f>
        <v>2155.2899999999995</v>
      </c>
      <c r="AC128" s="8" t="e">
        <f t="shared" si="39"/>
        <v>#REF!</v>
      </c>
      <c r="AD128" s="8">
        <v>350000</v>
      </c>
      <c r="AE128" s="76" t="e">
        <f t="shared" si="28"/>
        <v>#REF!</v>
      </c>
      <c r="AF128" s="8" t="e">
        <f t="shared" si="29"/>
        <v>#REF!</v>
      </c>
      <c r="AH128" s="7" t="e">
        <f t="shared" si="34"/>
        <v>#REF!</v>
      </c>
      <c r="AI128" s="79" t="e">
        <f t="shared" si="40"/>
        <v>#REF!</v>
      </c>
      <c r="AJ128" s="79" t="e">
        <f t="shared" si="43"/>
        <v>#REF!</v>
      </c>
      <c r="AK128" s="75" t="e">
        <f>PMT(#REF!,#REF!,-#REF!,0,0)</f>
        <v>#REF!</v>
      </c>
      <c r="AL128" s="75"/>
      <c r="AM128" s="7" t="e">
        <f>AJ128*(#REF!/12)</f>
        <v>#REF!</v>
      </c>
      <c r="AN128" s="7" t="e">
        <f t="shared" si="41"/>
        <v>#REF!</v>
      </c>
      <c r="AO128" s="75" t="e">
        <f t="shared" si="30"/>
        <v>#REF!</v>
      </c>
      <c r="AP128" s="75" t="e">
        <f t="shared" si="42"/>
        <v>#REF!</v>
      </c>
      <c r="AQ128" s="7" t="e">
        <f t="shared" si="35"/>
        <v>#REF!</v>
      </c>
      <c r="AR128" s="41"/>
    </row>
    <row r="129" spans="10:44" x14ac:dyDescent="0.25">
      <c r="J129" s="5">
        <f t="shared" si="31"/>
        <v>38</v>
      </c>
      <c r="K129" s="5">
        <f t="shared" si="44"/>
        <v>2036</v>
      </c>
      <c r="L129" s="34" t="s">
        <v>44</v>
      </c>
      <c r="M129" s="70">
        <f t="shared" si="36"/>
        <v>570.11311937210473</v>
      </c>
      <c r="N129" s="70">
        <f t="shared" si="27"/>
        <v>570.11311937210473</v>
      </c>
      <c r="O129" s="71"/>
      <c r="P129" s="86">
        <v>4</v>
      </c>
      <c r="Q129" s="51">
        <v>4</v>
      </c>
      <c r="R129" s="88">
        <f t="shared" si="37"/>
        <v>1</v>
      </c>
      <c r="S129" s="6">
        <v>0</v>
      </c>
      <c r="T129" s="8">
        <f t="shared" si="32"/>
        <v>2280.4524774884189</v>
      </c>
      <c r="U129" s="8" t="e">
        <f>#REF!</f>
        <v>#REF!</v>
      </c>
      <c r="V129" s="8"/>
      <c r="W129" s="8" t="e">
        <f t="shared" si="33"/>
        <v>#REF!</v>
      </c>
      <c r="X129" s="27"/>
      <c r="Y129" s="26" t="e">
        <f t="shared" si="38"/>
        <v>#REF!</v>
      </c>
      <c r="Z129" s="95"/>
      <c r="AA129" s="95"/>
      <c r="AB129" s="8">
        <f>'Business_172 PH Rd Budget'!$C$25</f>
        <v>2155.2899999999995</v>
      </c>
      <c r="AC129" s="8" t="e">
        <f t="shared" si="39"/>
        <v>#REF!</v>
      </c>
      <c r="AD129" s="8">
        <v>350000</v>
      </c>
      <c r="AE129" s="76" t="e">
        <f t="shared" si="28"/>
        <v>#REF!</v>
      </c>
      <c r="AF129" s="8" t="e">
        <f t="shared" si="29"/>
        <v>#REF!</v>
      </c>
      <c r="AH129" s="7" t="e">
        <f t="shared" si="34"/>
        <v>#REF!</v>
      </c>
      <c r="AI129" s="79" t="e">
        <f t="shared" si="40"/>
        <v>#REF!</v>
      </c>
      <c r="AJ129" s="79" t="e">
        <f t="shared" si="43"/>
        <v>#REF!</v>
      </c>
      <c r="AK129" s="75" t="e">
        <f>PMT(#REF!,#REF!,-#REF!,0,0)</f>
        <v>#REF!</v>
      </c>
      <c r="AL129" s="75"/>
      <c r="AM129" s="7" t="e">
        <f>AJ129*(#REF!/12)</f>
        <v>#REF!</v>
      </c>
      <c r="AN129" s="7" t="e">
        <f t="shared" si="41"/>
        <v>#REF!</v>
      </c>
      <c r="AO129" s="75" t="e">
        <f t="shared" si="30"/>
        <v>#REF!</v>
      </c>
      <c r="AP129" s="75" t="e">
        <f t="shared" si="42"/>
        <v>#REF!</v>
      </c>
      <c r="AQ129" s="7" t="e">
        <f t="shared" si="35"/>
        <v>#REF!</v>
      </c>
      <c r="AR129" s="41"/>
    </row>
    <row r="130" spans="10:44" x14ac:dyDescent="0.25">
      <c r="J130" s="5">
        <f t="shared" si="31"/>
        <v>38</v>
      </c>
      <c r="K130" s="5">
        <f t="shared" si="44"/>
        <v>2036</v>
      </c>
      <c r="L130" s="34" t="s">
        <v>47</v>
      </c>
      <c r="M130" s="70">
        <f t="shared" si="36"/>
        <v>570.11311937210473</v>
      </c>
      <c r="N130" s="70">
        <f t="shared" si="27"/>
        <v>570.11311937210473</v>
      </c>
      <c r="O130" s="71"/>
      <c r="P130" s="86">
        <v>5</v>
      </c>
      <c r="Q130" s="51">
        <v>4</v>
      </c>
      <c r="R130" s="88">
        <f t="shared" si="37"/>
        <v>0.8</v>
      </c>
      <c r="S130" s="6">
        <v>0</v>
      </c>
      <c r="T130" s="8">
        <f t="shared" si="32"/>
        <v>2280.4524774884189</v>
      </c>
      <c r="U130" s="8" t="e">
        <f>#REF!</f>
        <v>#REF!</v>
      </c>
      <c r="V130" s="8"/>
      <c r="W130" s="8" t="e">
        <f t="shared" si="33"/>
        <v>#REF!</v>
      </c>
      <c r="X130" s="27"/>
      <c r="Y130" s="26" t="e">
        <f t="shared" si="38"/>
        <v>#REF!</v>
      </c>
      <c r="Z130" s="95"/>
      <c r="AA130" s="95"/>
      <c r="AB130" s="8">
        <f>'Business_172 PH Rd Budget'!$C$25</f>
        <v>2155.2899999999995</v>
      </c>
      <c r="AC130" s="8" t="e">
        <f t="shared" si="39"/>
        <v>#REF!</v>
      </c>
      <c r="AD130" s="8">
        <v>350000</v>
      </c>
      <c r="AE130" s="76" t="e">
        <f t="shared" si="28"/>
        <v>#REF!</v>
      </c>
      <c r="AF130" s="8" t="e">
        <f t="shared" si="29"/>
        <v>#REF!</v>
      </c>
      <c r="AH130" s="7" t="e">
        <f t="shared" si="34"/>
        <v>#REF!</v>
      </c>
      <c r="AI130" s="79" t="e">
        <f t="shared" si="40"/>
        <v>#REF!</v>
      </c>
      <c r="AJ130" s="79" t="e">
        <f t="shared" si="43"/>
        <v>#REF!</v>
      </c>
      <c r="AK130" s="75" t="e">
        <f>PMT(#REF!,#REF!,-#REF!,0,0)</f>
        <v>#REF!</v>
      </c>
      <c r="AL130" s="75"/>
      <c r="AM130" s="7" t="e">
        <f>AJ130*(#REF!/12)</f>
        <v>#REF!</v>
      </c>
      <c r="AN130" s="7" t="e">
        <f t="shared" si="41"/>
        <v>#REF!</v>
      </c>
      <c r="AO130" s="75" t="e">
        <f t="shared" si="30"/>
        <v>#REF!</v>
      </c>
      <c r="AP130" s="75" t="e">
        <f t="shared" si="42"/>
        <v>#REF!</v>
      </c>
      <c r="AQ130" s="7" t="e">
        <f t="shared" si="35"/>
        <v>#REF!</v>
      </c>
      <c r="AR130" s="41"/>
    </row>
    <row r="131" spans="10:44" x14ac:dyDescent="0.25">
      <c r="J131" s="5">
        <f t="shared" si="31"/>
        <v>38</v>
      </c>
      <c r="K131" s="5">
        <f t="shared" si="44"/>
        <v>2036</v>
      </c>
      <c r="L131" s="34" t="s">
        <v>49</v>
      </c>
      <c r="M131" s="70">
        <f t="shared" si="36"/>
        <v>570.11311937210473</v>
      </c>
      <c r="N131" s="70">
        <f t="shared" ref="N131:N194" si="45">M131*(1-S131)</f>
        <v>570.11311937210473</v>
      </c>
      <c r="O131" s="71"/>
      <c r="P131" s="86">
        <v>4</v>
      </c>
      <c r="Q131" s="44">
        <v>4</v>
      </c>
      <c r="R131" s="88">
        <f t="shared" si="37"/>
        <v>1</v>
      </c>
      <c r="S131" s="6">
        <v>0</v>
      </c>
      <c r="T131" s="8">
        <f t="shared" si="32"/>
        <v>2280.4524774884189</v>
      </c>
      <c r="U131" s="8" t="e">
        <f>#REF!</f>
        <v>#REF!</v>
      </c>
      <c r="V131" s="8"/>
      <c r="W131" s="8" t="e">
        <f t="shared" si="33"/>
        <v>#REF!</v>
      </c>
      <c r="X131" s="27"/>
      <c r="Y131" s="26" t="e">
        <f t="shared" si="38"/>
        <v>#REF!</v>
      </c>
      <c r="Z131" s="95"/>
      <c r="AA131" s="95"/>
      <c r="AB131" s="8">
        <f>'Business_172 PH Rd Budget'!$C$25</f>
        <v>2155.2899999999995</v>
      </c>
      <c r="AC131" s="8" t="e">
        <f t="shared" si="39"/>
        <v>#REF!</v>
      </c>
      <c r="AD131" s="8">
        <v>350000</v>
      </c>
      <c r="AE131" s="76" t="e">
        <f t="shared" ref="AE131:AE194" si="46">IF(AC131&lt;$C$8,0,AC131-AD131)</f>
        <v>#REF!</v>
      </c>
      <c r="AF131" s="8" t="e">
        <f t="shared" ref="AF131:AF194" si="47">AE131*(1+$C$7)-AE131</f>
        <v>#REF!</v>
      </c>
      <c r="AH131" s="7" t="e">
        <f t="shared" si="34"/>
        <v>#REF!</v>
      </c>
      <c r="AI131" s="79" t="e">
        <f t="shared" si="40"/>
        <v>#REF!</v>
      </c>
      <c r="AJ131" s="79" t="e">
        <f t="shared" si="43"/>
        <v>#REF!</v>
      </c>
      <c r="AK131" s="75" t="e">
        <f>PMT(#REF!,#REF!,-#REF!,0,0)</f>
        <v>#REF!</v>
      </c>
      <c r="AL131" s="75"/>
      <c r="AM131" s="7" t="e">
        <f>AJ131*(#REF!/12)</f>
        <v>#REF!</v>
      </c>
      <c r="AN131" s="7" t="e">
        <f t="shared" si="41"/>
        <v>#REF!</v>
      </c>
      <c r="AO131" s="75" t="e">
        <f t="shared" ref="AO131:AO194" si="48">AK131-AM131</f>
        <v>#REF!</v>
      </c>
      <c r="AP131" s="75" t="e">
        <f t="shared" si="42"/>
        <v>#REF!</v>
      </c>
      <c r="AQ131" s="7" t="e">
        <f t="shared" si="35"/>
        <v>#REF!</v>
      </c>
      <c r="AR131" s="41"/>
    </row>
    <row r="132" spans="10:44" x14ac:dyDescent="0.25">
      <c r="J132" s="5">
        <f t="shared" ref="J132:J194" si="49">K132-1998</f>
        <v>38</v>
      </c>
      <c r="K132" s="5">
        <f t="shared" si="44"/>
        <v>2036</v>
      </c>
      <c r="L132" s="34" t="s">
        <v>51</v>
      </c>
      <c r="M132" s="70">
        <f t="shared" si="36"/>
        <v>570.11311937210473</v>
      </c>
      <c r="N132" s="70">
        <f t="shared" si="45"/>
        <v>570.11311937210473</v>
      </c>
      <c r="O132" s="71"/>
      <c r="P132" s="86">
        <v>4</v>
      </c>
      <c r="Q132" s="44">
        <v>4</v>
      </c>
      <c r="R132" s="88">
        <f t="shared" si="37"/>
        <v>1</v>
      </c>
      <c r="S132" s="6">
        <v>0</v>
      </c>
      <c r="T132" s="8">
        <f t="shared" ref="T132:T194" si="50">Q132*N132</f>
        <v>2280.4524774884189</v>
      </c>
      <c r="U132" s="8" t="e">
        <f>#REF!</f>
        <v>#REF!</v>
      </c>
      <c r="V132" s="8"/>
      <c r="W132" s="8" t="e">
        <f t="shared" ref="W132:W194" si="51">T132-U132</f>
        <v>#REF!</v>
      </c>
      <c r="X132" s="27"/>
      <c r="Y132" s="26" t="e">
        <f t="shared" si="38"/>
        <v>#REF!</v>
      </c>
      <c r="Z132" s="95"/>
      <c r="AA132" s="95"/>
      <c r="AB132" s="8">
        <f>'Business_172 PH Rd Budget'!$C$25</f>
        <v>2155.2899999999995</v>
      </c>
      <c r="AC132" s="8" t="e">
        <f t="shared" si="39"/>
        <v>#REF!</v>
      </c>
      <c r="AD132" s="8">
        <v>350000</v>
      </c>
      <c r="AE132" s="76" t="e">
        <f t="shared" si="46"/>
        <v>#REF!</v>
      </c>
      <c r="AF132" s="8" t="e">
        <f t="shared" si="47"/>
        <v>#REF!</v>
      </c>
      <c r="AH132" s="7" t="e">
        <f t="shared" ref="AH132:AH195" si="52">AH131*(1+$C$5)</f>
        <v>#REF!</v>
      </c>
      <c r="AI132" s="79" t="e">
        <f t="shared" si="40"/>
        <v>#REF!</v>
      </c>
      <c r="AJ132" s="79" t="e">
        <f t="shared" si="43"/>
        <v>#REF!</v>
      </c>
      <c r="AK132" s="75" t="e">
        <f>PMT(#REF!,#REF!,-#REF!,0,0)</f>
        <v>#REF!</v>
      </c>
      <c r="AL132" s="75"/>
      <c r="AM132" s="7" t="e">
        <f>AJ132*(#REF!/12)</f>
        <v>#REF!</v>
      </c>
      <c r="AN132" s="7" t="e">
        <f t="shared" si="41"/>
        <v>#REF!</v>
      </c>
      <c r="AO132" s="75" t="e">
        <f t="shared" si="48"/>
        <v>#REF!</v>
      </c>
      <c r="AP132" s="75" t="e">
        <f t="shared" si="42"/>
        <v>#REF!</v>
      </c>
      <c r="AQ132" s="7" t="e">
        <f t="shared" ref="AQ132:AQ195" si="53">AJ132-(AO132+AL132)</f>
        <v>#REF!</v>
      </c>
      <c r="AR132" s="41"/>
    </row>
    <row r="133" spans="10:44" x14ac:dyDescent="0.25">
      <c r="J133" s="5">
        <f t="shared" si="49"/>
        <v>38</v>
      </c>
      <c r="K133" s="5">
        <f t="shared" si="44"/>
        <v>2036</v>
      </c>
      <c r="L133" s="34" t="s">
        <v>53</v>
      </c>
      <c r="M133" s="70">
        <f t="shared" ref="M133:M194" si="54">M132*(1+O133)</f>
        <v>570.11311937210473</v>
      </c>
      <c r="N133" s="70">
        <f t="shared" si="45"/>
        <v>513.10180743489423</v>
      </c>
      <c r="O133" s="71"/>
      <c r="P133" s="87"/>
      <c r="Q133" s="68">
        <v>0</v>
      </c>
      <c r="R133" s="88" t="str">
        <f t="shared" ref="R133:R194" si="55">IFERROR(Q133/P133,"")</f>
        <v/>
      </c>
      <c r="S133" s="69">
        <v>0.1</v>
      </c>
      <c r="T133" s="8">
        <f t="shared" si="50"/>
        <v>0</v>
      </c>
      <c r="U133" s="8" t="e">
        <f>#REF!</f>
        <v>#REF!</v>
      </c>
      <c r="V133" s="8"/>
      <c r="W133" s="8" t="e">
        <f t="shared" si="51"/>
        <v>#REF!</v>
      </c>
      <c r="X133" s="27"/>
      <c r="Y133" s="26" t="e">
        <f t="shared" ref="Y133:Y194" si="56">(AC132+T133)-U133</f>
        <v>#REF!</v>
      </c>
      <c r="Z133" s="95"/>
      <c r="AA133" s="95"/>
      <c r="AB133" s="8">
        <f>'Business_172 PH Rd Budget'!$C$25</f>
        <v>2155.2899999999995</v>
      </c>
      <c r="AC133" s="8" t="e">
        <f t="shared" ref="AC133:AC194" si="57">(Y133+Z133+AA133)-AB133</f>
        <v>#REF!</v>
      </c>
      <c r="AD133" s="8">
        <v>350000</v>
      </c>
      <c r="AE133" s="76" t="e">
        <f t="shared" si="46"/>
        <v>#REF!</v>
      </c>
      <c r="AF133" s="8" t="e">
        <f t="shared" si="47"/>
        <v>#REF!</v>
      </c>
      <c r="AH133" s="7" t="e">
        <f t="shared" si="52"/>
        <v>#REF!</v>
      </c>
      <c r="AI133" s="79" t="e">
        <f t="shared" ref="AI133:AI191" si="58">AI132+AH134-AH133</f>
        <v>#REF!</v>
      </c>
      <c r="AJ133" s="79" t="e">
        <f t="shared" si="43"/>
        <v>#REF!</v>
      </c>
      <c r="AK133" s="75" t="e">
        <f>PMT(#REF!,#REF!,-#REF!,0,0)</f>
        <v>#REF!</v>
      </c>
      <c r="AL133" s="75"/>
      <c r="AM133" s="7" t="e">
        <f>AJ133*(#REF!/12)</f>
        <v>#REF!</v>
      </c>
      <c r="AN133" s="7" t="e">
        <f t="shared" ref="AN133:AN196" si="59">AN132+AM133</f>
        <v>#REF!</v>
      </c>
      <c r="AO133" s="75" t="e">
        <f t="shared" si="48"/>
        <v>#REF!</v>
      </c>
      <c r="AP133" s="75" t="e">
        <f t="shared" ref="AP133:AP196" si="60">AP132+AO133</f>
        <v>#REF!</v>
      </c>
      <c r="AQ133" s="7" t="e">
        <f t="shared" si="53"/>
        <v>#REF!</v>
      </c>
      <c r="AR133" s="41"/>
    </row>
    <row r="134" spans="10:44" x14ac:dyDescent="0.25">
      <c r="J134" s="5">
        <f t="shared" si="49"/>
        <v>38</v>
      </c>
      <c r="K134" s="5">
        <f t="shared" si="44"/>
        <v>2036</v>
      </c>
      <c r="L134" s="34" t="s">
        <v>55</v>
      </c>
      <c r="M134" s="70">
        <f t="shared" si="54"/>
        <v>570.11311937210473</v>
      </c>
      <c r="N134" s="70">
        <f t="shared" si="45"/>
        <v>456.09049549768383</v>
      </c>
      <c r="O134" s="71"/>
      <c r="P134" s="86"/>
      <c r="Q134" s="51">
        <v>0</v>
      </c>
      <c r="R134" s="88" t="str">
        <f t="shared" si="55"/>
        <v/>
      </c>
      <c r="S134" s="6">
        <v>0.2</v>
      </c>
      <c r="T134" s="8">
        <f t="shared" si="50"/>
        <v>0</v>
      </c>
      <c r="U134" s="8" t="e">
        <f>#REF!</f>
        <v>#REF!</v>
      </c>
      <c r="V134" s="8"/>
      <c r="W134" s="8" t="e">
        <f t="shared" si="51"/>
        <v>#REF!</v>
      </c>
      <c r="X134" s="27"/>
      <c r="Y134" s="26" t="e">
        <f t="shared" si="56"/>
        <v>#REF!</v>
      </c>
      <c r="Z134" s="95"/>
      <c r="AA134" s="95"/>
      <c r="AB134" s="8">
        <f>'Business_172 PH Rd Budget'!$C$25</f>
        <v>2155.2899999999995</v>
      </c>
      <c r="AC134" s="8" t="e">
        <f t="shared" si="57"/>
        <v>#REF!</v>
      </c>
      <c r="AD134" s="8">
        <v>350000</v>
      </c>
      <c r="AE134" s="76" t="e">
        <f t="shared" si="46"/>
        <v>#REF!</v>
      </c>
      <c r="AF134" s="8" t="e">
        <f t="shared" si="47"/>
        <v>#REF!</v>
      </c>
      <c r="AH134" s="7" t="e">
        <f t="shared" si="52"/>
        <v>#REF!</v>
      </c>
      <c r="AI134" s="79" t="e">
        <f t="shared" si="58"/>
        <v>#REF!</v>
      </c>
      <c r="AJ134" s="79" t="e">
        <f t="shared" ref="AJ134:AJ197" si="61">AQ133</f>
        <v>#REF!</v>
      </c>
      <c r="AK134" s="75" t="e">
        <f>PMT(#REF!,#REF!,-#REF!,0,0)</f>
        <v>#REF!</v>
      </c>
      <c r="AL134" s="75"/>
      <c r="AM134" s="7" t="e">
        <f>AJ134*(#REF!/12)</f>
        <v>#REF!</v>
      </c>
      <c r="AN134" s="7" t="e">
        <f t="shared" si="59"/>
        <v>#REF!</v>
      </c>
      <c r="AO134" s="75" t="e">
        <f t="shared" si="48"/>
        <v>#REF!</v>
      </c>
      <c r="AP134" s="75" t="e">
        <f t="shared" si="60"/>
        <v>#REF!</v>
      </c>
      <c r="AQ134" s="7" t="e">
        <f t="shared" si="53"/>
        <v>#REF!</v>
      </c>
      <c r="AR134" s="41"/>
    </row>
    <row r="135" spans="10:44" x14ac:dyDescent="0.25">
      <c r="J135" s="5">
        <f t="shared" si="49"/>
        <v>39</v>
      </c>
      <c r="K135" s="5">
        <f t="shared" si="44"/>
        <v>2037</v>
      </c>
      <c r="L135" s="34" t="s">
        <v>31</v>
      </c>
      <c r="M135" s="70">
        <f t="shared" si="54"/>
        <v>598.61877534071004</v>
      </c>
      <c r="N135" s="70">
        <f t="shared" si="45"/>
        <v>448.96408150553253</v>
      </c>
      <c r="O135" s="71">
        <v>0.05</v>
      </c>
      <c r="P135" s="86"/>
      <c r="Q135" s="51">
        <v>0</v>
      </c>
      <c r="R135" s="88" t="str">
        <f t="shared" si="55"/>
        <v/>
      </c>
      <c r="S135" s="6">
        <v>0.25</v>
      </c>
      <c r="T135" s="8">
        <f t="shared" si="50"/>
        <v>0</v>
      </c>
      <c r="U135" s="8" t="e">
        <f>#REF!</f>
        <v>#REF!</v>
      </c>
      <c r="V135" s="8"/>
      <c r="W135" s="8" t="e">
        <f t="shared" si="51"/>
        <v>#REF!</v>
      </c>
      <c r="X135" s="27"/>
      <c r="Y135" s="26" t="e">
        <f t="shared" si="56"/>
        <v>#REF!</v>
      </c>
      <c r="Z135" s="95"/>
      <c r="AA135" s="95"/>
      <c r="AB135" s="8">
        <f>'Business_172 PH Rd Budget'!$C$25</f>
        <v>2155.2899999999995</v>
      </c>
      <c r="AC135" s="8" t="e">
        <f t="shared" si="57"/>
        <v>#REF!</v>
      </c>
      <c r="AD135" s="8">
        <v>350000</v>
      </c>
      <c r="AE135" s="76" t="e">
        <f t="shared" si="46"/>
        <v>#REF!</v>
      </c>
      <c r="AF135" s="8" t="e">
        <f t="shared" si="47"/>
        <v>#REF!</v>
      </c>
      <c r="AH135" s="7" t="e">
        <f t="shared" si="52"/>
        <v>#REF!</v>
      </c>
      <c r="AI135" s="79" t="e">
        <f t="shared" si="58"/>
        <v>#REF!</v>
      </c>
      <c r="AJ135" s="79" t="e">
        <f t="shared" si="61"/>
        <v>#REF!</v>
      </c>
      <c r="AK135" s="75" t="e">
        <f>PMT(#REF!,#REF!,-#REF!,0,0)</f>
        <v>#REF!</v>
      </c>
      <c r="AL135" s="75"/>
      <c r="AM135" s="7" t="e">
        <f>AJ135*(#REF!/12)</f>
        <v>#REF!</v>
      </c>
      <c r="AN135" s="7" t="e">
        <f t="shared" si="59"/>
        <v>#REF!</v>
      </c>
      <c r="AO135" s="75" t="e">
        <f t="shared" si="48"/>
        <v>#REF!</v>
      </c>
      <c r="AP135" s="75" t="e">
        <f t="shared" si="60"/>
        <v>#REF!</v>
      </c>
      <c r="AQ135" s="7" t="e">
        <f t="shared" si="53"/>
        <v>#REF!</v>
      </c>
      <c r="AR135" s="41"/>
    </row>
    <row r="136" spans="10:44" x14ac:dyDescent="0.25">
      <c r="J136" s="5">
        <f t="shared" si="49"/>
        <v>39</v>
      </c>
      <c r="K136" s="5">
        <f t="shared" si="44"/>
        <v>2037</v>
      </c>
      <c r="L136" s="34" t="s">
        <v>33</v>
      </c>
      <c r="M136" s="70">
        <f t="shared" si="54"/>
        <v>598.61877534071004</v>
      </c>
      <c r="N136" s="70">
        <f t="shared" si="45"/>
        <v>448.96408150553253</v>
      </c>
      <c r="O136" s="71"/>
      <c r="P136" s="86"/>
      <c r="Q136" s="51">
        <v>0</v>
      </c>
      <c r="R136" s="88" t="str">
        <f t="shared" si="55"/>
        <v/>
      </c>
      <c r="S136" s="6">
        <v>0.25</v>
      </c>
      <c r="T136" s="8">
        <f t="shared" si="50"/>
        <v>0</v>
      </c>
      <c r="U136" s="8" t="e">
        <f>#REF!</f>
        <v>#REF!</v>
      </c>
      <c r="V136" s="8"/>
      <c r="W136" s="8" t="e">
        <f t="shared" si="51"/>
        <v>#REF!</v>
      </c>
      <c r="X136" s="27"/>
      <c r="Y136" s="26" t="e">
        <f t="shared" si="56"/>
        <v>#REF!</v>
      </c>
      <c r="Z136" s="95"/>
      <c r="AA136" s="95"/>
      <c r="AB136" s="8">
        <f>'Business_172 PH Rd Budget'!$C$25</f>
        <v>2155.2899999999995</v>
      </c>
      <c r="AC136" s="8" t="e">
        <f t="shared" si="57"/>
        <v>#REF!</v>
      </c>
      <c r="AD136" s="8">
        <v>350000</v>
      </c>
      <c r="AE136" s="76" t="e">
        <f t="shared" si="46"/>
        <v>#REF!</v>
      </c>
      <c r="AF136" s="8" t="e">
        <f t="shared" si="47"/>
        <v>#REF!</v>
      </c>
      <c r="AH136" s="7" t="e">
        <f t="shared" si="52"/>
        <v>#REF!</v>
      </c>
      <c r="AI136" s="79" t="e">
        <f t="shared" si="58"/>
        <v>#REF!</v>
      </c>
      <c r="AJ136" s="79" t="e">
        <f t="shared" si="61"/>
        <v>#REF!</v>
      </c>
      <c r="AK136" s="75" t="e">
        <f>PMT(#REF!,#REF!,-#REF!,0,0)</f>
        <v>#REF!</v>
      </c>
      <c r="AL136" s="75"/>
      <c r="AM136" s="7" t="e">
        <f>AJ136*(#REF!/12)</f>
        <v>#REF!</v>
      </c>
      <c r="AN136" s="7" t="e">
        <f t="shared" si="59"/>
        <v>#REF!</v>
      </c>
      <c r="AO136" s="75" t="e">
        <f t="shared" si="48"/>
        <v>#REF!</v>
      </c>
      <c r="AP136" s="75" t="e">
        <f t="shared" si="60"/>
        <v>#REF!</v>
      </c>
      <c r="AQ136" s="7" t="e">
        <f t="shared" si="53"/>
        <v>#REF!</v>
      </c>
      <c r="AR136" s="41"/>
    </row>
    <row r="137" spans="10:44" x14ac:dyDescent="0.25">
      <c r="J137" s="5">
        <f t="shared" si="49"/>
        <v>39</v>
      </c>
      <c r="K137" s="5">
        <f t="shared" si="44"/>
        <v>2037</v>
      </c>
      <c r="L137" s="34" t="s">
        <v>36</v>
      </c>
      <c r="M137" s="70">
        <f t="shared" si="54"/>
        <v>598.61877534071004</v>
      </c>
      <c r="N137" s="70">
        <f t="shared" si="45"/>
        <v>478.89502027256805</v>
      </c>
      <c r="O137" s="71"/>
      <c r="P137" s="86"/>
      <c r="Q137" s="51">
        <v>0</v>
      </c>
      <c r="R137" s="88" t="str">
        <f t="shared" si="55"/>
        <v/>
      </c>
      <c r="S137" s="6">
        <v>0.2</v>
      </c>
      <c r="T137" s="8">
        <f t="shared" si="50"/>
        <v>0</v>
      </c>
      <c r="U137" s="8" t="e">
        <f>#REF!</f>
        <v>#REF!</v>
      </c>
      <c r="V137" s="8"/>
      <c r="W137" s="8" t="e">
        <f t="shared" si="51"/>
        <v>#REF!</v>
      </c>
      <c r="X137" s="27"/>
      <c r="Y137" s="26" t="e">
        <f t="shared" si="56"/>
        <v>#REF!</v>
      </c>
      <c r="Z137" s="95"/>
      <c r="AA137" s="95"/>
      <c r="AB137" s="8">
        <f>'Business_172 PH Rd Budget'!$C$25</f>
        <v>2155.2899999999995</v>
      </c>
      <c r="AC137" s="8" t="e">
        <f t="shared" si="57"/>
        <v>#REF!</v>
      </c>
      <c r="AD137" s="8">
        <v>350000</v>
      </c>
      <c r="AE137" s="76" t="e">
        <f t="shared" si="46"/>
        <v>#REF!</v>
      </c>
      <c r="AF137" s="8" t="e">
        <f t="shared" si="47"/>
        <v>#REF!</v>
      </c>
      <c r="AH137" s="7" t="e">
        <f t="shared" si="52"/>
        <v>#REF!</v>
      </c>
      <c r="AI137" s="79" t="e">
        <f t="shared" si="58"/>
        <v>#REF!</v>
      </c>
      <c r="AJ137" s="79" t="e">
        <f t="shared" si="61"/>
        <v>#REF!</v>
      </c>
      <c r="AK137" s="75" t="e">
        <f>PMT(#REF!,#REF!,-#REF!,0,0)</f>
        <v>#REF!</v>
      </c>
      <c r="AL137" s="75"/>
      <c r="AM137" s="7" t="e">
        <f>AJ137*(#REF!/12)</f>
        <v>#REF!</v>
      </c>
      <c r="AN137" s="7" t="e">
        <f t="shared" si="59"/>
        <v>#REF!</v>
      </c>
      <c r="AO137" s="75" t="e">
        <f t="shared" si="48"/>
        <v>#REF!</v>
      </c>
      <c r="AP137" s="75" t="e">
        <f t="shared" si="60"/>
        <v>#REF!</v>
      </c>
      <c r="AQ137" s="7" t="e">
        <f t="shared" si="53"/>
        <v>#REF!</v>
      </c>
      <c r="AR137" s="41"/>
    </row>
    <row r="138" spans="10:44" x14ac:dyDescent="0.25">
      <c r="J138" s="5">
        <f t="shared" si="49"/>
        <v>39</v>
      </c>
      <c r="K138" s="5">
        <f t="shared" si="44"/>
        <v>2037</v>
      </c>
      <c r="L138" s="34" t="s">
        <v>38</v>
      </c>
      <c r="M138" s="70">
        <f t="shared" si="54"/>
        <v>598.61877534071004</v>
      </c>
      <c r="N138" s="70">
        <f t="shared" si="45"/>
        <v>538.75689780663902</v>
      </c>
      <c r="O138" s="71"/>
      <c r="P138" s="86"/>
      <c r="Q138" s="51"/>
      <c r="R138" s="88" t="str">
        <f t="shared" si="55"/>
        <v/>
      </c>
      <c r="S138" s="6">
        <v>0.1</v>
      </c>
      <c r="T138" s="8">
        <f t="shared" si="50"/>
        <v>0</v>
      </c>
      <c r="U138" s="8" t="e">
        <f>#REF!</f>
        <v>#REF!</v>
      </c>
      <c r="V138" s="8"/>
      <c r="W138" s="8" t="e">
        <f t="shared" si="51"/>
        <v>#REF!</v>
      </c>
      <c r="X138" s="27"/>
      <c r="Y138" s="26" t="e">
        <f t="shared" si="56"/>
        <v>#REF!</v>
      </c>
      <c r="Z138" s="95"/>
      <c r="AA138" s="95"/>
      <c r="AB138" s="8">
        <f>'Business_172 PH Rd Budget'!$C$25</f>
        <v>2155.2899999999995</v>
      </c>
      <c r="AC138" s="8" t="e">
        <f t="shared" si="57"/>
        <v>#REF!</v>
      </c>
      <c r="AD138" s="8">
        <v>350000</v>
      </c>
      <c r="AE138" s="76" t="e">
        <f t="shared" si="46"/>
        <v>#REF!</v>
      </c>
      <c r="AF138" s="8" t="e">
        <f t="shared" si="47"/>
        <v>#REF!</v>
      </c>
      <c r="AH138" s="7" t="e">
        <f t="shared" si="52"/>
        <v>#REF!</v>
      </c>
      <c r="AI138" s="79" t="e">
        <f t="shared" si="58"/>
        <v>#REF!</v>
      </c>
      <c r="AJ138" s="79" t="e">
        <f t="shared" si="61"/>
        <v>#REF!</v>
      </c>
      <c r="AK138" s="75" t="e">
        <f>PMT(#REF!,#REF!,-#REF!,0,0)</f>
        <v>#REF!</v>
      </c>
      <c r="AL138" s="75"/>
      <c r="AM138" s="7" t="e">
        <f>AJ138*(#REF!/12)</f>
        <v>#REF!</v>
      </c>
      <c r="AN138" s="7" t="e">
        <f t="shared" si="59"/>
        <v>#REF!</v>
      </c>
      <c r="AO138" s="75" t="e">
        <f t="shared" si="48"/>
        <v>#REF!</v>
      </c>
      <c r="AP138" s="75" t="e">
        <f t="shared" si="60"/>
        <v>#REF!</v>
      </c>
      <c r="AQ138" s="7" t="e">
        <f t="shared" si="53"/>
        <v>#REF!</v>
      </c>
      <c r="AR138" s="41"/>
    </row>
    <row r="139" spans="10:44" x14ac:dyDescent="0.25">
      <c r="J139" s="5">
        <f t="shared" si="49"/>
        <v>39</v>
      </c>
      <c r="K139" s="5">
        <f t="shared" si="44"/>
        <v>2037</v>
      </c>
      <c r="L139" s="34" t="s">
        <v>40</v>
      </c>
      <c r="M139" s="70">
        <f t="shared" si="54"/>
        <v>598.61877534071004</v>
      </c>
      <c r="N139" s="70">
        <f t="shared" si="45"/>
        <v>598.61877534071004</v>
      </c>
      <c r="O139" s="71"/>
      <c r="P139" s="86">
        <v>5</v>
      </c>
      <c r="Q139" s="51">
        <v>2</v>
      </c>
      <c r="R139" s="88">
        <f t="shared" si="55"/>
        <v>0.4</v>
      </c>
      <c r="S139" s="6">
        <v>0</v>
      </c>
      <c r="T139" s="8">
        <f t="shared" si="50"/>
        <v>1197.2375506814201</v>
      </c>
      <c r="U139" s="8" t="e">
        <f>#REF!</f>
        <v>#REF!</v>
      </c>
      <c r="V139" s="8"/>
      <c r="W139" s="8" t="e">
        <f t="shared" si="51"/>
        <v>#REF!</v>
      </c>
      <c r="X139" s="27"/>
      <c r="Y139" s="26" t="e">
        <f t="shared" si="56"/>
        <v>#REF!</v>
      </c>
      <c r="Z139" s="95"/>
      <c r="AA139" s="95"/>
      <c r="AB139" s="8">
        <f>'Business_172 PH Rd Budget'!$C$25</f>
        <v>2155.2899999999995</v>
      </c>
      <c r="AC139" s="8" t="e">
        <f t="shared" si="57"/>
        <v>#REF!</v>
      </c>
      <c r="AD139" s="8">
        <v>350000</v>
      </c>
      <c r="AE139" s="76" t="e">
        <f t="shared" si="46"/>
        <v>#REF!</v>
      </c>
      <c r="AF139" s="8" t="e">
        <f t="shared" si="47"/>
        <v>#REF!</v>
      </c>
      <c r="AH139" s="7" t="e">
        <f t="shared" si="52"/>
        <v>#REF!</v>
      </c>
      <c r="AI139" s="79" t="e">
        <f t="shared" si="58"/>
        <v>#REF!</v>
      </c>
      <c r="AJ139" s="79" t="e">
        <f t="shared" si="61"/>
        <v>#REF!</v>
      </c>
      <c r="AK139" s="75" t="e">
        <f>PMT(#REF!,#REF!,-#REF!,0,0)</f>
        <v>#REF!</v>
      </c>
      <c r="AL139" s="75"/>
      <c r="AM139" s="7" t="e">
        <f>AJ139*(#REF!/12)</f>
        <v>#REF!</v>
      </c>
      <c r="AN139" s="7" t="e">
        <f t="shared" si="59"/>
        <v>#REF!</v>
      </c>
      <c r="AO139" s="75" t="e">
        <f t="shared" si="48"/>
        <v>#REF!</v>
      </c>
      <c r="AP139" s="75" t="e">
        <f t="shared" si="60"/>
        <v>#REF!</v>
      </c>
      <c r="AQ139" s="7" t="e">
        <f t="shared" si="53"/>
        <v>#REF!</v>
      </c>
      <c r="AR139" s="41"/>
    </row>
    <row r="140" spans="10:44" x14ac:dyDescent="0.25">
      <c r="J140" s="5">
        <f t="shared" si="49"/>
        <v>39</v>
      </c>
      <c r="K140" s="5">
        <f t="shared" si="44"/>
        <v>2037</v>
      </c>
      <c r="L140" s="34" t="s">
        <v>42</v>
      </c>
      <c r="M140" s="70">
        <f t="shared" si="54"/>
        <v>598.61877534071004</v>
      </c>
      <c r="N140" s="70">
        <f t="shared" si="45"/>
        <v>598.61877534071004</v>
      </c>
      <c r="O140" s="71"/>
      <c r="P140" s="86">
        <v>4</v>
      </c>
      <c r="Q140" s="51">
        <v>4</v>
      </c>
      <c r="R140" s="88">
        <f t="shared" si="55"/>
        <v>1</v>
      </c>
      <c r="S140" s="6">
        <v>0</v>
      </c>
      <c r="T140" s="8">
        <f t="shared" si="50"/>
        <v>2394.4751013628402</v>
      </c>
      <c r="U140" s="8" t="e">
        <f>#REF!</f>
        <v>#REF!</v>
      </c>
      <c r="V140" s="8"/>
      <c r="W140" s="8" t="e">
        <f t="shared" si="51"/>
        <v>#REF!</v>
      </c>
      <c r="X140" s="27"/>
      <c r="Y140" s="26" t="e">
        <f t="shared" si="56"/>
        <v>#REF!</v>
      </c>
      <c r="Z140" s="95"/>
      <c r="AA140" s="95"/>
      <c r="AB140" s="8">
        <f>'Business_172 PH Rd Budget'!$C$25</f>
        <v>2155.2899999999995</v>
      </c>
      <c r="AC140" s="8" t="e">
        <f t="shared" si="57"/>
        <v>#REF!</v>
      </c>
      <c r="AD140" s="8">
        <v>350000</v>
      </c>
      <c r="AE140" s="76" t="e">
        <f t="shared" si="46"/>
        <v>#REF!</v>
      </c>
      <c r="AF140" s="8" t="e">
        <f t="shared" si="47"/>
        <v>#REF!</v>
      </c>
      <c r="AH140" s="7" t="e">
        <f t="shared" si="52"/>
        <v>#REF!</v>
      </c>
      <c r="AI140" s="79" t="e">
        <f t="shared" si="58"/>
        <v>#REF!</v>
      </c>
      <c r="AJ140" s="79" t="e">
        <f t="shared" si="61"/>
        <v>#REF!</v>
      </c>
      <c r="AK140" s="75" t="e">
        <f>PMT(#REF!,#REF!,-#REF!,0,0)</f>
        <v>#REF!</v>
      </c>
      <c r="AL140" s="75"/>
      <c r="AM140" s="7" t="e">
        <f>AJ140*(#REF!/12)</f>
        <v>#REF!</v>
      </c>
      <c r="AN140" s="7" t="e">
        <f t="shared" si="59"/>
        <v>#REF!</v>
      </c>
      <c r="AO140" s="75" t="e">
        <f t="shared" si="48"/>
        <v>#REF!</v>
      </c>
      <c r="AP140" s="75" t="e">
        <f t="shared" si="60"/>
        <v>#REF!</v>
      </c>
      <c r="AQ140" s="7" t="e">
        <f t="shared" si="53"/>
        <v>#REF!</v>
      </c>
      <c r="AR140" s="41"/>
    </row>
    <row r="141" spans="10:44" x14ac:dyDescent="0.25">
      <c r="J141" s="5">
        <f t="shared" si="49"/>
        <v>39</v>
      </c>
      <c r="K141" s="5">
        <f t="shared" si="44"/>
        <v>2037</v>
      </c>
      <c r="L141" s="34" t="s">
        <v>44</v>
      </c>
      <c r="M141" s="70">
        <f t="shared" si="54"/>
        <v>598.61877534071004</v>
      </c>
      <c r="N141" s="70">
        <f t="shared" si="45"/>
        <v>598.61877534071004</v>
      </c>
      <c r="O141" s="71"/>
      <c r="P141" s="86">
        <v>4</v>
      </c>
      <c r="Q141" s="51">
        <v>4</v>
      </c>
      <c r="R141" s="88">
        <f t="shared" si="55"/>
        <v>1</v>
      </c>
      <c r="S141" s="6">
        <v>0</v>
      </c>
      <c r="T141" s="8">
        <f t="shared" si="50"/>
        <v>2394.4751013628402</v>
      </c>
      <c r="U141" s="8" t="e">
        <f>#REF!</f>
        <v>#REF!</v>
      </c>
      <c r="V141" s="8"/>
      <c r="W141" s="8" t="e">
        <f t="shared" si="51"/>
        <v>#REF!</v>
      </c>
      <c r="X141" s="27"/>
      <c r="Y141" s="26" t="e">
        <f t="shared" si="56"/>
        <v>#REF!</v>
      </c>
      <c r="Z141" s="95"/>
      <c r="AA141" s="95"/>
      <c r="AB141" s="8">
        <f>'Business_172 PH Rd Budget'!$C$25</f>
        <v>2155.2899999999995</v>
      </c>
      <c r="AC141" s="8" t="e">
        <f t="shared" si="57"/>
        <v>#REF!</v>
      </c>
      <c r="AD141" s="8">
        <v>350000</v>
      </c>
      <c r="AE141" s="76" t="e">
        <f t="shared" si="46"/>
        <v>#REF!</v>
      </c>
      <c r="AF141" s="8" t="e">
        <f t="shared" si="47"/>
        <v>#REF!</v>
      </c>
      <c r="AH141" s="7" t="e">
        <f t="shared" si="52"/>
        <v>#REF!</v>
      </c>
      <c r="AI141" s="79" t="e">
        <f t="shared" si="58"/>
        <v>#REF!</v>
      </c>
      <c r="AJ141" s="79" t="e">
        <f t="shared" si="61"/>
        <v>#REF!</v>
      </c>
      <c r="AK141" s="75" t="e">
        <f>PMT(#REF!,#REF!,-#REF!,0,0)</f>
        <v>#REF!</v>
      </c>
      <c r="AL141" s="75"/>
      <c r="AM141" s="7" t="e">
        <f>AJ141*(#REF!/12)</f>
        <v>#REF!</v>
      </c>
      <c r="AN141" s="7" t="e">
        <f t="shared" si="59"/>
        <v>#REF!</v>
      </c>
      <c r="AO141" s="75" t="e">
        <f t="shared" si="48"/>
        <v>#REF!</v>
      </c>
      <c r="AP141" s="75" t="e">
        <f t="shared" si="60"/>
        <v>#REF!</v>
      </c>
      <c r="AQ141" s="7" t="e">
        <f t="shared" si="53"/>
        <v>#REF!</v>
      </c>
      <c r="AR141" s="41"/>
    </row>
    <row r="142" spans="10:44" x14ac:dyDescent="0.25">
      <c r="J142" s="5">
        <f t="shared" si="49"/>
        <v>39</v>
      </c>
      <c r="K142" s="5">
        <f t="shared" si="44"/>
        <v>2037</v>
      </c>
      <c r="L142" s="34" t="s">
        <v>47</v>
      </c>
      <c r="M142" s="70">
        <f t="shared" si="54"/>
        <v>598.61877534071004</v>
      </c>
      <c r="N142" s="70">
        <f t="shared" si="45"/>
        <v>598.61877534071004</v>
      </c>
      <c r="O142" s="71"/>
      <c r="P142" s="86">
        <v>5</v>
      </c>
      <c r="Q142" s="51">
        <v>4</v>
      </c>
      <c r="R142" s="88">
        <f t="shared" si="55"/>
        <v>0.8</v>
      </c>
      <c r="S142" s="6">
        <v>0</v>
      </c>
      <c r="T142" s="8">
        <f t="shared" si="50"/>
        <v>2394.4751013628402</v>
      </c>
      <c r="U142" s="8" t="e">
        <f>#REF!</f>
        <v>#REF!</v>
      </c>
      <c r="V142" s="8"/>
      <c r="W142" s="8" t="e">
        <f t="shared" si="51"/>
        <v>#REF!</v>
      </c>
      <c r="X142" s="27"/>
      <c r="Y142" s="26" t="e">
        <f t="shared" si="56"/>
        <v>#REF!</v>
      </c>
      <c r="Z142" s="95"/>
      <c r="AA142" s="95"/>
      <c r="AB142" s="8">
        <f>'Business_172 PH Rd Budget'!$C$25</f>
        <v>2155.2899999999995</v>
      </c>
      <c r="AC142" s="8" t="e">
        <f t="shared" si="57"/>
        <v>#REF!</v>
      </c>
      <c r="AD142" s="8">
        <v>350000</v>
      </c>
      <c r="AE142" s="76" t="e">
        <f t="shared" si="46"/>
        <v>#REF!</v>
      </c>
      <c r="AF142" s="8" t="e">
        <f t="shared" si="47"/>
        <v>#REF!</v>
      </c>
      <c r="AH142" s="7" t="e">
        <f t="shared" si="52"/>
        <v>#REF!</v>
      </c>
      <c r="AI142" s="79" t="e">
        <f t="shared" si="58"/>
        <v>#REF!</v>
      </c>
      <c r="AJ142" s="79" t="e">
        <f t="shared" si="61"/>
        <v>#REF!</v>
      </c>
      <c r="AK142" s="75" t="e">
        <f>PMT(#REF!,#REF!,-#REF!,0,0)</f>
        <v>#REF!</v>
      </c>
      <c r="AL142" s="75"/>
      <c r="AM142" s="7" t="e">
        <f>AJ142*(#REF!/12)</f>
        <v>#REF!</v>
      </c>
      <c r="AN142" s="7" t="e">
        <f t="shared" si="59"/>
        <v>#REF!</v>
      </c>
      <c r="AO142" s="75" t="e">
        <f t="shared" si="48"/>
        <v>#REF!</v>
      </c>
      <c r="AP142" s="75" t="e">
        <f t="shared" si="60"/>
        <v>#REF!</v>
      </c>
      <c r="AQ142" s="7" t="e">
        <f t="shared" si="53"/>
        <v>#REF!</v>
      </c>
      <c r="AR142" s="41"/>
    </row>
    <row r="143" spans="10:44" x14ac:dyDescent="0.25">
      <c r="J143" s="5">
        <f t="shared" si="49"/>
        <v>39</v>
      </c>
      <c r="K143" s="5">
        <f t="shared" si="44"/>
        <v>2037</v>
      </c>
      <c r="L143" s="34" t="s">
        <v>49</v>
      </c>
      <c r="M143" s="70">
        <f t="shared" si="54"/>
        <v>598.61877534071004</v>
      </c>
      <c r="N143" s="70">
        <f t="shared" si="45"/>
        <v>598.61877534071004</v>
      </c>
      <c r="O143" s="71"/>
      <c r="P143" s="86">
        <v>4</v>
      </c>
      <c r="Q143" s="44">
        <v>4</v>
      </c>
      <c r="R143" s="88">
        <f t="shared" si="55"/>
        <v>1</v>
      </c>
      <c r="S143" s="6">
        <v>0</v>
      </c>
      <c r="T143" s="8">
        <f t="shared" si="50"/>
        <v>2394.4751013628402</v>
      </c>
      <c r="U143" s="8" t="e">
        <f>#REF!</f>
        <v>#REF!</v>
      </c>
      <c r="V143" s="8"/>
      <c r="W143" s="8" t="e">
        <f t="shared" si="51"/>
        <v>#REF!</v>
      </c>
      <c r="X143" s="27"/>
      <c r="Y143" s="26" t="e">
        <f t="shared" si="56"/>
        <v>#REF!</v>
      </c>
      <c r="Z143" s="95"/>
      <c r="AA143" s="95"/>
      <c r="AB143" s="8">
        <f>'Business_172 PH Rd Budget'!$C$25</f>
        <v>2155.2899999999995</v>
      </c>
      <c r="AC143" s="8" t="e">
        <f t="shared" si="57"/>
        <v>#REF!</v>
      </c>
      <c r="AD143" s="8">
        <v>350000</v>
      </c>
      <c r="AE143" s="76" t="e">
        <f t="shared" si="46"/>
        <v>#REF!</v>
      </c>
      <c r="AF143" s="8" t="e">
        <f t="shared" si="47"/>
        <v>#REF!</v>
      </c>
      <c r="AH143" s="7" t="e">
        <f t="shared" si="52"/>
        <v>#REF!</v>
      </c>
      <c r="AI143" s="79" t="e">
        <f t="shared" si="58"/>
        <v>#REF!</v>
      </c>
      <c r="AJ143" s="79" t="e">
        <f t="shared" si="61"/>
        <v>#REF!</v>
      </c>
      <c r="AK143" s="75" t="e">
        <f>PMT(#REF!,#REF!,-#REF!,0,0)</f>
        <v>#REF!</v>
      </c>
      <c r="AL143" s="75"/>
      <c r="AM143" s="7" t="e">
        <f>AJ143*(#REF!/12)</f>
        <v>#REF!</v>
      </c>
      <c r="AN143" s="7" t="e">
        <f t="shared" si="59"/>
        <v>#REF!</v>
      </c>
      <c r="AO143" s="75" t="e">
        <f t="shared" si="48"/>
        <v>#REF!</v>
      </c>
      <c r="AP143" s="75" t="e">
        <f t="shared" si="60"/>
        <v>#REF!</v>
      </c>
      <c r="AQ143" s="7" t="e">
        <f t="shared" si="53"/>
        <v>#REF!</v>
      </c>
      <c r="AR143" s="41"/>
    </row>
    <row r="144" spans="10:44" x14ac:dyDescent="0.25">
      <c r="J144" s="5">
        <f t="shared" si="49"/>
        <v>39</v>
      </c>
      <c r="K144" s="5">
        <f t="shared" ref="K144:K194" si="62">K132+1</f>
        <v>2037</v>
      </c>
      <c r="L144" s="34" t="s">
        <v>51</v>
      </c>
      <c r="M144" s="70">
        <f t="shared" si="54"/>
        <v>598.61877534071004</v>
      </c>
      <c r="N144" s="70">
        <f t="shared" si="45"/>
        <v>598.61877534071004</v>
      </c>
      <c r="O144" s="71"/>
      <c r="P144" s="86">
        <v>5</v>
      </c>
      <c r="Q144" s="44">
        <v>4</v>
      </c>
      <c r="R144" s="88">
        <f t="shared" si="55"/>
        <v>0.8</v>
      </c>
      <c r="S144" s="6">
        <v>0</v>
      </c>
      <c r="T144" s="8">
        <f t="shared" si="50"/>
        <v>2394.4751013628402</v>
      </c>
      <c r="U144" s="8" t="e">
        <f>#REF!</f>
        <v>#REF!</v>
      </c>
      <c r="V144" s="8"/>
      <c r="W144" s="8" t="e">
        <f t="shared" si="51"/>
        <v>#REF!</v>
      </c>
      <c r="X144" s="27"/>
      <c r="Y144" s="26" t="e">
        <f t="shared" si="56"/>
        <v>#REF!</v>
      </c>
      <c r="Z144" s="95"/>
      <c r="AA144" s="95"/>
      <c r="AB144" s="8">
        <f>'Business_172 PH Rd Budget'!$C$25</f>
        <v>2155.2899999999995</v>
      </c>
      <c r="AC144" s="8" t="e">
        <f t="shared" si="57"/>
        <v>#REF!</v>
      </c>
      <c r="AD144" s="8">
        <v>350000</v>
      </c>
      <c r="AE144" s="76" t="e">
        <f t="shared" si="46"/>
        <v>#REF!</v>
      </c>
      <c r="AF144" s="8" t="e">
        <f t="shared" si="47"/>
        <v>#REF!</v>
      </c>
      <c r="AH144" s="7" t="e">
        <f t="shared" si="52"/>
        <v>#REF!</v>
      </c>
      <c r="AI144" s="79" t="e">
        <f t="shared" si="58"/>
        <v>#REF!</v>
      </c>
      <c r="AJ144" s="79" t="e">
        <f t="shared" si="61"/>
        <v>#REF!</v>
      </c>
      <c r="AK144" s="75" t="e">
        <f>PMT(#REF!,#REF!,-#REF!,0,0)</f>
        <v>#REF!</v>
      </c>
      <c r="AL144" s="75"/>
      <c r="AM144" s="7" t="e">
        <f>AJ144*(#REF!/12)</f>
        <v>#REF!</v>
      </c>
      <c r="AN144" s="7" t="e">
        <f t="shared" si="59"/>
        <v>#REF!</v>
      </c>
      <c r="AO144" s="75" t="e">
        <f t="shared" si="48"/>
        <v>#REF!</v>
      </c>
      <c r="AP144" s="75" t="e">
        <f t="shared" si="60"/>
        <v>#REF!</v>
      </c>
      <c r="AQ144" s="7" t="e">
        <f t="shared" si="53"/>
        <v>#REF!</v>
      </c>
      <c r="AR144" s="41"/>
    </row>
    <row r="145" spans="10:44" x14ac:dyDescent="0.25">
      <c r="J145" s="5">
        <f t="shared" si="49"/>
        <v>39</v>
      </c>
      <c r="K145" s="5">
        <f t="shared" si="62"/>
        <v>2037</v>
      </c>
      <c r="L145" s="34" t="s">
        <v>53</v>
      </c>
      <c r="M145" s="70">
        <f t="shared" si="54"/>
        <v>598.61877534071004</v>
      </c>
      <c r="N145" s="70">
        <f t="shared" si="45"/>
        <v>538.75689780663902</v>
      </c>
      <c r="O145" s="71"/>
      <c r="P145" s="87"/>
      <c r="Q145" s="68">
        <v>0</v>
      </c>
      <c r="R145" s="88" t="str">
        <f t="shared" si="55"/>
        <v/>
      </c>
      <c r="S145" s="69">
        <v>0.1</v>
      </c>
      <c r="T145" s="8">
        <f t="shared" si="50"/>
        <v>0</v>
      </c>
      <c r="U145" s="8" t="e">
        <f>#REF!</f>
        <v>#REF!</v>
      </c>
      <c r="V145" s="8"/>
      <c r="W145" s="8" t="e">
        <f t="shared" si="51"/>
        <v>#REF!</v>
      </c>
      <c r="X145" s="27"/>
      <c r="Y145" s="26" t="e">
        <f t="shared" si="56"/>
        <v>#REF!</v>
      </c>
      <c r="Z145" s="95"/>
      <c r="AA145" s="95"/>
      <c r="AB145" s="8">
        <f>'Business_172 PH Rd Budget'!$C$25</f>
        <v>2155.2899999999995</v>
      </c>
      <c r="AC145" s="8" t="e">
        <f t="shared" si="57"/>
        <v>#REF!</v>
      </c>
      <c r="AD145" s="8">
        <v>350000</v>
      </c>
      <c r="AE145" s="76" t="e">
        <f t="shared" si="46"/>
        <v>#REF!</v>
      </c>
      <c r="AF145" s="8" t="e">
        <f t="shared" si="47"/>
        <v>#REF!</v>
      </c>
      <c r="AH145" s="7" t="e">
        <f t="shared" si="52"/>
        <v>#REF!</v>
      </c>
      <c r="AI145" s="79" t="e">
        <f t="shared" si="58"/>
        <v>#REF!</v>
      </c>
      <c r="AJ145" s="79" t="e">
        <f t="shared" si="61"/>
        <v>#REF!</v>
      </c>
      <c r="AK145" s="75" t="e">
        <f>PMT(#REF!,#REF!,-#REF!,0,0)</f>
        <v>#REF!</v>
      </c>
      <c r="AL145" s="75"/>
      <c r="AM145" s="7" t="e">
        <f>AJ145*(#REF!/12)</f>
        <v>#REF!</v>
      </c>
      <c r="AN145" s="7" t="e">
        <f t="shared" si="59"/>
        <v>#REF!</v>
      </c>
      <c r="AO145" s="75" t="e">
        <f t="shared" si="48"/>
        <v>#REF!</v>
      </c>
      <c r="AP145" s="75" t="e">
        <f t="shared" si="60"/>
        <v>#REF!</v>
      </c>
      <c r="AQ145" s="7" t="e">
        <f t="shared" si="53"/>
        <v>#REF!</v>
      </c>
      <c r="AR145" s="41"/>
    </row>
    <row r="146" spans="10:44" x14ac:dyDescent="0.25">
      <c r="J146" s="5">
        <f t="shared" si="49"/>
        <v>39</v>
      </c>
      <c r="K146" s="5">
        <f t="shared" si="62"/>
        <v>2037</v>
      </c>
      <c r="L146" s="34" t="s">
        <v>55</v>
      </c>
      <c r="M146" s="70">
        <f t="shared" si="54"/>
        <v>598.61877534071004</v>
      </c>
      <c r="N146" s="70">
        <f t="shared" si="45"/>
        <v>478.89502027256805</v>
      </c>
      <c r="O146" s="71"/>
      <c r="P146" s="86"/>
      <c r="Q146" s="51">
        <v>0</v>
      </c>
      <c r="R146" s="88" t="str">
        <f t="shared" si="55"/>
        <v/>
      </c>
      <c r="S146" s="6">
        <v>0.2</v>
      </c>
      <c r="T146" s="8">
        <f t="shared" si="50"/>
        <v>0</v>
      </c>
      <c r="U146" s="8" t="e">
        <f>#REF!</f>
        <v>#REF!</v>
      </c>
      <c r="V146" s="8"/>
      <c r="W146" s="8" t="e">
        <f t="shared" si="51"/>
        <v>#REF!</v>
      </c>
      <c r="X146" s="27"/>
      <c r="Y146" s="26" t="e">
        <f t="shared" si="56"/>
        <v>#REF!</v>
      </c>
      <c r="Z146" s="95"/>
      <c r="AA146" s="95"/>
      <c r="AB146" s="8">
        <f>'Business_172 PH Rd Budget'!$C$25</f>
        <v>2155.2899999999995</v>
      </c>
      <c r="AC146" s="8" t="e">
        <f t="shared" si="57"/>
        <v>#REF!</v>
      </c>
      <c r="AD146" s="8">
        <v>350000</v>
      </c>
      <c r="AE146" s="76" t="e">
        <f t="shared" si="46"/>
        <v>#REF!</v>
      </c>
      <c r="AF146" s="8" t="e">
        <f t="shared" si="47"/>
        <v>#REF!</v>
      </c>
      <c r="AH146" s="7" t="e">
        <f t="shared" si="52"/>
        <v>#REF!</v>
      </c>
      <c r="AI146" s="79" t="e">
        <f t="shared" si="58"/>
        <v>#REF!</v>
      </c>
      <c r="AJ146" s="79" t="e">
        <f t="shared" si="61"/>
        <v>#REF!</v>
      </c>
      <c r="AK146" s="75" t="e">
        <f>PMT(#REF!,#REF!,-#REF!,0,0)</f>
        <v>#REF!</v>
      </c>
      <c r="AL146" s="75"/>
      <c r="AM146" s="7" t="e">
        <f>AJ146*(#REF!/12)</f>
        <v>#REF!</v>
      </c>
      <c r="AN146" s="7" t="e">
        <f t="shared" si="59"/>
        <v>#REF!</v>
      </c>
      <c r="AO146" s="75" t="e">
        <f t="shared" si="48"/>
        <v>#REF!</v>
      </c>
      <c r="AP146" s="75" t="e">
        <f t="shared" si="60"/>
        <v>#REF!</v>
      </c>
      <c r="AQ146" s="7" t="e">
        <f t="shared" si="53"/>
        <v>#REF!</v>
      </c>
      <c r="AR146" s="41"/>
    </row>
    <row r="147" spans="10:44" x14ac:dyDescent="0.25">
      <c r="J147" s="5">
        <f t="shared" si="49"/>
        <v>40</v>
      </c>
      <c r="K147" s="5">
        <f t="shared" si="62"/>
        <v>2038</v>
      </c>
      <c r="L147" s="34" t="s">
        <v>31</v>
      </c>
      <c r="M147" s="70">
        <f t="shared" si="54"/>
        <v>628.54971410774556</v>
      </c>
      <c r="N147" s="70">
        <f t="shared" si="45"/>
        <v>471.41228558080917</v>
      </c>
      <c r="O147" s="71">
        <v>0.05</v>
      </c>
      <c r="P147" s="86"/>
      <c r="Q147" s="51">
        <v>0</v>
      </c>
      <c r="R147" s="88" t="str">
        <f t="shared" si="55"/>
        <v/>
      </c>
      <c r="S147" s="6">
        <v>0.25</v>
      </c>
      <c r="T147" s="8">
        <f t="shared" si="50"/>
        <v>0</v>
      </c>
      <c r="U147" s="8" t="e">
        <f>#REF!</f>
        <v>#REF!</v>
      </c>
      <c r="V147" s="8"/>
      <c r="W147" s="8" t="e">
        <f t="shared" si="51"/>
        <v>#REF!</v>
      </c>
      <c r="X147" s="27"/>
      <c r="Y147" s="26" t="e">
        <f t="shared" si="56"/>
        <v>#REF!</v>
      </c>
      <c r="Z147" s="95"/>
      <c r="AA147" s="95"/>
      <c r="AB147" s="8">
        <f>'Business_172 PH Rd Budget'!$C$25</f>
        <v>2155.2899999999995</v>
      </c>
      <c r="AC147" s="8" t="e">
        <f t="shared" si="57"/>
        <v>#REF!</v>
      </c>
      <c r="AD147" s="8">
        <v>350000</v>
      </c>
      <c r="AE147" s="76" t="e">
        <f t="shared" si="46"/>
        <v>#REF!</v>
      </c>
      <c r="AF147" s="8" t="e">
        <f t="shared" si="47"/>
        <v>#REF!</v>
      </c>
      <c r="AH147" s="7" t="e">
        <f t="shared" si="52"/>
        <v>#REF!</v>
      </c>
      <c r="AI147" s="79" t="e">
        <f t="shared" si="58"/>
        <v>#REF!</v>
      </c>
      <c r="AJ147" s="79" t="e">
        <f t="shared" si="61"/>
        <v>#REF!</v>
      </c>
      <c r="AK147" s="75" t="e">
        <f>PMT(#REF!,#REF!,-#REF!,0,0)</f>
        <v>#REF!</v>
      </c>
      <c r="AL147" s="75"/>
      <c r="AM147" s="7" t="e">
        <f>AJ147*(#REF!/12)</f>
        <v>#REF!</v>
      </c>
      <c r="AN147" s="7" t="e">
        <f t="shared" si="59"/>
        <v>#REF!</v>
      </c>
      <c r="AO147" s="75" t="e">
        <f t="shared" si="48"/>
        <v>#REF!</v>
      </c>
      <c r="AP147" s="75" t="e">
        <f t="shared" si="60"/>
        <v>#REF!</v>
      </c>
      <c r="AQ147" s="7" t="e">
        <f t="shared" si="53"/>
        <v>#REF!</v>
      </c>
      <c r="AR147" s="41"/>
    </row>
    <row r="148" spans="10:44" x14ac:dyDescent="0.25">
      <c r="J148" s="5">
        <f t="shared" si="49"/>
        <v>40</v>
      </c>
      <c r="K148" s="5">
        <f t="shared" si="62"/>
        <v>2038</v>
      </c>
      <c r="L148" s="34" t="s">
        <v>33</v>
      </c>
      <c r="M148" s="70">
        <f t="shared" si="54"/>
        <v>628.54971410774556</v>
      </c>
      <c r="N148" s="70">
        <f t="shared" si="45"/>
        <v>471.41228558080917</v>
      </c>
      <c r="O148" s="71"/>
      <c r="P148" s="86"/>
      <c r="Q148" s="51">
        <v>0</v>
      </c>
      <c r="R148" s="88" t="str">
        <f t="shared" si="55"/>
        <v/>
      </c>
      <c r="S148" s="6">
        <v>0.25</v>
      </c>
      <c r="T148" s="8">
        <f t="shared" si="50"/>
        <v>0</v>
      </c>
      <c r="U148" s="8" t="e">
        <f>#REF!</f>
        <v>#REF!</v>
      </c>
      <c r="V148" s="8"/>
      <c r="W148" s="8" t="e">
        <f t="shared" si="51"/>
        <v>#REF!</v>
      </c>
      <c r="X148" s="27"/>
      <c r="Y148" s="26" t="e">
        <f t="shared" si="56"/>
        <v>#REF!</v>
      </c>
      <c r="Z148" s="95"/>
      <c r="AA148" s="95"/>
      <c r="AB148" s="8">
        <f>'Business_172 PH Rd Budget'!$C$25</f>
        <v>2155.2899999999995</v>
      </c>
      <c r="AC148" s="8" t="e">
        <f t="shared" si="57"/>
        <v>#REF!</v>
      </c>
      <c r="AD148" s="8">
        <v>350000</v>
      </c>
      <c r="AE148" s="76" t="e">
        <f t="shared" si="46"/>
        <v>#REF!</v>
      </c>
      <c r="AF148" s="8" t="e">
        <f t="shared" si="47"/>
        <v>#REF!</v>
      </c>
      <c r="AH148" s="7" t="e">
        <f t="shared" si="52"/>
        <v>#REF!</v>
      </c>
      <c r="AI148" s="79" t="e">
        <f t="shared" si="58"/>
        <v>#REF!</v>
      </c>
      <c r="AJ148" s="79" t="e">
        <f t="shared" si="61"/>
        <v>#REF!</v>
      </c>
      <c r="AK148" s="75" t="e">
        <f>PMT(#REF!,#REF!,-#REF!,0,0)</f>
        <v>#REF!</v>
      </c>
      <c r="AL148" s="75"/>
      <c r="AM148" s="7" t="e">
        <f>AJ148*(#REF!/12)</f>
        <v>#REF!</v>
      </c>
      <c r="AN148" s="7" t="e">
        <f t="shared" si="59"/>
        <v>#REF!</v>
      </c>
      <c r="AO148" s="75" t="e">
        <f t="shared" si="48"/>
        <v>#REF!</v>
      </c>
      <c r="AP148" s="75" t="e">
        <f t="shared" si="60"/>
        <v>#REF!</v>
      </c>
      <c r="AQ148" s="7" t="e">
        <f t="shared" si="53"/>
        <v>#REF!</v>
      </c>
      <c r="AR148" s="41"/>
    </row>
    <row r="149" spans="10:44" x14ac:dyDescent="0.25">
      <c r="J149" s="5">
        <f t="shared" si="49"/>
        <v>40</v>
      </c>
      <c r="K149" s="5">
        <f t="shared" si="62"/>
        <v>2038</v>
      </c>
      <c r="L149" s="34" t="s">
        <v>36</v>
      </c>
      <c r="M149" s="70">
        <f t="shared" si="54"/>
        <v>628.54971410774556</v>
      </c>
      <c r="N149" s="70">
        <f t="shared" si="45"/>
        <v>502.83977128619648</v>
      </c>
      <c r="O149" s="71"/>
      <c r="P149" s="86"/>
      <c r="Q149" s="51">
        <v>0</v>
      </c>
      <c r="R149" s="88" t="str">
        <f t="shared" si="55"/>
        <v/>
      </c>
      <c r="S149" s="6">
        <v>0.2</v>
      </c>
      <c r="T149" s="8">
        <f t="shared" si="50"/>
        <v>0</v>
      </c>
      <c r="U149" s="8" t="e">
        <f>#REF!</f>
        <v>#REF!</v>
      </c>
      <c r="V149" s="8"/>
      <c r="W149" s="8" t="e">
        <f t="shared" si="51"/>
        <v>#REF!</v>
      </c>
      <c r="X149" s="27"/>
      <c r="Y149" s="26" t="e">
        <f t="shared" si="56"/>
        <v>#REF!</v>
      </c>
      <c r="Z149" s="95"/>
      <c r="AA149" s="95"/>
      <c r="AB149" s="8">
        <f>'Business_172 PH Rd Budget'!$C$25</f>
        <v>2155.2899999999995</v>
      </c>
      <c r="AC149" s="8" t="e">
        <f t="shared" si="57"/>
        <v>#REF!</v>
      </c>
      <c r="AD149" s="8">
        <v>350000</v>
      </c>
      <c r="AE149" s="76" t="e">
        <f t="shared" si="46"/>
        <v>#REF!</v>
      </c>
      <c r="AF149" s="8" t="e">
        <f t="shared" si="47"/>
        <v>#REF!</v>
      </c>
      <c r="AH149" s="7" t="e">
        <f t="shared" si="52"/>
        <v>#REF!</v>
      </c>
      <c r="AI149" s="79" t="e">
        <f t="shared" si="58"/>
        <v>#REF!</v>
      </c>
      <c r="AJ149" s="79" t="e">
        <f t="shared" si="61"/>
        <v>#REF!</v>
      </c>
      <c r="AK149" s="75" t="e">
        <f>PMT(#REF!,#REF!,-#REF!,0,0)</f>
        <v>#REF!</v>
      </c>
      <c r="AL149" s="75"/>
      <c r="AM149" s="7" t="e">
        <f>AJ149*(#REF!/12)</f>
        <v>#REF!</v>
      </c>
      <c r="AN149" s="7" t="e">
        <f t="shared" si="59"/>
        <v>#REF!</v>
      </c>
      <c r="AO149" s="75" t="e">
        <f t="shared" si="48"/>
        <v>#REF!</v>
      </c>
      <c r="AP149" s="75" t="e">
        <f t="shared" si="60"/>
        <v>#REF!</v>
      </c>
      <c r="AQ149" s="7" t="e">
        <f t="shared" si="53"/>
        <v>#REF!</v>
      </c>
      <c r="AR149" s="41"/>
    </row>
    <row r="150" spans="10:44" x14ac:dyDescent="0.25">
      <c r="J150" s="5">
        <f t="shared" si="49"/>
        <v>40</v>
      </c>
      <c r="K150" s="5">
        <f t="shared" si="62"/>
        <v>2038</v>
      </c>
      <c r="L150" s="34" t="s">
        <v>38</v>
      </c>
      <c r="M150" s="70">
        <f t="shared" si="54"/>
        <v>628.54971410774556</v>
      </c>
      <c r="N150" s="70">
        <f t="shared" si="45"/>
        <v>565.69474269697105</v>
      </c>
      <c r="O150" s="71"/>
      <c r="P150" s="86"/>
      <c r="Q150" s="51"/>
      <c r="R150" s="88" t="str">
        <f t="shared" si="55"/>
        <v/>
      </c>
      <c r="S150" s="6">
        <v>0.1</v>
      </c>
      <c r="T150" s="8">
        <f t="shared" si="50"/>
        <v>0</v>
      </c>
      <c r="U150" s="8" t="e">
        <f>#REF!</f>
        <v>#REF!</v>
      </c>
      <c r="V150" s="8"/>
      <c r="W150" s="8" t="e">
        <f t="shared" si="51"/>
        <v>#REF!</v>
      </c>
      <c r="X150" s="27"/>
      <c r="Y150" s="26" t="e">
        <f t="shared" si="56"/>
        <v>#REF!</v>
      </c>
      <c r="Z150" s="95"/>
      <c r="AA150" s="95"/>
      <c r="AB150" s="8">
        <f>'Business_172 PH Rd Budget'!$C$25</f>
        <v>2155.2899999999995</v>
      </c>
      <c r="AC150" s="8" t="e">
        <f t="shared" si="57"/>
        <v>#REF!</v>
      </c>
      <c r="AD150" s="8">
        <v>350000</v>
      </c>
      <c r="AE150" s="76" t="e">
        <f t="shared" si="46"/>
        <v>#REF!</v>
      </c>
      <c r="AF150" s="8" t="e">
        <f t="shared" si="47"/>
        <v>#REF!</v>
      </c>
      <c r="AH150" s="7" t="e">
        <f t="shared" si="52"/>
        <v>#REF!</v>
      </c>
      <c r="AI150" s="79" t="e">
        <f t="shared" si="58"/>
        <v>#REF!</v>
      </c>
      <c r="AJ150" s="79" t="e">
        <f t="shared" si="61"/>
        <v>#REF!</v>
      </c>
      <c r="AK150" s="75" t="e">
        <f>PMT(#REF!,#REF!,-#REF!,0,0)</f>
        <v>#REF!</v>
      </c>
      <c r="AL150" s="75"/>
      <c r="AM150" s="7" t="e">
        <f>AJ150*(#REF!/12)</f>
        <v>#REF!</v>
      </c>
      <c r="AN150" s="7" t="e">
        <f t="shared" si="59"/>
        <v>#REF!</v>
      </c>
      <c r="AO150" s="75" t="e">
        <f t="shared" si="48"/>
        <v>#REF!</v>
      </c>
      <c r="AP150" s="75" t="e">
        <f t="shared" si="60"/>
        <v>#REF!</v>
      </c>
      <c r="AQ150" s="7" t="e">
        <f t="shared" si="53"/>
        <v>#REF!</v>
      </c>
      <c r="AR150" s="41"/>
    </row>
    <row r="151" spans="10:44" x14ac:dyDescent="0.25">
      <c r="J151" s="5">
        <f t="shared" si="49"/>
        <v>40</v>
      </c>
      <c r="K151" s="5">
        <f t="shared" si="62"/>
        <v>2038</v>
      </c>
      <c r="L151" s="34" t="s">
        <v>40</v>
      </c>
      <c r="M151" s="70">
        <f t="shared" si="54"/>
        <v>628.54971410774556</v>
      </c>
      <c r="N151" s="70">
        <f t="shared" si="45"/>
        <v>628.54971410774556</v>
      </c>
      <c r="O151" s="71"/>
      <c r="P151" s="86">
        <v>5</v>
      </c>
      <c r="Q151" s="51">
        <v>2</v>
      </c>
      <c r="R151" s="88">
        <f t="shared" si="55"/>
        <v>0.4</v>
      </c>
      <c r="S151" s="6">
        <v>0</v>
      </c>
      <c r="T151" s="8">
        <f t="shared" si="50"/>
        <v>1257.0994282154911</v>
      </c>
      <c r="U151" s="8" t="e">
        <f>#REF!</f>
        <v>#REF!</v>
      </c>
      <c r="V151" s="8"/>
      <c r="W151" s="8" t="e">
        <f t="shared" si="51"/>
        <v>#REF!</v>
      </c>
      <c r="X151" s="27"/>
      <c r="Y151" s="26" t="e">
        <f t="shared" si="56"/>
        <v>#REF!</v>
      </c>
      <c r="Z151" s="95"/>
      <c r="AA151" s="95"/>
      <c r="AB151" s="8">
        <f>'Business_172 PH Rd Budget'!$C$25</f>
        <v>2155.2899999999995</v>
      </c>
      <c r="AC151" s="8" t="e">
        <f t="shared" si="57"/>
        <v>#REF!</v>
      </c>
      <c r="AD151" s="8">
        <v>350000</v>
      </c>
      <c r="AE151" s="76" t="e">
        <f t="shared" si="46"/>
        <v>#REF!</v>
      </c>
      <c r="AF151" s="8" t="e">
        <f t="shared" si="47"/>
        <v>#REF!</v>
      </c>
      <c r="AH151" s="7" t="e">
        <f t="shared" si="52"/>
        <v>#REF!</v>
      </c>
      <c r="AI151" s="79" t="e">
        <f t="shared" si="58"/>
        <v>#REF!</v>
      </c>
      <c r="AJ151" s="79" t="e">
        <f t="shared" si="61"/>
        <v>#REF!</v>
      </c>
      <c r="AK151" s="75" t="e">
        <f>PMT(#REF!,#REF!,-#REF!,0,0)</f>
        <v>#REF!</v>
      </c>
      <c r="AL151" s="75"/>
      <c r="AM151" s="7" t="e">
        <f>AJ151*(#REF!/12)</f>
        <v>#REF!</v>
      </c>
      <c r="AN151" s="7" t="e">
        <f t="shared" si="59"/>
        <v>#REF!</v>
      </c>
      <c r="AO151" s="75" t="e">
        <f t="shared" si="48"/>
        <v>#REF!</v>
      </c>
      <c r="AP151" s="75" t="e">
        <f t="shared" si="60"/>
        <v>#REF!</v>
      </c>
      <c r="AQ151" s="7" t="e">
        <f t="shared" si="53"/>
        <v>#REF!</v>
      </c>
      <c r="AR151" s="41"/>
    </row>
    <row r="152" spans="10:44" x14ac:dyDescent="0.25">
      <c r="J152" s="5">
        <f t="shared" si="49"/>
        <v>40</v>
      </c>
      <c r="K152" s="5">
        <f t="shared" si="62"/>
        <v>2038</v>
      </c>
      <c r="L152" s="34" t="s">
        <v>42</v>
      </c>
      <c r="M152" s="70">
        <f t="shared" si="54"/>
        <v>628.54971410774556</v>
      </c>
      <c r="N152" s="70">
        <f t="shared" si="45"/>
        <v>628.54971410774556</v>
      </c>
      <c r="O152" s="71"/>
      <c r="P152" s="86">
        <v>4</v>
      </c>
      <c r="Q152" s="51">
        <v>4</v>
      </c>
      <c r="R152" s="88">
        <f t="shared" si="55"/>
        <v>1</v>
      </c>
      <c r="S152" s="6">
        <v>0</v>
      </c>
      <c r="T152" s="8">
        <f t="shared" si="50"/>
        <v>2514.1988564309822</v>
      </c>
      <c r="U152" s="8" t="e">
        <f>#REF!</f>
        <v>#REF!</v>
      </c>
      <c r="V152" s="8"/>
      <c r="W152" s="8" t="e">
        <f t="shared" si="51"/>
        <v>#REF!</v>
      </c>
      <c r="X152" s="27"/>
      <c r="Y152" s="26" t="e">
        <f t="shared" si="56"/>
        <v>#REF!</v>
      </c>
      <c r="Z152" s="95"/>
      <c r="AA152" s="95"/>
      <c r="AB152" s="8">
        <f>'Business_172 PH Rd Budget'!$C$25</f>
        <v>2155.2899999999995</v>
      </c>
      <c r="AC152" s="8" t="e">
        <f t="shared" si="57"/>
        <v>#REF!</v>
      </c>
      <c r="AD152" s="8">
        <v>350000</v>
      </c>
      <c r="AE152" s="76" t="e">
        <f t="shared" si="46"/>
        <v>#REF!</v>
      </c>
      <c r="AF152" s="8" t="e">
        <f t="shared" si="47"/>
        <v>#REF!</v>
      </c>
      <c r="AH152" s="7" t="e">
        <f t="shared" si="52"/>
        <v>#REF!</v>
      </c>
      <c r="AI152" s="79" t="e">
        <f t="shared" si="58"/>
        <v>#REF!</v>
      </c>
      <c r="AJ152" s="79" t="e">
        <f t="shared" si="61"/>
        <v>#REF!</v>
      </c>
      <c r="AK152" s="75" t="e">
        <f>PMT(#REF!,#REF!,-#REF!,0,0)</f>
        <v>#REF!</v>
      </c>
      <c r="AL152" s="75"/>
      <c r="AM152" s="7" t="e">
        <f>AJ152*(#REF!/12)</f>
        <v>#REF!</v>
      </c>
      <c r="AN152" s="7" t="e">
        <f t="shared" si="59"/>
        <v>#REF!</v>
      </c>
      <c r="AO152" s="75" t="e">
        <f t="shared" si="48"/>
        <v>#REF!</v>
      </c>
      <c r="AP152" s="75" t="e">
        <f t="shared" si="60"/>
        <v>#REF!</v>
      </c>
      <c r="AQ152" s="7" t="e">
        <f t="shared" si="53"/>
        <v>#REF!</v>
      </c>
      <c r="AR152" s="41"/>
    </row>
    <row r="153" spans="10:44" x14ac:dyDescent="0.25">
      <c r="J153" s="5">
        <f t="shared" si="49"/>
        <v>40</v>
      </c>
      <c r="K153" s="5">
        <f t="shared" si="62"/>
        <v>2038</v>
      </c>
      <c r="L153" s="34" t="s">
        <v>44</v>
      </c>
      <c r="M153" s="70">
        <f t="shared" si="54"/>
        <v>628.54971410774556</v>
      </c>
      <c r="N153" s="70">
        <f t="shared" si="45"/>
        <v>628.54971410774556</v>
      </c>
      <c r="O153" s="71"/>
      <c r="P153" s="86">
        <v>5</v>
      </c>
      <c r="Q153" s="51">
        <v>4</v>
      </c>
      <c r="R153" s="88">
        <f t="shared" si="55"/>
        <v>0.8</v>
      </c>
      <c r="S153" s="6">
        <v>0</v>
      </c>
      <c r="T153" s="8">
        <f t="shared" si="50"/>
        <v>2514.1988564309822</v>
      </c>
      <c r="U153" s="8" t="e">
        <f>#REF!</f>
        <v>#REF!</v>
      </c>
      <c r="V153" s="8"/>
      <c r="W153" s="8" t="e">
        <f t="shared" si="51"/>
        <v>#REF!</v>
      </c>
      <c r="X153" s="27"/>
      <c r="Y153" s="26" t="e">
        <f t="shared" si="56"/>
        <v>#REF!</v>
      </c>
      <c r="Z153" s="95"/>
      <c r="AA153" s="95"/>
      <c r="AB153" s="8">
        <f>'Business_172 PH Rd Budget'!$C$25</f>
        <v>2155.2899999999995</v>
      </c>
      <c r="AC153" s="8" t="e">
        <f t="shared" si="57"/>
        <v>#REF!</v>
      </c>
      <c r="AD153" s="8">
        <v>350000</v>
      </c>
      <c r="AE153" s="76" t="e">
        <f t="shared" si="46"/>
        <v>#REF!</v>
      </c>
      <c r="AF153" s="8" t="e">
        <f t="shared" si="47"/>
        <v>#REF!</v>
      </c>
      <c r="AH153" s="7" t="e">
        <f t="shared" si="52"/>
        <v>#REF!</v>
      </c>
      <c r="AI153" s="79" t="e">
        <f t="shared" si="58"/>
        <v>#REF!</v>
      </c>
      <c r="AJ153" s="79" t="e">
        <f t="shared" si="61"/>
        <v>#REF!</v>
      </c>
      <c r="AK153" s="75" t="e">
        <f>PMT(#REF!,#REF!,-#REF!,0,0)</f>
        <v>#REF!</v>
      </c>
      <c r="AL153" s="75"/>
      <c r="AM153" s="7" t="e">
        <f>AJ153*(#REF!/12)</f>
        <v>#REF!</v>
      </c>
      <c r="AN153" s="7" t="e">
        <f t="shared" si="59"/>
        <v>#REF!</v>
      </c>
      <c r="AO153" s="75" t="e">
        <f t="shared" si="48"/>
        <v>#REF!</v>
      </c>
      <c r="AP153" s="75" t="e">
        <f t="shared" si="60"/>
        <v>#REF!</v>
      </c>
      <c r="AQ153" s="7" t="e">
        <f t="shared" si="53"/>
        <v>#REF!</v>
      </c>
      <c r="AR153" s="41"/>
    </row>
    <row r="154" spans="10:44" x14ac:dyDescent="0.25">
      <c r="J154" s="5">
        <f t="shared" si="49"/>
        <v>40</v>
      </c>
      <c r="K154" s="5">
        <f t="shared" si="62"/>
        <v>2038</v>
      </c>
      <c r="L154" s="34" t="s">
        <v>47</v>
      </c>
      <c r="M154" s="70">
        <f t="shared" si="54"/>
        <v>628.54971410774556</v>
      </c>
      <c r="N154" s="70">
        <f t="shared" si="45"/>
        <v>628.54971410774556</v>
      </c>
      <c r="O154" s="71"/>
      <c r="P154" s="86">
        <v>4</v>
      </c>
      <c r="Q154" s="51">
        <v>4</v>
      </c>
      <c r="R154" s="88">
        <f t="shared" si="55"/>
        <v>1</v>
      </c>
      <c r="S154" s="6">
        <v>0</v>
      </c>
      <c r="T154" s="8">
        <f t="shared" si="50"/>
        <v>2514.1988564309822</v>
      </c>
      <c r="U154" s="8" t="e">
        <f>#REF!</f>
        <v>#REF!</v>
      </c>
      <c r="V154" s="8"/>
      <c r="W154" s="8" t="e">
        <f t="shared" si="51"/>
        <v>#REF!</v>
      </c>
      <c r="X154" s="27"/>
      <c r="Y154" s="26" t="e">
        <f t="shared" si="56"/>
        <v>#REF!</v>
      </c>
      <c r="Z154" s="95"/>
      <c r="AA154" s="95"/>
      <c r="AB154" s="8">
        <f>'Business_172 PH Rd Budget'!$C$25</f>
        <v>2155.2899999999995</v>
      </c>
      <c r="AC154" s="8" t="e">
        <f t="shared" si="57"/>
        <v>#REF!</v>
      </c>
      <c r="AD154" s="8">
        <v>350000</v>
      </c>
      <c r="AE154" s="76" t="e">
        <f t="shared" si="46"/>
        <v>#REF!</v>
      </c>
      <c r="AF154" s="8" t="e">
        <f t="shared" si="47"/>
        <v>#REF!</v>
      </c>
      <c r="AH154" s="7" t="e">
        <f t="shared" si="52"/>
        <v>#REF!</v>
      </c>
      <c r="AI154" s="79" t="e">
        <f t="shared" si="58"/>
        <v>#REF!</v>
      </c>
      <c r="AJ154" s="79" t="e">
        <f t="shared" si="61"/>
        <v>#REF!</v>
      </c>
      <c r="AK154" s="75" t="e">
        <f>PMT(#REF!,#REF!,-#REF!,0,0)</f>
        <v>#REF!</v>
      </c>
      <c r="AL154" s="75"/>
      <c r="AM154" s="7" t="e">
        <f>AJ154*(#REF!/12)</f>
        <v>#REF!</v>
      </c>
      <c r="AN154" s="7" t="e">
        <f t="shared" si="59"/>
        <v>#REF!</v>
      </c>
      <c r="AO154" s="75" t="e">
        <f t="shared" si="48"/>
        <v>#REF!</v>
      </c>
      <c r="AP154" s="75" t="e">
        <f t="shared" si="60"/>
        <v>#REF!</v>
      </c>
      <c r="AQ154" s="7" t="e">
        <f t="shared" si="53"/>
        <v>#REF!</v>
      </c>
      <c r="AR154" s="41"/>
    </row>
    <row r="155" spans="10:44" x14ac:dyDescent="0.25">
      <c r="J155" s="5">
        <f t="shared" si="49"/>
        <v>40</v>
      </c>
      <c r="K155" s="5">
        <f t="shared" si="62"/>
        <v>2038</v>
      </c>
      <c r="L155" s="34" t="s">
        <v>49</v>
      </c>
      <c r="M155" s="70">
        <f t="shared" si="54"/>
        <v>628.54971410774556</v>
      </c>
      <c r="N155" s="70">
        <f t="shared" si="45"/>
        <v>628.54971410774556</v>
      </c>
      <c r="O155" s="71"/>
      <c r="P155" s="86">
        <v>4</v>
      </c>
      <c r="Q155" s="44">
        <v>4</v>
      </c>
      <c r="R155" s="88">
        <f t="shared" si="55"/>
        <v>1</v>
      </c>
      <c r="S155" s="6">
        <v>0</v>
      </c>
      <c r="T155" s="8">
        <f t="shared" si="50"/>
        <v>2514.1988564309822</v>
      </c>
      <c r="U155" s="8" t="e">
        <f>#REF!</f>
        <v>#REF!</v>
      </c>
      <c r="V155" s="8"/>
      <c r="W155" s="8" t="e">
        <f t="shared" si="51"/>
        <v>#REF!</v>
      </c>
      <c r="X155" s="27"/>
      <c r="Y155" s="26" t="e">
        <f t="shared" si="56"/>
        <v>#REF!</v>
      </c>
      <c r="Z155" s="95"/>
      <c r="AA155" s="95"/>
      <c r="AB155" s="8">
        <f>'Business_172 PH Rd Budget'!$C$25</f>
        <v>2155.2899999999995</v>
      </c>
      <c r="AC155" s="8" t="e">
        <f t="shared" si="57"/>
        <v>#REF!</v>
      </c>
      <c r="AD155" s="8">
        <v>350000</v>
      </c>
      <c r="AE155" s="76" t="e">
        <f t="shared" si="46"/>
        <v>#REF!</v>
      </c>
      <c r="AF155" s="8" t="e">
        <f t="shared" si="47"/>
        <v>#REF!</v>
      </c>
      <c r="AH155" s="7" t="e">
        <f t="shared" si="52"/>
        <v>#REF!</v>
      </c>
      <c r="AI155" s="79" t="e">
        <f t="shared" si="58"/>
        <v>#REF!</v>
      </c>
      <c r="AJ155" s="79" t="e">
        <f t="shared" si="61"/>
        <v>#REF!</v>
      </c>
      <c r="AK155" s="75" t="e">
        <f>PMT(#REF!,#REF!,-#REF!,0,0)</f>
        <v>#REF!</v>
      </c>
      <c r="AL155" s="75"/>
      <c r="AM155" s="7" t="e">
        <f>AJ155*(#REF!/12)</f>
        <v>#REF!</v>
      </c>
      <c r="AN155" s="7" t="e">
        <f t="shared" si="59"/>
        <v>#REF!</v>
      </c>
      <c r="AO155" s="75" t="e">
        <f t="shared" si="48"/>
        <v>#REF!</v>
      </c>
      <c r="AP155" s="75" t="e">
        <f t="shared" si="60"/>
        <v>#REF!</v>
      </c>
      <c r="AQ155" s="7" t="e">
        <f t="shared" si="53"/>
        <v>#REF!</v>
      </c>
      <c r="AR155" s="41"/>
    </row>
    <row r="156" spans="10:44" x14ac:dyDescent="0.25">
      <c r="J156" s="5">
        <f t="shared" si="49"/>
        <v>40</v>
      </c>
      <c r="K156" s="5">
        <f t="shared" si="62"/>
        <v>2038</v>
      </c>
      <c r="L156" s="34" t="s">
        <v>51</v>
      </c>
      <c r="M156" s="70">
        <f t="shared" si="54"/>
        <v>628.54971410774556</v>
      </c>
      <c r="N156" s="70">
        <f t="shared" si="45"/>
        <v>628.54971410774556</v>
      </c>
      <c r="O156" s="71"/>
      <c r="P156" s="86">
        <v>5</v>
      </c>
      <c r="Q156" s="44">
        <v>4</v>
      </c>
      <c r="R156" s="88">
        <f t="shared" si="55"/>
        <v>0.8</v>
      </c>
      <c r="S156" s="6">
        <v>0</v>
      </c>
      <c r="T156" s="8">
        <f t="shared" si="50"/>
        <v>2514.1988564309822</v>
      </c>
      <c r="U156" s="8" t="e">
        <f>#REF!</f>
        <v>#REF!</v>
      </c>
      <c r="V156" s="8"/>
      <c r="W156" s="8" t="e">
        <f t="shared" si="51"/>
        <v>#REF!</v>
      </c>
      <c r="X156" s="27"/>
      <c r="Y156" s="26" t="e">
        <f t="shared" si="56"/>
        <v>#REF!</v>
      </c>
      <c r="Z156" s="95"/>
      <c r="AA156" s="95"/>
      <c r="AB156" s="8">
        <f>'Business_172 PH Rd Budget'!$C$25</f>
        <v>2155.2899999999995</v>
      </c>
      <c r="AC156" s="8" t="e">
        <f t="shared" si="57"/>
        <v>#REF!</v>
      </c>
      <c r="AD156" s="8">
        <v>350000</v>
      </c>
      <c r="AE156" s="76" t="e">
        <f t="shared" si="46"/>
        <v>#REF!</v>
      </c>
      <c r="AF156" s="8" t="e">
        <f t="shared" si="47"/>
        <v>#REF!</v>
      </c>
      <c r="AH156" s="7" t="e">
        <f t="shared" si="52"/>
        <v>#REF!</v>
      </c>
      <c r="AI156" s="79" t="e">
        <f t="shared" si="58"/>
        <v>#REF!</v>
      </c>
      <c r="AJ156" s="79" t="e">
        <f t="shared" si="61"/>
        <v>#REF!</v>
      </c>
      <c r="AK156" s="75" t="e">
        <f>PMT(#REF!,#REF!,-#REF!,0,0)</f>
        <v>#REF!</v>
      </c>
      <c r="AL156" s="75"/>
      <c r="AM156" s="7" t="e">
        <f>AJ156*(#REF!/12)</f>
        <v>#REF!</v>
      </c>
      <c r="AN156" s="7" t="e">
        <f t="shared" si="59"/>
        <v>#REF!</v>
      </c>
      <c r="AO156" s="75" t="e">
        <f t="shared" si="48"/>
        <v>#REF!</v>
      </c>
      <c r="AP156" s="75" t="e">
        <f t="shared" si="60"/>
        <v>#REF!</v>
      </c>
      <c r="AQ156" s="7" t="e">
        <f t="shared" si="53"/>
        <v>#REF!</v>
      </c>
      <c r="AR156" s="41"/>
    </row>
    <row r="157" spans="10:44" x14ac:dyDescent="0.25">
      <c r="J157" s="5">
        <f t="shared" si="49"/>
        <v>40</v>
      </c>
      <c r="K157" s="5">
        <f t="shared" si="62"/>
        <v>2038</v>
      </c>
      <c r="L157" s="34" t="s">
        <v>53</v>
      </c>
      <c r="M157" s="70">
        <f t="shared" si="54"/>
        <v>628.54971410774556</v>
      </c>
      <c r="N157" s="70">
        <f t="shared" si="45"/>
        <v>565.69474269697105</v>
      </c>
      <c r="O157" s="71"/>
      <c r="P157" s="87"/>
      <c r="Q157" s="68">
        <v>0</v>
      </c>
      <c r="R157" s="88" t="str">
        <f t="shared" si="55"/>
        <v/>
      </c>
      <c r="S157" s="69">
        <v>0.1</v>
      </c>
      <c r="T157" s="8">
        <f t="shared" si="50"/>
        <v>0</v>
      </c>
      <c r="U157" s="8" t="e">
        <f>#REF!</f>
        <v>#REF!</v>
      </c>
      <c r="V157" s="8"/>
      <c r="W157" s="8" t="e">
        <f t="shared" si="51"/>
        <v>#REF!</v>
      </c>
      <c r="X157" s="27"/>
      <c r="Y157" s="26" t="e">
        <f t="shared" si="56"/>
        <v>#REF!</v>
      </c>
      <c r="Z157" s="95"/>
      <c r="AA157" s="95"/>
      <c r="AB157" s="8">
        <f>'Business_172 PH Rd Budget'!$C$25</f>
        <v>2155.2899999999995</v>
      </c>
      <c r="AC157" s="8" t="e">
        <f t="shared" si="57"/>
        <v>#REF!</v>
      </c>
      <c r="AD157" s="8">
        <v>350000</v>
      </c>
      <c r="AE157" s="76" t="e">
        <f t="shared" si="46"/>
        <v>#REF!</v>
      </c>
      <c r="AF157" s="8" t="e">
        <f t="shared" si="47"/>
        <v>#REF!</v>
      </c>
      <c r="AH157" s="7" t="e">
        <f t="shared" si="52"/>
        <v>#REF!</v>
      </c>
      <c r="AI157" s="79" t="e">
        <f t="shared" si="58"/>
        <v>#REF!</v>
      </c>
      <c r="AJ157" s="79" t="e">
        <f t="shared" si="61"/>
        <v>#REF!</v>
      </c>
      <c r="AK157" s="75" t="e">
        <f>PMT(#REF!,#REF!,-#REF!,0,0)</f>
        <v>#REF!</v>
      </c>
      <c r="AL157" s="75"/>
      <c r="AM157" s="7" t="e">
        <f>AJ157*(#REF!/12)</f>
        <v>#REF!</v>
      </c>
      <c r="AN157" s="7" t="e">
        <f t="shared" si="59"/>
        <v>#REF!</v>
      </c>
      <c r="AO157" s="75" t="e">
        <f t="shared" si="48"/>
        <v>#REF!</v>
      </c>
      <c r="AP157" s="75" t="e">
        <f t="shared" si="60"/>
        <v>#REF!</v>
      </c>
      <c r="AQ157" s="7" t="e">
        <f t="shared" si="53"/>
        <v>#REF!</v>
      </c>
      <c r="AR157" s="41"/>
    </row>
    <row r="158" spans="10:44" x14ac:dyDescent="0.25">
      <c r="J158" s="5">
        <f t="shared" si="49"/>
        <v>40</v>
      </c>
      <c r="K158" s="5">
        <f t="shared" si="62"/>
        <v>2038</v>
      </c>
      <c r="L158" s="34" t="s">
        <v>55</v>
      </c>
      <c r="M158" s="70">
        <f t="shared" si="54"/>
        <v>628.54971410774556</v>
      </c>
      <c r="N158" s="70">
        <f t="shared" si="45"/>
        <v>502.83977128619648</v>
      </c>
      <c r="O158" s="71"/>
      <c r="P158" s="86"/>
      <c r="Q158" s="51">
        <v>0</v>
      </c>
      <c r="R158" s="88" t="str">
        <f t="shared" si="55"/>
        <v/>
      </c>
      <c r="S158" s="6">
        <v>0.2</v>
      </c>
      <c r="T158" s="8">
        <f t="shared" si="50"/>
        <v>0</v>
      </c>
      <c r="U158" s="8" t="e">
        <f>#REF!</f>
        <v>#REF!</v>
      </c>
      <c r="V158" s="8"/>
      <c r="W158" s="8" t="e">
        <f t="shared" si="51"/>
        <v>#REF!</v>
      </c>
      <c r="X158" s="27"/>
      <c r="Y158" s="26" t="e">
        <f t="shared" si="56"/>
        <v>#REF!</v>
      </c>
      <c r="Z158" s="95"/>
      <c r="AA158" s="95"/>
      <c r="AB158" s="8">
        <f>'Business_172 PH Rd Budget'!$C$25</f>
        <v>2155.2899999999995</v>
      </c>
      <c r="AC158" s="8" t="e">
        <f t="shared" si="57"/>
        <v>#REF!</v>
      </c>
      <c r="AD158" s="8">
        <v>350000</v>
      </c>
      <c r="AE158" s="76" t="e">
        <f t="shared" si="46"/>
        <v>#REF!</v>
      </c>
      <c r="AF158" s="8" t="e">
        <f t="shared" si="47"/>
        <v>#REF!</v>
      </c>
      <c r="AH158" s="7" t="e">
        <f t="shared" si="52"/>
        <v>#REF!</v>
      </c>
      <c r="AI158" s="79" t="e">
        <f t="shared" si="58"/>
        <v>#REF!</v>
      </c>
      <c r="AJ158" s="79" t="e">
        <f t="shared" si="61"/>
        <v>#REF!</v>
      </c>
      <c r="AK158" s="75" t="e">
        <f>PMT(#REF!,#REF!,-#REF!,0,0)</f>
        <v>#REF!</v>
      </c>
      <c r="AL158" s="75"/>
      <c r="AM158" s="7" t="e">
        <f>AJ158*(#REF!/12)</f>
        <v>#REF!</v>
      </c>
      <c r="AN158" s="7" t="e">
        <f t="shared" si="59"/>
        <v>#REF!</v>
      </c>
      <c r="AO158" s="75" t="e">
        <f t="shared" si="48"/>
        <v>#REF!</v>
      </c>
      <c r="AP158" s="75" t="e">
        <f t="shared" si="60"/>
        <v>#REF!</v>
      </c>
      <c r="AQ158" s="7" t="e">
        <f t="shared" si="53"/>
        <v>#REF!</v>
      </c>
      <c r="AR158" s="41"/>
    </row>
    <row r="159" spans="10:44" x14ac:dyDescent="0.25">
      <c r="J159" s="5">
        <f t="shared" si="49"/>
        <v>41</v>
      </c>
      <c r="K159" s="5">
        <f t="shared" si="62"/>
        <v>2039</v>
      </c>
      <c r="L159" s="34" t="s">
        <v>31</v>
      </c>
      <c r="M159" s="70">
        <f t="shared" si="54"/>
        <v>659.97719981313287</v>
      </c>
      <c r="N159" s="70">
        <f t="shared" si="45"/>
        <v>494.98289985984968</v>
      </c>
      <c r="O159" s="71">
        <v>0.05</v>
      </c>
      <c r="P159" s="86"/>
      <c r="Q159" s="51">
        <v>0</v>
      </c>
      <c r="R159" s="88" t="str">
        <f t="shared" si="55"/>
        <v/>
      </c>
      <c r="S159" s="6">
        <v>0.25</v>
      </c>
      <c r="T159" s="8">
        <f t="shared" si="50"/>
        <v>0</v>
      </c>
      <c r="U159" s="8" t="e">
        <f>#REF!</f>
        <v>#REF!</v>
      </c>
      <c r="V159" s="8"/>
      <c r="W159" s="8" t="e">
        <f t="shared" si="51"/>
        <v>#REF!</v>
      </c>
      <c r="X159" s="27"/>
      <c r="Y159" s="26" t="e">
        <f t="shared" si="56"/>
        <v>#REF!</v>
      </c>
      <c r="Z159" s="95"/>
      <c r="AA159" s="95"/>
      <c r="AB159" s="8">
        <f>'Business_172 PH Rd Budget'!$C$25</f>
        <v>2155.2899999999995</v>
      </c>
      <c r="AC159" s="8" t="e">
        <f t="shared" si="57"/>
        <v>#REF!</v>
      </c>
      <c r="AD159" s="8">
        <v>350000</v>
      </c>
      <c r="AE159" s="76" t="e">
        <f t="shared" si="46"/>
        <v>#REF!</v>
      </c>
      <c r="AF159" s="8" t="e">
        <f t="shared" si="47"/>
        <v>#REF!</v>
      </c>
      <c r="AH159" s="7" t="e">
        <f t="shared" si="52"/>
        <v>#REF!</v>
      </c>
      <c r="AI159" s="79" t="e">
        <f t="shared" si="58"/>
        <v>#REF!</v>
      </c>
      <c r="AJ159" s="79" t="e">
        <f t="shared" si="61"/>
        <v>#REF!</v>
      </c>
      <c r="AK159" s="75" t="e">
        <f>PMT(#REF!,#REF!,-#REF!,0,0)</f>
        <v>#REF!</v>
      </c>
      <c r="AL159" s="75"/>
      <c r="AM159" s="7" t="e">
        <f>AJ159*(#REF!/12)</f>
        <v>#REF!</v>
      </c>
      <c r="AN159" s="7" t="e">
        <f t="shared" si="59"/>
        <v>#REF!</v>
      </c>
      <c r="AO159" s="75" t="e">
        <f t="shared" si="48"/>
        <v>#REF!</v>
      </c>
      <c r="AP159" s="75" t="e">
        <f t="shared" si="60"/>
        <v>#REF!</v>
      </c>
      <c r="AQ159" s="7" t="e">
        <f t="shared" si="53"/>
        <v>#REF!</v>
      </c>
      <c r="AR159" s="41"/>
    </row>
    <row r="160" spans="10:44" x14ac:dyDescent="0.25">
      <c r="J160" s="5">
        <f t="shared" si="49"/>
        <v>41</v>
      </c>
      <c r="K160" s="5">
        <f t="shared" si="62"/>
        <v>2039</v>
      </c>
      <c r="L160" s="34" t="s">
        <v>33</v>
      </c>
      <c r="M160" s="70">
        <f t="shared" si="54"/>
        <v>659.97719981313287</v>
      </c>
      <c r="N160" s="70">
        <f t="shared" si="45"/>
        <v>494.98289985984968</v>
      </c>
      <c r="O160" s="71"/>
      <c r="P160" s="86"/>
      <c r="Q160" s="51">
        <v>0</v>
      </c>
      <c r="R160" s="88" t="str">
        <f t="shared" si="55"/>
        <v/>
      </c>
      <c r="S160" s="6">
        <v>0.25</v>
      </c>
      <c r="T160" s="8">
        <f t="shared" si="50"/>
        <v>0</v>
      </c>
      <c r="U160" s="8" t="e">
        <f>#REF!</f>
        <v>#REF!</v>
      </c>
      <c r="V160" s="8"/>
      <c r="W160" s="8" t="e">
        <f t="shared" si="51"/>
        <v>#REF!</v>
      </c>
      <c r="X160" s="27"/>
      <c r="Y160" s="26" t="e">
        <f t="shared" si="56"/>
        <v>#REF!</v>
      </c>
      <c r="Z160" s="95"/>
      <c r="AA160" s="95"/>
      <c r="AB160" s="8">
        <f>'Business_172 PH Rd Budget'!$C$25</f>
        <v>2155.2899999999995</v>
      </c>
      <c r="AC160" s="8" t="e">
        <f t="shared" si="57"/>
        <v>#REF!</v>
      </c>
      <c r="AD160" s="8">
        <v>350000</v>
      </c>
      <c r="AE160" s="76" t="e">
        <f t="shared" si="46"/>
        <v>#REF!</v>
      </c>
      <c r="AF160" s="8" t="e">
        <f t="shared" si="47"/>
        <v>#REF!</v>
      </c>
      <c r="AH160" s="7" t="e">
        <f t="shared" si="52"/>
        <v>#REF!</v>
      </c>
      <c r="AI160" s="79" t="e">
        <f t="shared" si="58"/>
        <v>#REF!</v>
      </c>
      <c r="AJ160" s="79" t="e">
        <f t="shared" si="61"/>
        <v>#REF!</v>
      </c>
      <c r="AK160" s="75" t="e">
        <f>PMT(#REF!,#REF!,-#REF!,0,0)</f>
        <v>#REF!</v>
      </c>
      <c r="AL160" s="75"/>
      <c r="AM160" s="7" t="e">
        <f>AJ160*(#REF!/12)</f>
        <v>#REF!</v>
      </c>
      <c r="AN160" s="7" t="e">
        <f t="shared" si="59"/>
        <v>#REF!</v>
      </c>
      <c r="AO160" s="75" t="e">
        <f t="shared" si="48"/>
        <v>#REF!</v>
      </c>
      <c r="AP160" s="75" t="e">
        <f t="shared" si="60"/>
        <v>#REF!</v>
      </c>
      <c r="AQ160" s="7" t="e">
        <f t="shared" si="53"/>
        <v>#REF!</v>
      </c>
      <c r="AR160" s="41"/>
    </row>
    <row r="161" spans="10:44" x14ac:dyDescent="0.25">
      <c r="J161" s="5">
        <f t="shared" si="49"/>
        <v>41</v>
      </c>
      <c r="K161" s="5">
        <f t="shared" si="62"/>
        <v>2039</v>
      </c>
      <c r="L161" s="34" t="s">
        <v>36</v>
      </c>
      <c r="M161" s="70">
        <f t="shared" si="54"/>
        <v>659.97719981313287</v>
      </c>
      <c r="N161" s="70">
        <f t="shared" si="45"/>
        <v>527.98175985050636</v>
      </c>
      <c r="O161" s="71"/>
      <c r="P161" s="86"/>
      <c r="Q161" s="51">
        <v>0</v>
      </c>
      <c r="R161" s="88" t="str">
        <f t="shared" si="55"/>
        <v/>
      </c>
      <c r="S161" s="6">
        <v>0.2</v>
      </c>
      <c r="T161" s="8">
        <f t="shared" si="50"/>
        <v>0</v>
      </c>
      <c r="U161" s="8" t="e">
        <f>#REF!</f>
        <v>#REF!</v>
      </c>
      <c r="V161" s="8"/>
      <c r="W161" s="8" t="e">
        <f t="shared" si="51"/>
        <v>#REF!</v>
      </c>
      <c r="X161" s="27"/>
      <c r="Y161" s="26" t="e">
        <f t="shared" si="56"/>
        <v>#REF!</v>
      </c>
      <c r="Z161" s="95"/>
      <c r="AA161" s="95"/>
      <c r="AB161" s="8">
        <f>'Business_172 PH Rd Budget'!$C$25</f>
        <v>2155.2899999999995</v>
      </c>
      <c r="AC161" s="8" t="e">
        <f t="shared" si="57"/>
        <v>#REF!</v>
      </c>
      <c r="AD161" s="8">
        <v>350000</v>
      </c>
      <c r="AE161" s="76" t="e">
        <f t="shared" si="46"/>
        <v>#REF!</v>
      </c>
      <c r="AF161" s="8" t="e">
        <f t="shared" si="47"/>
        <v>#REF!</v>
      </c>
      <c r="AH161" s="7" t="e">
        <f t="shared" si="52"/>
        <v>#REF!</v>
      </c>
      <c r="AI161" s="79" t="e">
        <f t="shared" si="58"/>
        <v>#REF!</v>
      </c>
      <c r="AJ161" s="79" t="e">
        <f t="shared" si="61"/>
        <v>#REF!</v>
      </c>
      <c r="AK161" s="75" t="e">
        <f>PMT(#REF!,#REF!,-#REF!,0,0)</f>
        <v>#REF!</v>
      </c>
      <c r="AL161" s="75"/>
      <c r="AM161" s="7" t="e">
        <f>AJ161*(#REF!/12)</f>
        <v>#REF!</v>
      </c>
      <c r="AN161" s="7" t="e">
        <f t="shared" si="59"/>
        <v>#REF!</v>
      </c>
      <c r="AO161" s="75" t="e">
        <f t="shared" si="48"/>
        <v>#REF!</v>
      </c>
      <c r="AP161" s="75" t="e">
        <f t="shared" si="60"/>
        <v>#REF!</v>
      </c>
      <c r="AQ161" s="7" t="e">
        <f t="shared" si="53"/>
        <v>#REF!</v>
      </c>
      <c r="AR161" s="41"/>
    </row>
    <row r="162" spans="10:44" x14ac:dyDescent="0.25">
      <c r="J162" s="5">
        <f t="shared" si="49"/>
        <v>41</v>
      </c>
      <c r="K162" s="5">
        <f t="shared" si="62"/>
        <v>2039</v>
      </c>
      <c r="L162" s="34" t="s">
        <v>38</v>
      </c>
      <c r="M162" s="70">
        <f t="shared" si="54"/>
        <v>659.97719981313287</v>
      </c>
      <c r="N162" s="70">
        <f t="shared" si="45"/>
        <v>593.97947983181962</v>
      </c>
      <c r="O162" s="71"/>
      <c r="P162" s="86"/>
      <c r="Q162" s="51">
        <v>0</v>
      </c>
      <c r="R162" s="88" t="str">
        <f t="shared" si="55"/>
        <v/>
      </c>
      <c r="S162" s="6">
        <v>0.1</v>
      </c>
      <c r="T162" s="8">
        <f t="shared" si="50"/>
        <v>0</v>
      </c>
      <c r="U162" s="8" t="e">
        <f>#REF!</f>
        <v>#REF!</v>
      </c>
      <c r="V162" s="8"/>
      <c r="W162" s="8" t="e">
        <f t="shared" si="51"/>
        <v>#REF!</v>
      </c>
      <c r="X162" s="27"/>
      <c r="Y162" s="26" t="e">
        <f t="shared" si="56"/>
        <v>#REF!</v>
      </c>
      <c r="Z162" s="95"/>
      <c r="AA162" s="95"/>
      <c r="AB162" s="8">
        <f>'Business_172 PH Rd Budget'!$C$25</f>
        <v>2155.2899999999995</v>
      </c>
      <c r="AC162" s="8" t="e">
        <f t="shared" si="57"/>
        <v>#REF!</v>
      </c>
      <c r="AD162" s="8">
        <v>350000</v>
      </c>
      <c r="AE162" s="76" t="e">
        <f t="shared" si="46"/>
        <v>#REF!</v>
      </c>
      <c r="AF162" s="8" t="e">
        <f t="shared" si="47"/>
        <v>#REF!</v>
      </c>
      <c r="AH162" s="7" t="e">
        <f t="shared" si="52"/>
        <v>#REF!</v>
      </c>
      <c r="AI162" s="79" t="e">
        <f t="shared" si="58"/>
        <v>#REF!</v>
      </c>
      <c r="AJ162" s="79" t="e">
        <f t="shared" si="61"/>
        <v>#REF!</v>
      </c>
      <c r="AK162" s="75" t="e">
        <f>PMT(#REF!,#REF!,-#REF!,0,0)</f>
        <v>#REF!</v>
      </c>
      <c r="AL162" s="75"/>
      <c r="AM162" s="7" t="e">
        <f>AJ162*(#REF!/12)</f>
        <v>#REF!</v>
      </c>
      <c r="AN162" s="7" t="e">
        <f t="shared" si="59"/>
        <v>#REF!</v>
      </c>
      <c r="AO162" s="75" t="e">
        <f t="shared" si="48"/>
        <v>#REF!</v>
      </c>
      <c r="AP162" s="75" t="e">
        <f t="shared" si="60"/>
        <v>#REF!</v>
      </c>
      <c r="AQ162" s="7" t="e">
        <f t="shared" si="53"/>
        <v>#REF!</v>
      </c>
      <c r="AR162" s="41"/>
    </row>
    <row r="163" spans="10:44" x14ac:dyDescent="0.25">
      <c r="J163" s="5">
        <f t="shared" si="49"/>
        <v>41</v>
      </c>
      <c r="K163" s="5">
        <f t="shared" si="62"/>
        <v>2039</v>
      </c>
      <c r="L163" s="34" t="s">
        <v>40</v>
      </c>
      <c r="M163" s="70">
        <f t="shared" si="54"/>
        <v>659.97719981313287</v>
      </c>
      <c r="N163" s="70">
        <f t="shared" si="45"/>
        <v>659.97719981313287</v>
      </c>
      <c r="O163" s="71"/>
      <c r="P163" s="86">
        <v>4</v>
      </c>
      <c r="Q163" s="51">
        <v>2</v>
      </c>
      <c r="R163" s="88">
        <f t="shared" si="55"/>
        <v>0.5</v>
      </c>
      <c r="S163" s="6">
        <v>0</v>
      </c>
      <c r="T163" s="8">
        <f t="shared" si="50"/>
        <v>1319.9543996262657</v>
      </c>
      <c r="U163" s="8" t="e">
        <f>#REF!</f>
        <v>#REF!</v>
      </c>
      <c r="V163" s="8"/>
      <c r="W163" s="8" t="e">
        <f t="shared" si="51"/>
        <v>#REF!</v>
      </c>
      <c r="X163" s="27"/>
      <c r="Y163" s="26" t="e">
        <f t="shared" si="56"/>
        <v>#REF!</v>
      </c>
      <c r="Z163" s="95"/>
      <c r="AA163" s="95"/>
      <c r="AB163" s="8">
        <f>'Business_172 PH Rd Budget'!$C$25</f>
        <v>2155.2899999999995</v>
      </c>
      <c r="AC163" s="8" t="e">
        <f t="shared" si="57"/>
        <v>#REF!</v>
      </c>
      <c r="AD163" s="8">
        <v>350000</v>
      </c>
      <c r="AE163" s="76" t="e">
        <f t="shared" si="46"/>
        <v>#REF!</v>
      </c>
      <c r="AF163" s="8" t="e">
        <f t="shared" si="47"/>
        <v>#REF!</v>
      </c>
      <c r="AH163" s="7" t="e">
        <f t="shared" si="52"/>
        <v>#REF!</v>
      </c>
      <c r="AI163" s="79" t="e">
        <f t="shared" si="58"/>
        <v>#REF!</v>
      </c>
      <c r="AJ163" s="79" t="e">
        <f t="shared" si="61"/>
        <v>#REF!</v>
      </c>
      <c r="AK163" s="75" t="e">
        <f>PMT(#REF!,#REF!,-#REF!,0,0)</f>
        <v>#REF!</v>
      </c>
      <c r="AL163" s="75"/>
      <c r="AM163" s="7" t="e">
        <f>AJ163*(#REF!/12)</f>
        <v>#REF!</v>
      </c>
      <c r="AN163" s="7" t="e">
        <f t="shared" si="59"/>
        <v>#REF!</v>
      </c>
      <c r="AO163" s="75" t="e">
        <f t="shared" si="48"/>
        <v>#REF!</v>
      </c>
      <c r="AP163" s="75" t="e">
        <f t="shared" si="60"/>
        <v>#REF!</v>
      </c>
      <c r="AQ163" s="7" t="e">
        <f t="shared" si="53"/>
        <v>#REF!</v>
      </c>
      <c r="AR163" s="41"/>
    </row>
    <row r="164" spans="10:44" x14ac:dyDescent="0.25">
      <c r="J164" s="5">
        <f t="shared" si="49"/>
        <v>41</v>
      </c>
      <c r="K164" s="5">
        <f t="shared" si="62"/>
        <v>2039</v>
      </c>
      <c r="L164" s="34" t="s">
        <v>42</v>
      </c>
      <c r="M164" s="70">
        <f t="shared" si="54"/>
        <v>659.97719981313287</v>
      </c>
      <c r="N164" s="70">
        <f t="shared" si="45"/>
        <v>659.97719981313287</v>
      </c>
      <c r="O164" s="71"/>
      <c r="P164" s="86">
        <v>4</v>
      </c>
      <c r="Q164" s="51">
        <v>4</v>
      </c>
      <c r="R164" s="88">
        <f t="shared" si="55"/>
        <v>1</v>
      </c>
      <c r="S164" s="6">
        <v>0</v>
      </c>
      <c r="T164" s="8">
        <f t="shared" si="50"/>
        <v>2639.9087992525315</v>
      </c>
      <c r="U164" s="8" t="e">
        <f>#REF!</f>
        <v>#REF!</v>
      </c>
      <c r="V164" s="8"/>
      <c r="W164" s="8" t="e">
        <f t="shared" si="51"/>
        <v>#REF!</v>
      </c>
      <c r="X164" s="27"/>
      <c r="Y164" s="26" t="e">
        <f t="shared" si="56"/>
        <v>#REF!</v>
      </c>
      <c r="Z164" s="95"/>
      <c r="AA164" s="95"/>
      <c r="AB164" s="8">
        <f>'Business_172 PH Rd Budget'!$C$25</f>
        <v>2155.2899999999995</v>
      </c>
      <c r="AC164" s="8" t="e">
        <f t="shared" si="57"/>
        <v>#REF!</v>
      </c>
      <c r="AD164" s="8">
        <v>350000</v>
      </c>
      <c r="AE164" s="76" t="e">
        <f t="shared" si="46"/>
        <v>#REF!</v>
      </c>
      <c r="AF164" s="8" t="e">
        <f t="shared" si="47"/>
        <v>#REF!</v>
      </c>
      <c r="AH164" s="7" t="e">
        <f t="shared" si="52"/>
        <v>#REF!</v>
      </c>
      <c r="AI164" s="79" t="e">
        <f t="shared" si="58"/>
        <v>#REF!</v>
      </c>
      <c r="AJ164" s="79" t="e">
        <f t="shared" si="61"/>
        <v>#REF!</v>
      </c>
      <c r="AK164" s="75" t="e">
        <f>PMT(#REF!,#REF!,-#REF!,0,0)</f>
        <v>#REF!</v>
      </c>
      <c r="AL164" s="75"/>
      <c r="AM164" s="7" t="e">
        <f>AJ164*(#REF!/12)</f>
        <v>#REF!</v>
      </c>
      <c r="AN164" s="7" t="e">
        <f t="shared" si="59"/>
        <v>#REF!</v>
      </c>
      <c r="AO164" s="75" t="e">
        <f t="shared" si="48"/>
        <v>#REF!</v>
      </c>
      <c r="AP164" s="75" t="e">
        <f t="shared" si="60"/>
        <v>#REF!</v>
      </c>
      <c r="AQ164" s="7" t="e">
        <f t="shared" si="53"/>
        <v>#REF!</v>
      </c>
      <c r="AR164" s="41"/>
    </row>
    <row r="165" spans="10:44" x14ac:dyDescent="0.25">
      <c r="J165" s="5">
        <f t="shared" si="49"/>
        <v>41</v>
      </c>
      <c r="K165" s="5">
        <f t="shared" si="62"/>
        <v>2039</v>
      </c>
      <c r="L165" s="34" t="s">
        <v>44</v>
      </c>
      <c r="M165" s="70">
        <f t="shared" si="54"/>
        <v>659.97719981313287</v>
      </c>
      <c r="N165" s="70">
        <f t="shared" si="45"/>
        <v>659.97719981313287</v>
      </c>
      <c r="O165" s="71"/>
      <c r="P165" s="86">
        <v>5</v>
      </c>
      <c r="Q165" s="51">
        <v>4</v>
      </c>
      <c r="R165" s="88">
        <f t="shared" si="55"/>
        <v>0.8</v>
      </c>
      <c r="S165" s="6">
        <v>0</v>
      </c>
      <c r="T165" s="8">
        <f t="shared" si="50"/>
        <v>2639.9087992525315</v>
      </c>
      <c r="U165" s="8" t="e">
        <f>#REF!</f>
        <v>#REF!</v>
      </c>
      <c r="V165" s="8"/>
      <c r="W165" s="8" t="e">
        <f t="shared" si="51"/>
        <v>#REF!</v>
      </c>
      <c r="X165" s="27"/>
      <c r="Y165" s="26" t="e">
        <f t="shared" si="56"/>
        <v>#REF!</v>
      </c>
      <c r="Z165" s="95"/>
      <c r="AA165" s="95"/>
      <c r="AB165" s="8">
        <f>'Business_172 PH Rd Budget'!$C$25</f>
        <v>2155.2899999999995</v>
      </c>
      <c r="AC165" s="8" t="e">
        <f t="shared" si="57"/>
        <v>#REF!</v>
      </c>
      <c r="AD165" s="8">
        <v>350000</v>
      </c>
      <c r="AE165" s="76" t="e">
        <f t="shared" si="46"/>
        <v>#REF!</v>
      </c>
      <c r="AF165" s="8" t="e">
        <f t="shared" si="47"/>
        <v>#REF!</v>
      </c>
      <c r="AH165" s="7" t="e">
        <f t="shared" si="52"/>
        <v>#REF!</v>
      </c>
      <c r="AI165" s="79" t="e">
        <f t="shared" si="58"/>
        <v>#REF!</v>
      </c>
      <c r="AJ165" s="79" t="e">
        <f t="shared" si="61"/>
        <v>#REF!</v>
      </c>
      <c r="AK165" s="75" t="e">
        <f>PMT(#REF!,#REF!,-#REF!,0,0)</f>
        <v>#REF!</v>
      </c>
      <c r="AL165" s="75"/>
      <c r="AM165" s="7" t="e">
        <f>AJ165*(#REF!/12)</f>
        <v>#REF!</v>
      </c>
      <c r="AN165" s="7" t="e">
        <f t="shared" si="59"/>
        <v>#REF!</v>
      </c>
      <c r="AO165" s="75" t="e">
        <f t="shared" si="48"/>
        <v>#REF!</v>
      </c>
      <c r="AP165" s="75" t="e">
        <f t="shared" si="60"/>
        <v>#REF!</v>
      </c>
      <c r="AQ165" s="7" t="e">
        <f t="shared" si="53"/>
        <v>#REF!</v>
      </c>
      <c r="AR165" s="41"/>
    </row>
    <row r="166" spans="10:44" x14ac:dyDescent="0.25">
      <c r="J166" s="5">
        <f t="shared" si="49"/>
        <v>41</v>
      </c>
      <c r="K166" s="5">
        <f t="shared" si="62"/>
        <v>2039</v>
      </c>
      <c r="L166" s="34" t="s">
        <v>47</v>
      </c>
      <c r="M166" s="70">
        <f t="shared" si="54"/>
        <v>659.97719981313287</v>
      </c>
      <c r="N166" s="70">
        <f t="shared" si="45"/>
        <v>659.97719981313287</v>
      </c>
      <c r="O166" s="71"/>
      <c r="P166" s="86">
        <v>4</v>
      </c>
      <c r="Q166" s="44">
        <v>4</v>
      </c>
      <c r="R166" s="88">
        <f t="shared" si="55"/>
        <v>1</v>
      </c>
      <c r="S166" s="6">
        <v>0</v>
      </c>
      <c r="T166" s="8">
        <f t="shared" si="50"/>
        <v>2639.9087992525315</v>
      </c>
      <c r="U166" s="8" t="e">
        <f>#REF!</f>
        <v>#REF!</v>
      </c>
      <c r="V166" s="8"/>
      <c r="W166" s="8" t="e">
        <f t="shared" si="51"/>
        <v>#REF!</v>
      </c>
      <c r="X166" s="27"/>
      <c r="Y166" s="26" t="e">
        <f t="shared" si="56"/>
        <v>#REF!</v>
      </c>
      <c r="Z166" s="95"/>
      <c r="AA166" s="95"/>
      <c r="AB166" s="8">
        <f>'Business_172 PH Rd Budget'!$C$25</f>
        <v>2155.2899999999995</v>
      </c>
      <c r="AC166" s="8" t="e">
        <f t="shared" si="57"/>
        <v>#REF!</v>
      </c>
      <c r="AD166" s="8">
        <v>350000</v>
      </c>
      <c r="AE166" s="76" t="e">
        <f t="shared" si="46"/>
        <v>#REF!</v>
      </c>
      <c r="AF166" s="8" t="e">
        <f t="shared" si="47"/>
        <v>#REF!</v>
      </c>
      <c r="AH166" s="7" t="e">
        <f t="shared" si="52"/>
        <v>#REF!</v>
      </c>
      <c r="AI166" s="79" t="e">
        <f t="shared" si="58"/>
        <v>#REF!</v>
      </c>
      <c r="AJ166" s="79" t="e">
        <f t="shared" si="61"/>
        <v>#REF!</v>
      </c>
      <c r="AK166" s="75" t="e">
        <f>PMT(#REF!,#REF!,-#REF!,0,0)</f>
        <v>#REF!</v>
      </c>
      <c r="AL166" s="75"/>
      <c r="AM166" s="7" t="e">
        <f>AJ166*(#REF!/12)</f>
        <v>#REF!</v>
      </c>
      <c r="AN166" s="7" t="e">
        <f t="shared" si="59"/>
        <v>#REF!</v>
      </c>
      <c r="AO166" s="75" t="e">
        <f t="shared" si="48"/>
        <v>#REF!</v>
      </c>
      <c r="AP166" s="75" t="e">
        <f t="shared" si="60"/>
        <v>#REF!</v>
      </c>
      <c r="AQ166" s="7" t="e">
        <f t="shared" si="53"/>
        <v>#REF!</v>
      </c>
      <c r="AR166" s="41"/>
    </row>
    <row r="167" spans="10:44" x14ac:dyDescent="0.25">
      <c r="J167" s="5">
        <f t="shared" si="49"/>
        <v>41</v>
      </c>
      <c r="K167" s="5">
        <f t="shared" si="62"/>
        <v>2039</v>
      </c>
      <c r="L167" s="34" t="s">
        <v>49</v>
      </c>
      <c r="M167" s="70">
        <f t="shared" si="54"/>
        <v>659.97719981313287</v>
      </c>
      <c r="N167" s="70">
        <f t="shared" si="45"/>
        <v>659.97719981313287</v>
      </c>
      <c r="O167" s="71"/>
      <c r="P167" s="86">
        <v>4</v>
      </c>
      <c r="Q167" s="44">
        <v>4</v>
      </c>
      <c r="R167" s="88">
        <f t="shared" si="55"/>
        <v>1</v>
      </c>
      <c r="S167" s="6">
        <v>0</v>
      </c>
      <c r="T167" s="8">
        <f t="shared" si="50"/>
        <v>2639.9087992525315</v>
      </c>
      <c r="U167" s="8" t="e">
        <f>#REF!</f>
        <v>#REF!</v>
      </c>
      <c r="V167" s="8"/>
      <c r="W167" s="8" t="e">
        <f t="shared" si="51"/>
        <v>#REF!</v>
      </c>
      <c r="X167" s="27"/>
      <c r="Y167" s="26" t="e">
        <f t="shared" si="56"/>
        <v>#REF!</v>
      </c>
      <c r="Z167" s="95"/>
      <c r="AA167" s="95"/>
      <c r="AB167" s="8">
        <f>'Business_172 PH Rd Budget'!$C$25</f>
        <v>2155.2899999999995</v>
      </c>
      <c r="AC167" s="8" t="e">
        <f t="shared" si="57"/>
        <v>#REF!</v>
      </c>
      <c r="AD167" s="8">
        <v>350000</v>
      </c>
      <c r="AE167" s="76" t="e">
        <f t="shared" si="46"/>
        <v>#REF!</v>
      </c>
      <c r="AF167" s="8" t="e">
        <f t="shared" si="47"/>
        <v>#REF!</v>
      </c>
      <c r="AH167" s="7" t="e">
        <f t="shared" si="52"/>
        <v>#REF!</v>
      </c>
      <c r="AI167" s="79" t="e">
        <f t="shared" si="58"/>
        <v>#REF!</v>
      </c>
      <c r="AJ167" s="79" t="e">
        <f t="shared" si="61"/>
        <v>#REF!</v>
      </c>
      <c r="AK167" s="75" t="e">
        <f>PMT(#REF!,#REF!,-#REF!,0,0)</f>
        <v>#REF!</v>
      </c>
      <c r="AL167" s="75"/>
      <c r="AM167" s="7" t="e">
        <f>AJ167*(#REF!/12)</f>
        <v>#REF!</v>
      </c>
      <c r="AN167" s="7" t="e">
        <f t="shared" si="59"/>
        <v>#REF!</v>
      </c>
      <c r="AO167" s="75" t="e">
        <f t="shared" si="48"/>
        <v>#REF!</v>
      </c>
      <c r="AP167" s="75" t="e">
        <f t="shared" si="60"/>
        <v>#REF!</v>
      </c>
      <c r="AQ167" s="7" t="e">
        <f t="shared" si="53"/>
        <v>#REF!</v>
      </c>
      <c r="AR167" s="41"/>
    </row>
    <row r="168" spans="10:44" x14ac:dyDescent="0.25">
      <c r="J168" s="5">
        <f t="shared" si="49"/>
        <v>41</v>
      </c>
      <c r="K168" s="5">
        <f t="shared" si="62"/>
        <v>2039</v>
      </c>
      <c r="L168" s="34" t="s">
        <v>51</v>
      </c>
      <c r="M168" s="70">
        <f t="shared" si="54"/>
        <v>659.97719981313287</v>
      </c>
      <c r="N168" s="70">
        <f t="shared" si="45"/>
        <v>659.97719981313287</v>
      </c>
      <c r="O168" s="71"/>
      <c r="P168" s="86">
        <v>5</v>
      </c>
      <c r="Q168" s="44">
        <v>4</v>
      </c>
      <c r="R168" s="88">
        <f t="shared" si="55"/>
        <v>0.8</v>
      </c>
      <c r="S168" s="6">
        <v>0</v>
      </c>
      <c r="T168" s="8">
        <f t="shared" si="50"/>
        <v>2639.9087992525315</v>
      </c>
      <c r="U168" s="8" t="e">
        <f>#REF!</f>
        <v>#REF!</v>
      </c>
      <c r="V168" s="8"/>
      <c r="W168" s="8" t="e">
        <f t="shared" si="51"/>
        <v>#REF!</v>
      </c>
      <c r="X168" s="27"/>
      <c r="Y168" s="26" t="e">
        <f t="shared" si="56"/>
        <v>#REF!</v>
      </c>
      <c r="Z168" s="95"/>
      <c r="AA168" s="95"/>
      <c r="AB168" s="8">
        <f>'Business_172 PH Rd Budget'!$C$25</f>
        <v>2155.2899999999995</v>
      </c>
      <c r="AC168" s="8" t="e">
        <f t="shared" si="57"/>
        <v>#REF!</v>
      </c>
      <c r="AD168" s="8">
        <v>350000</v>
      </c>
      <c r="AE168" s="76" t="e">
        <f t="shared" si="46"/>
        <v>#REF!</v>
      </c>
      <c r="AF168" s="8" t="e">
        <f t="shared" si="47"/>
        <v>#REF!</v>
      </c>
      <c r="AH168" s="7" t="e">
        <f t="shared" si="52"/>
        <v>#REF!</v>
      </c>
      <c r="AI168" s="79" t="e">
        <f t="shared" si="58"/>
        <v>#REF!</v>
      </c>
      <c r="AJ168" s="79" t="e">
        <f t="shared" si="61"/>
        <v>#REF!</v>
      </c>
      <c r="AK168" s="75" t="e">
        <f>PMT(#REF!,#REF!,-#REF!,0,0)</f>
        <v>#REF!</v>
      </c>
      <c r="AL168" s="75"/>
      <c r="AM168" s="7" t="e">
        <f>AJ168*(#REF!/12)</f>
        <v>#REF!</v>
      </c>
      <c r="AN168" s="7" t="e">
        <f t="shared" si="59"/>
        <v>#REF!</v>
      </c>
      <c r="AO168" s="75" t="e">
        <f t="shared" si="48"/>
        <v>#REF!</v>
      </c>
      <c r="AP168" s="75" t="e">
        <f t="shared" si="60"/>
        <v>#REF!</v>
      </c>
      <c r="AQ168" s="7" t="e">
        <f t="shared" si="53"/>
        <v>#REF!</v>
      </c>
      <c r="AR168" s="41"/>
    </row>
    <row r="169" spans="10:44" x14ac:dyDescent="0.25">
      <c r="J169" s="5">
        <f t="shared" si="49"/>
        <v>41</v>
      </c>
      <c r="K169" s="5">
        <f t="shared" si="62"/>
        <v>2039</v>
      </c>
      <c r="L169" s="34" t="s">
        <v>53</v>
      </c>
      <c r="M169" s="70">
        <f t="shared" si="54"/>
        <v>659.97719981313287</v>
      </c>
      <c r="N169" s="70">
        <f t="shared" si="45"/>
        <v>593.97947983181962</v>
      </c>
      <c r="O169" s="71"/>
      <c r="P169" s="87"/>
      <c r="Q169" s="68">
        <v>0</v>
      </c>
      <c r="R169" s="88" t="str">
        <f t="shared" si="55"/>
        <v/>
      </c>
      <c r="S169" s="69">
        <v>0.1</v>
      </c>
      <c r="T169" s="8">
        <f t="shared" si="50"/>
        <v>0</v>
      </c>
      <c r="U169" s="8" t="e">
        <f>#REF!</f>
        <v>#REF!</v>
      </c>
      <c r="V169" s="8"/>
      <c r="W169" s="8" t="e">
        <f t="shared" si="51"/>
        <v>#REF!</v>
      </c>
      <c r="X169" s="27"/>
      <c r="Y169" s="26" t="e">
        <f t="shared" si="56"/>
        <v>#REF!</v>
      </c>
      <c r="Z169" s="95"/>
      <c r="AA169" s="95"/>
      <c r="AB169" s="8">
        <f>'Business_172 PH Rd Budget'!$C$25</f>
        <v>2155.2899999999995</v>
      </c>
      <c r="AC169" s="8" t="e">
        <f t="shared" si="57"/>
        <v>#REF!</v>
      </c>
      <c r="AD169" s="8">
        <v>350000</v>
      </c>
      <c r="AE169" s="76" t="e">
        <f t="shared" si="46"/>
        <v>#REF!</v>
      </c>
      <c r="AF169" s="8" t="e">
        <f t="shared" si="47"/>
        <v>#REF!</v>
      </c>
      <c r="AH169" s="7" t="e">
        <f t="shared" si="52"/>
        <v>#REF!</v>
      </c>
      <c r="AI169" s="79" t="e">
        <f t="shared" si="58"/>
        <v>#REF!</v>
      </c>
      <c r="AJ169" s="79" t="e">
        <f t="shared" si="61"/>
        <v>#REF!</v>
      </c>
      <c r="AK169" s="75" t="e">
        <f>PMT(#REF!,#REF!,-#REF!,0,0)</f>
        <v>#REF!</v>
      </c>
      <c r="AL169" s="75"/>
      <c r="AM169" s="7" t="e">
        <f>AJ169*(#REF!/12)</f>
        <v>#REF!</v>
      </c>
      <c r="AN169" s="7" t="e">
        <f t="shared" si="59"/>
        <v>#REF!</v>
      </c>
      <c r="AO169" s="75" t="e">
        <f t="shared" si="48"/>
        <v>#REF!</v>
      </c>
      <c r="AP169" s="75" t="e">
        <f t="shared" si="60"/>
        <v>#REF!</v>
      </c>
      <c r="AQ169" s="7" t="e">
        <f t="shared" si="53"/>
        <v>#REF!</v>
      </c>
      <c r="AR169" s="41"/>
    </row>
    <row r="170" spans="10:44" x14ac:dyDescent="0.25">
      <c r="J170" s="5">
        <f t="shared" si="49"/>
        <v>41</v>
      </c>
      <c r="K170" s="5">
        <f t="shared" si="62"/>
        <v>2039</v>
      </c>
      <c r="L170" s="34" t="s">
        <v>55</v>
      </c>
      <c r="M170" s="70">
        <f t="shared" si="54"/>
        <v>659.97719981313287</v>
      </c>
      <c r="N170" s="70">
        <f t="shared" si="45"/>
        <v>527.98175985050636</v>
      </c>
      <c r="O170" s="71"/>
      <c r="P170" s="86"/>
      <c r="Q170" s="51">
        <v>0</v>
      </c>
      <c r="R170" s="88" t="str">
        <f t="shared" si="55"/>
        <v/>
      </c>
      <c r="S170" s="6">
        <v>0.2</v>
      </c>
      <c r="T170" s="8">
        <f t="shared" si="50"/>
        <v>0</v>
      </c>
      <c r="U170" s="8" t="e">
        <f>#REF!</f>
        <v>#REF!</v>
      </c>
      <c r="V170" s="8"/>
      <c r="W170" s="8" t="e">
        <f t="shared" si="51"/>
        <v>#REF!</v>
      </c>
      <c r="X170" s="27"/>
      <c r="Y170" s="26" t="e">
        <f t="shared" si="56"/>
        <v>#REF!</v>
      </c>
      <c r="Z170" s="95"/>
      <c r="AA170" s="95"/>
      <c r="AB170" s="8">
        <f>'Business_172 PH Rd Budget'!$C$25</f>
        <v>2155.2899999999995</v>
      </c>
      <c r="AC170" s="8" t="e">
        <f t="shared" si="57"/>
        <v>#REF!</v>
      </c>
      <c r="AD170" s="8">
        <v>350000</v>
      </c>
      <c r="AE170" s="76" t="e">
        <f t="shared" si="46"/>
        <v>#REF!</v>
      </c>
      <c r="AF170" s="8" t="e">
        <f t="shared" si="47"/>
        <v>#REF!</v>
      </c>
      <c r="AH170" s="7" t="e">
        <f t="shared" si="52"/>
        <v>#REF!</v>
      </c>
      <c r="AI170" s="79" t="e">
        <f t="shared" si="58"/>
        <v>#REF!</v>
      </c>
      <c r="AJ170" s="79" t="e">
        <f t="shared" si="61"/>
        <v>#REF!</v>
      </c>
      <c r="AK170" s="75" t="e">
        <f>PMT(#REF!,#REF!,-#REF!,0,0)</f>
        <v>#REF!</v>
      </c>
      <c r="AL170" s="75"/>
      <c r="AM170" s="7" t="e">
        <f>AJ170*(#REF!/12)</f>
        <v>#REF!</v>
      </c>
      <c r="AN170" s="7" t="e">
        <f t="shared" si="59"/>
        <v>#REF!</v>
      </c>
      <c r="AO170" s="75" t="e">
        <f t="shared" si="48"/>
        <v>#REF!</v>
      </c>
      <c r="AP170" s="75" t="e">
        <f t="shared" si="60"/>
        <v>#REF!</v>
      </c>
      <c r="AQ170" s="7" t="e">
        <f t="shared" si="53"/>
        <v>#REF!</v>
      </c>
      <c r="AR170" s="41"/>
    </row>
    <row r="171" spans="10:44" x14ac:dyDescent="0.25">
      <c r="J171" s="5">
        <f t="shared" si="49"/>
        <v>42</v>
      </c>
      <c r="K171" s="5">
        <f t="shared" si="62"/>
        <v>2040</v>
      </c>
      <c r="L171" s="34" t="s">
        <v>31</v>
      </c>
      <c r="M171" s="70">
        <f t="shared" si="54"/>
        <v>692.97605980378955</v>
      </c>
      <c r="N171" s="70">
        <f t="shared" si="45"/>
        <v>519.73204485284214</v>
      </c>
      <c r="O171" s="71">
        <v>0.05</v>
      </c>
      <c r="P171" s="86"/>
      <c r="Q171" s="51">
        <v>0</v>
      </c>
      <c r="R171" s="88" t="str">
        <f t="shared" si="55"/>
        <v/>
      </c>
      <c r="S171" s="6">
        <v>0.25</v>
      </c>
      <c r="T171" s="8">
        <f t="shared" si="50"/>
        <v>0</v>
      </c>
      <c r="U171" s="8" t="e">
        <f>#REF!</f>
        <v>#REF!</v>
      </c>
      <c r="V171" s="8"/>
      <c r="W171" s="8" t="e">
        <f t="shared" si="51"/>
        <v>#REF!</v>
      </c>
      <c r="X171" s="27"/>
      <c r="Y171" s="26" t="e">
        <f t="shared" si="56"/>
        <v>#REF!</v>
      </c>
      <c r="Z171" s="95"/>
      <c r="AA171" s="95"/>
      <c r="AB171" s="8">
        <f>'Business_172 PH Rd Budget'!$C$25</f>
        <v>2155.2899999999995</v>
      </c>
      <c r="AC171" s="8" t="e">
        <f t="shared" si="57"/>
        <v>#REF!</v>
      </c>
      <c r="AD171" s="8">
        <v>350000</v>
      </c>
      <c r="AE171" s="76" t="e">
        <f t="shared" si="46"/>
        <v>#REF!</v>
      </c>
      <c r="AF171" s="8" t="e">
        <f t="shared" si="47"/>
        <v>#REF!</v>
      </c>
      <c r="AH171" s="7" t="e">
        <f t="shared" si="52"/>
        <v>#REF!</v>
      </c>
      <c r="AI171" s="79" t="e">
        <f t="shared" si="58"/>
        <v>#REF!</v>
      </c>
      <c r="AJ171" s="79" t="e">
        <f t="shared" si="61"/>
        <v>#REF!</v>
      </c>
      <c r="AK171" s="75" t="e">
        <f>PMT(#REF!,#REF!,-#REF!,0,0)</f>
        <v>#REF!</v>
      </c>
      <c r="AL171" s="75"/>
      <c r="AM171" s="7" t="e">
        <f>AJ171*(#REF!/12)</f>
        <v>#REF!</v>
      </c>
      <c r="AN171" s="7" t="e">
        <f t="shared" si="59"/>
        <v>#REF!</v>
      </c>
      <c r="AO171" s="75" t="e">
        <f t="shared" si="48"/>
        <v>#REF!</v>
      </c>
      <c r="AP171" s="75" t="e">
        <f t="shared" si="60"/>
        <v>#REF!</v>
      </c>
      <c r="AQ171" s="7" t="e">
        <f t="shared" si="53"/>
        <v>#REF!</v>
      </c>
      <c r="AR171" s="41"/>
    </row>
    <row r="172" spans="10:44" x14ac:dyDescent="0.25">
      <c r="J172" s="5">
        <f t="shared" si="49"/>
        <v>42</v>
      </c>
      <c r="K172" s="5">
        <f t="shared" si="62"/>
        <v>2040</v>
      </c>
      <c r="L172" s="34" t="s">
        <v>33</v>
      </c>
      <c r="M172" s="70">
        <f t="shared" si="54"/>
        <v>692.97605980378955</v>
      </c>
      <c r="N172" s="70">
        <f t="shared" si="45"/>
        <v>519.73204485284214</v>
      </c>
      <c r="O172" s="71"/>
      <c r="P172" s="86"/>
      <c r="Q172" s="51">
        <v>0</v>
      </c>
      <c r="R172" s="88" t="str">
        <f t="shared" si="55"/>
        <v/>
      </c>
      <c r="S172" s="6">
        <v>0.25</v>
      </c>
      <c r="T172" s="8">
        <f t="shared" si="50"/>
        <v>0</v>
      </c>
      <c r="U172" s="8" t="e">
        <f>#REF!</f>
        <v>#REF!</v>
      </c>
      <c r="V172" s="8"/>
      <c r="W172" s="8" t="e">
        <f t="shared" si="51"/>
        <v>#REF!</v>
      </c>
      <c r="X172" s="27"/>
      <c r="Y172" s="26" t="e">
        <f t="shared" si="56"/>
        <v>#REF!</v>
      </c>
      <c r="Z172" s="95"/>
      <c r="AA172" s="95"/>
      <c r="AB172" s="8">
        <f>'Business_172 PH Rd Budget'!$C$25</f>
        <v>2155.2899999999995</v>
      </c>
      <c r="AC172" s="8" t="e">
        <f t="shared" si="57"/>
        <v>#REF!</v>
      </c>
      <c r="AD172" s="8">
        <v>350000</v>
      </c>
      <c r="AE172" s="76" t="e">
        <f t="shared" si="46"/>
        <v>#REF!</v>
      </c>
      <c r="AF172" s="8" t="e">
        <f t="shared" si="47"/>
        <v>#REF!</v>
      </c>
      <c r="AH172" s="7" t="e">
        <f t="shared" si="52"/>
        <v>#REF!</v>
      </c>
      <c r="AI172" s="79" t="e">
        <f t="shared" si="58"/>
        <v>#REF!</v>
      </c>
      <c r="AJ172" s="79" t="e">
        <f t="shared" si="61"/>
        <v>#REF!</v>
      </c>
      <c r="AK172" s="75" t="e">
        <f>PMT(#REF!,#REF!,-#REF!,0,0)</f>
        <v>#REF!</v>
      </c>
      <c r="AL172" s="75"/>
      <c r="AM172" s="7" t="e">
        <f>AJ172*(#REF!/12)</f>
        <v>#REF!</v>
      </c>
      <c r="AN172" s="7" t="e">
        <f t="shared" si="59"/>
        <v>#REF!</v>
      </c>
      <c r="AO172" s="75" t="e">
        <f t="shared" si="48"/>
        <v>#REF!</v>
      </c>
      <c r="AP172" s="75" t="e">
        <f t="shared" si="60"/>
        <v>#REF!</v>
      </c>
      <c r="AQ172" s="7" t="e">
        <f t="shared" si="53"/>
        <v>#REF!</v>
      </c>
      <c r="AR172" s="41"/>
    </row>
    <row r="173" spans="10:44" x14ac:dyDescent="0.25">
      <c r="J173" s="5">
        <f t="shared" si="49"/>
        <v>42</v>
      </c>
      <c r="K173" s="5">
        <f t="shared" si="62"/>
        <v>2040</v>
      </c>
      <c r="L173" s="34" t="s">
        <v>36</v>
      </c>
      <c r="M173" s="70">
        <f t="shared" si="54"/>
        <v>692.97605980378955</v>
      </c>
      <c r="N173" s="70">
        <f t="shared" si="45"/>
        <v>554.38084784303169</v>
      </c>
      <c r="O173" s="71"/>
      <c r="P173" s="86"/>
      <c r="Q173" s="51">
        <v>0</v>
      </c>
      <c r="R173" s="88" t="str">
        <f t="shared" si="55"/>
        <v/>
      </c>
      <c r="S173" s="6">
        <v>0.2</v>
      </c>
      <c r="T173" s="8">
        <f t="shared" si="50"/>
        <v>0</v>
      </c>
      <c r="U173" s="8" t="e">
        <f>#REF!</f>
        <v>#REF!</v>
      </c>
      <c r="V173" s="8"/>
      <c r="W173" s="8" t="e">
        <f t="shared" si="51"/>
        <v>#REF!</v>
      </c>
      <c r="X173" s="27"/>
      <c r="Y173" s="26" t="e">
        <f t="shared" si="56"/>
        <v>#REF!</v>
      </c>
      <c r="Z173" s="95"/>
      <c r="AA173" s="95"/>
      <c r="AB173" s="8">
        <f>'Business_172 PH Rd Budget'!$C$25</f>
        <v>2155.2899999999995</v>
      </c>
      <c r="AC173" s="8" t="e">
        <f t="shared" si="57"/>
        <v>#REF!</v>
      </c>
      <c r="AD173" s="8">
        <v>350000</v>
      </c>
      <c r="AE173" s="76" t="e">
        <f t="shared" si="46"/>
        <v>#REF!</v>
      </c>
      <c r="AF173" s="8" t="e">
        <f t="shared" si="47"/>
        <v>#REF!</v>
      </c>
      <c r="AH173" s="7" t="e">
        <f t="shared" si="52"/>
        <v>#REF!</v>
      </c>
      <c r="AI173" s="79" t="e">
        <f t="shared" si="58"/>
        <v>#REF!</v>
      </c>
      <c r="AJ173" s="79" t="e">
        <f t="shared" si="61"/>
        <v>#REF!</v>
      </c>
      <c r="AK173" s="75" t="e">
        <f>PMT(#REF!,#REF!,-#REF!,0,0)</f>
        <v>#REF!</v>
      </c>
      <c r="AL173" s="75"/>
      <c r="AM173" s="7" t="e">
        <f>AJ173*(#REF!/12)</f>
        <v>#REF!</v>
      </c>
      <c r="AN173" s="7" t="e">
        <f t="shared" si="59"/>
        <v>#REF!</v>
      </c>
      <c r="AO173" s="75" t="e">
        <f t="shared" si="48"/>
        <v>#REF!</v>
      </c>
      <c r="AP173" s="75" t="e">
        <f t="shared" si="60"/>
        <v>#REF!</v>
      </c>
      <c r="AQ173" s="7" t="e">
        <f t="shared" si="53"/>
        <v>#REF!</v>
      </c>
      <c r="AR173" s="41"/>
    </row>
    <row r="174" spans="10:44" x14ac:dyDescent="0.25">
      <c r="J174" s="5">
        <f t="shared" si="49"/>
        <v>42</v>
      </c>
      <c r="K174" s="5">
        <f t="shared" si="62"/>
        <v>2040</v>
      </c>
      <c r="L174" s="34" t="s">
        <v>38</v>
      </c>
      <c r="M174" s="70">
        <f t="shared" si="54"/>
        <v>692.97605980378955</v>
      </c>
      <c r="N174" s="70">
        <f t="shared" si="45"/>
        <v>623.67845382341056</v>
      </c>
      <c r="O174" s="71"/>
      <c r="P174" s="86"/>
      <c r="Q174" s="51">
        <v>0</v>
      </c>
      <c r="R174" s="88" t="str">
        <f t="shared" si="55"/>
        <v/>
      </c>
      <c r="S174" s="6">
        <v>0.1</v>
      </c>
      <c r="T174" s="8">
        <f t="shared" si="50"/>
        <v>0</v>
      </c>
      <c r="U174" s="8" t="e">
        <f>#REF!</f>
        <v>#REF!</v>
      </c>
      <c r="V174" s="8"/>
      <c r="W174" s="8" t="e">
        <f t="shared" si="51"/>
        <v>#REF!</v>
      </c>
      <c r="X174" s="27"/>
      <c r="Y174" s="26" t="e">
        <f t="shared" si="56"/>
        <v>#REF!</v>
      </c>
      <c r="Z174" s="95"/>
      <c r="AA174" s="95"/>
      <c r="AB174" s="8">
        <f>'Business_172 PH Rd Budget'!$C$25</f>
        <v>2155.2899999999995</v>
      </c>
      <c r="AC174" s="8" t="e">
        <f t="shared" si="57"/>
        <v>#REF!</v>
      </c>
      <c r="AD174" s="8">
        <v>350000</v>
      </c>
      <c r="AE174" s="76" t="e">
        <f t="shared" si="46"/>
        <v>#REF!</v>
      </c>
      <c r="AF174" s="8" t="e">
        <f t="shared" si="47"/>
        <v>#REF!</v>
      </c>
      <c r="AH174" s="7" t="e">
        <f t="shared" si="52"/>
        <v>#REF!</v>
      </c>
      <c r="AI174" s="79" t="e">
        <f t="shared" si="58"/>
        <v>#REF!</v>
      </c>
      <c r="AJ174" s="79" t="e">
        <f t="shared" si="61"/>
        <v>#REF!</v>
      </c>
      <c r="AK174" s="75" t="e">
        <f>PMT(#REF!,#REF!,-#REF!,0,0)</f>
        <v>#REF!</v>
      </c>
      <c r="AL174" s="75"/>
      <c r="AM174" s="7" t="e">
        <f>AJ174*(#REF!/12)</f>
        <v>#REF!</v>
      </c>
      <c r="AN174" s="7" t="e">
        <f t="shared" si="59"/>
        <v>#REF!</v>
      </c>
      <c r="AO174" s="75" t="e">
        <f t="shared" si="48"/>
        <v>#REF!</v>
      </c>
      <c r="AP174" s="75" t="e">
        <f t="shared" si="60"/>
        <v>#REF!</v>
      </c>
      <c r="AQ174" s="7" t="e">
        <f t="shared" si="53"/>
        <v>#REF!</v>
      </c>
      <c r="AR174" s="41"/>
    </row>
    <row r="175" spans="10:44" x14ac:dyDescent="0.25">
      <c r="J175" s="5">
        <f t="shared" si="49"/>
        <v>42</v>
      </c>
      <c r="K175" s="5">
        <f t="shared" si="62"/>
        <v>2040</v>
      </c>
      <c r="L175" s="34" t="s">
        <v>40</v>
      </c>
      <c r="M175" s="70">
        <f t="shared" si="54"/>
        <v>692.97605980378955</v>
      </c>
      <c r="N175" s="70">
        <f t="shared" si="45"/>
        <v>692.97605980378955</v>
      </c>
      <c r="O175" s="71"/>
      <c r="P175" s="86">
        <v>4</v>
      </c>
      <c r="Q175" s="51">
        <v>2</v>
      </c>
      <c r="R175" s="88">
        <f t="shared" si="55"/>
        <v>0.5</v>
      </c>
      <c r="S175" s="6">
        <v>0</v>
      </c>
      <c r="T175" s="8">
        <f t="shared" si="50"/>
        <v>1385.9521196075791</v>
      </c>
      <c r="U175" s="8" t="e">
        <f>#REF!</f>
        <v>#REF!</v>
      </c>
      <c r="V175" s="8"/>
      <c r="W175" s="8" t="e">
        <f t="shared" si="51"/>
        <v>#REF!</v>
      </c>
      <c r="X175" s="27"/>
      <c r="Y175" s="26" t="e">
        <f t="shared" si="56"/>
        <v>#REF!</v>
      </c>
      <c r="Z175" s="95"/>
      <c r="AA175" s="95"/>
      <c r="AB175" s="8">
        <f>'Business_172 PH Rd Budget'!$C$25</f>
        <v>2155.2899999999995</v>
      </c>
      <c r="AC175" s="8" t="e">
        <f t="shared" si="57"/>
        <v>#REF!</v>
      </c>
      <c r="AD175" s="8">
        <v>350000</v>
      </c>
      <c r="AE175" s="76" t="e">
        <f t="shared" si="46"/>
        <v>#REF!</v>
      </c>
      <c r="AF175" s="8" t="e">
        <f t="shared" si="47"/>
        <v>#REF!</v>
      </c>
      <c r="AH175" s="7" t="e">
        <f t="shared" si="52"/>
        <v>#REF!</v>
      </c>
      <c r="AI175" s="79" t="e">
        <f t="shared" si="58"/>
        <v>#REF!</v>
      </c>
      <c r="AJ175" s="79" t="e">
        <f t="shared" si="61"/>
        <v>#REF!</v>
      </c>
      <c r="AK175" s="75" t="e">
        <f>PMT(#REF!,#REF!,-#REF!,0,0)</f>
        <v>#REF!</v>
      </c>
      <c r="AL175" s="75"/>
      <c r="AM175" s="7" t="e">
        <f>AJ175*(#REF!/12)</f>
        <v>#REF!</v>
      </c>
      <c r="AN175" s="7" t="e">
        <f t="shared" si="59"/>
        <v>#REF!</v>
      </c>
      <c r="AO175" s="75" t="e">
        <f t="shared" si="48"/>
        <v>#REF!</v>
      </c>
      <c r="AP175" s="75" t="e">
        <f t="shared" si="60"/>
        <v>#REF!</v>
      </c>
      <c r="AQ175" s="7" t="e">
        <f t="shared" si="53"/>
        <v>#REF!</v>
      </c>
      <c r="AR175" s="41"/>
    </row>
    <row r="176" spans="10:44" x14ac:dyDescent="0.25">
      <c r="J176" s="5">
        <f t="shared" si="49"/>
        <v>42</v>
      </c>
      <c r="K176" s="5">
        <f t="shared" si="62"/>
        <v>2040</v>
      </c>
      <c r="L176" s="34" t="s">
        <v>42</v>
      </c>
      <c r="M176" s="70">
        <f t="shared" si="54"/>
        <v>692.97605980378955</v>
      </c>
      <c r="N176" s="70">
        <f t="shared" si="45"/>
        <v>692.97605980378955</v>
      </c>
      <c r="O176" s="71"/>
      <c r="P176" s="86">
        <v>5</v>
      </c>
      <c r="Q176" s="51">
        <v>4</v>
      </c>
      <c r="R176" s="88">
        <f t="shared" si="55"/>
        <v>0.8</v>
      </c>
      <c r="S176" s="6">
        <v>0</v>
      </c>
      <c r="T176" s="8">
        <f t="shared" si="50"/>
        <v>2771.9042392151582</v>
      </c>
      <c r="U176" s="8" t="e">
        <f>#REF!</f>
        <v>#REF!</v>
      </c>
      <c r="V176" s="8"/>
      <c r="W176" s="8" t="e">
        <f t="shared" si="51"/>
        <v>#REF!</v>
      </c>
      <c r="X176" s="27"/>
      <c r="Y176" s="26" t="e">
        <f t="shared" si="56"/>
        <v>#REF!</v>
      </c>
      <c r="Z176" s="95"/>
      <c r="AA176" s="95"/>
      <c r="AB176" s="8">
        <f>'Business_172 PH Rd Budget'!$C$25</f>
        <v>2155.2899999999995</v>
      </c>
      <c r="AC176" s="8" t="e">
        <f t="shared" si="57"/>
        <v>#REF!</v>
      </c>
      <c r="AD176" s="8">
        <v>350000</v>
      </c>
      <c r="AE176" s="76" t="e">
        <f t="shared" si="46"/>
        <v>#REF!</v>
      </c>
      <c r="AF176" s="8" t="e">
        <f t="shared" si="47"/>
        <v>#REF!</v>
      </c>
      <c r="AH176" s="7" t="e">
        <f t="shared" si="52"/>
        <v>#REF!</v>
      </c>
      <c r="AI176" s="79" t="e">
        <f t="shared" si="58"/>
        <v>#REF!</v>
      </c>
      <c r="AJ176" s="79" t="e">
        <f t="shared" si="61"/>
        <v>#REF!</v>
      </c>
      <c r="AK176" s="75" t="e">
        <f>PMT(#REF!,#REF!,-#REF!,0,0)</f>
        <v>#REF!</v>
      </c>
      <c r="AL176" s="75"/>
      <c r="AM176" s="7" t="e">
        <f>AJ176*(#REF!/12)</f>
        <v>#REF!</v>
      </c>
      <c r="AN176" s="7" t="e">
        <f t="shared" si="59"/>
        <v>#REF!</v>
      </c>
      <c r="AO176" s="75" t="e">
        <f t="shared" si="48"/>
        <v>#REF!</v>
      </c>
      <c r="AP176" s="75" t="e">
        <f t="shared" si="60"/>
        <v>#REF!</v>
      </c>
      <c r="AQ176" s="7" t="e">
        <f t="shared" si="53"/>
        <v>#REF!</v>
      </c>
      <c r="AR176" s="41"/>
    </row>
    <row r="177" spans="10:44" x14ac:dyDescent="0.25">
      <c r="J177" s="5">
        <f t="shared" si="49"/>
        <v>42</v>
      </c>
      <c r="K177" s="5">
        <f t="shared" si="62"/>
        <v>2040</v>
      </c>
      <c r="L177" s="34" t="s">
        <v>44</v>
      </c>
      <c r="M177" s="70">
        <f t="shared" si="54"/>
        <v>692.97605980378955</v>
      </c>
      <c r="N177" s="70">
        <f t="shared" si="45"/>
        <v>692.97605980378955</v>
      </c>
      <c r="O177" s="71"/>
      <c r="P177" s="86">
        <v>4</v>
      </c>
      <c r="Q177" s="51">
        <v>4</v>
      </c>
      <c r="R177" s="88">
        <f t="shared" si="55"/>
        <v>1</v>
      </c>
      <c r="S177" s="6">
        <v>0</v>
      </c>
      <c r="T177" s="8">
        <f t="shared" si="50"/>
        <v>2771.9042392151582</v>
      </c>
      <c r="U177" s="8" t="e">
        <f>#REF!</f>
        <v>#REF!</v>
      </c>
      <c r="V177" s="8"/>
      <c r="W177" s="8" t="e">
        <f t="shared" si="51"/>
        <v>#REF!</v>
      </c>
      <c r="X177" s="27"/>
      <c r="Y177" s="26" t="e">
        <f t="shared" si="56"/>
        <v>#REF!</v>
      </c>
      <c r="Z177" s="95"/>
      <c r="AA177" s="95"/>
      <c r="AB177" s="8">
        <f>'Business_172 PH Rd Budget'!$C$25</f>
        <v>2155.2899999999995</v>
      </c>
      <c r="AC177" s="8" t="e">
        <f t="shared" si="57"/>
        <v>#REF!</v>
      </c>
      <c r="AD177" s="8">
        <v>350000</v>
      </c>
      <c r="AE177" s="76" t="e">
        <f t="shared" si="46"/>
        <v>#REF!</v>
      </c>
      <c r="AF177" s="8" t="e">
        <f t="shared" si="47"/>
        <v>#REF!</v>
      </c>
      <c r="AH177" s="7" t="e">
        <f t="shared" si="52"/>
        <v>#REF!</v>
      </c>
      <c r="AI177" s="79" t="e">
        <f t="shared" si="58"/>
        <v>#REF!</v>
      </c>
      <c r="AJ177" s="79" t="e">
        <f t="shared" si="61"/>
        <v>#REF!</v>
      </c>
      <c r="AK177" s="75" t="e">
        <f>PMT(#REF!,#REF!,-#REF!,0,0)</f>
        <v>#REF!</v>
      </c>
      <c r="AL177" s="75"/>
      <c r="AM177" s="7" t="e">
        <f>AJ177*(#REF!/12)</f>
        <v>#REF!</v>
      </c>
      <c r="AN177" s="7" t="e">
        <f t="shared" si="59"/>
        <v>#REF!</v>
      </c>
      <c r="AO177" s="75" t="e">
        <f t="shared" si="48"/>
        <v>#REF!</v>
      </c>
      <c r="AP177" s="75" t="e">
        <f t="shared" si="60"/>
        <v>#REF!</v>
      </c>
      <c r="AQ177" s="7" t="e">
        <f t="shared" si="53"/>
        <v>#REF!</v>
      </c>
      <c r="AR177" s="41"/>
    </row>
    <row r="178" spans="10:44" x14ac:dyDescent="0.25">
      <c r="J178" s="5">
        <f t="shared" si="49"/>
        <v>42</v>
      </c>
      <c r="K178" s="5">
        <f t="shared" si="62"/>
        <v>2040</v>
      </c>
      <c r="L178" s="34" t="s">
        <v>47</v>
      </c>
      <c r="M178" s="70">
        <f t="shared" si="54"/>
        <v>692.97605980378955</v>
      </c>
      <c r="N178" s="70">
        <f t="shared" si="45"/>
        <v>692.97605980378955</v>
      </c>
      <c r="O178" s="71"/>
      <c r="P178" s="86">
        <v>4</v>
      </c>
      <c r="Q178" s="44">
        <v>4</v>
      </c>
      <c r="R178" s="88">
        <f t="shared" si="55"/>
        <v>1</v>
      </c>
      <c r="S178" s="6">
        <v>0</v>
      </c>
      <c r="T178" s="8">
        <f t="shared" si="50"/>
        <v>2771.9042392151582</v>
      </c>
      <c r="U178" s="8" t="e">
        <f>#REF!</f>
        <v>#REF!</v>
      </c>
      <c r="V178" s="8"/>
      <c r="W178" s="8" t="e">
        <f t="shared" si="51"/>
        <v>#REF!</v>
      </c>
      <c r="X178" s="27"/>
      <c r="Y178" s="26" t="e">
        <f t="shared" si="56"/>
        <v>#REF!</v>
      </c>
      <c r="Z178" s="95"/>
      <c r="AA178" s="95"/>
      <c r="AB178" s="8">
        <f>'Business_172 PH Rd Budget'!$C$25</f>
        <v>2155.2899999999995</v>
      </c>
      <c r="AC178" s="8" t="e">
        <f t="shared" si="57"/>
        <v>#REF!</v>
      </c>
      <c r="AD178" s="8">
        <v>350000</v>
      </c>
      <c r="AE178" s="76" t="e">
        <f t="shared" si="46"/>
        <v>#REF!</v>
      </c>
      <c r="AF178" s="8" t="e">
        <f t="shared" si="47"/>
        <v>#REF!</v>
      </c>
      <c r="AH178" s="7" t="e">
        <f t="shared" si="52"/>
        <v>#REF!</v>
      </c>
      <c r="AI178" s="79" t="e">
        <f t="shared" si="58"/>
        <v>#REF!</v>
      </c>
      <c r="AJ178" s="79" t="e">
        <f t="shared" si="61"/>
        <v>#REF!</v>
      </c>
      <c r="AK178" s="75" t="e">
        <f>PMT(#REF!,#REF!,-#REF!,0,0)</f>
        <v>#REF!</v>
      </c>
      <c r="AL178" s="75"/>
      <c r="AM178" s="7" t="e">
        <f>AJ178*(#REF!/12)</f>
        <v>#REF!</v>
      </c>
      <c r="AN178" s="7" t="e">
        <f t="shared" si="59"/>
        <v>#REF!</v>
      </c>
      <c r="AO178" s="75" t="e">
        <f t="shared" si="48"/>
        <v>#REF!</v>
      </c>
      <c r="AP178" s="75" t="e">
        <f t="shared" si="60"/>
        <v>#REF!</v>
      </c>
      <c r="AQ178" s="7" t="e">
        <f t="shared" si="53"/>
        <v>#REF!</v>
      </c>
      <c r="AR178" s="41"/>
    </row>
    <row r="179" spans="10:44" x14ac:dyDescent="0.25">
      <c r="J179" s="5">
        <f t="shared" si="49"/>
        <v>42</v>
      </c>
      <c r="K179" s="5">
        <f t="shared" si="62"/>
        <v>2040</v>
      </c>
      <c r="L179" s="34" t="s">
        <v>49</v>
      </c>
      <c r="M179" s="70">
        <f t="shared" si="54"/>
        <v>692.97605980378955</v>
      </c>
      <c r="N179" s="70">
        <f t="shared" si="45"/>
        <v>692.97605980378955</v>
      </c>
      <c r="O179" s="71"/>
      <c r="P179" s="86">
        <v>5</v>
      </c>
      <c r="Q179" s="44">
        <v>4</v>
      </c>
      <c r="R179" s="88">
        <f t="shared" si="55"/>
        <v>0.8</v>
      </c>
      <c r="S179" s="6">
        <v>0</v>
      </c>
      <c r="T179" s="8">
        <f t="shared" si="50"/>
        <v>2771.9042392151582</v>
      </c>
      <c r="U179" s="8" t="e">
        <f>#REF!</f>
        <v>#REF!</v>
      </c>
      <c r="V179" s="8"/>
      <c r="W179" s="8" t="e">
        <f t="shared" si="51"/>
        <v>#REF!</v>
      </c>
      <c r="X179" s="27"/>
      <c r="Y179" s="26" t="e">
        <f t="shared" si="56"/>
        <v>#REF!</v>
      </c>
      <c r="Z179" s="95"/>
      <c r="AA179" s="95"/>
      <c r="AB179" s="8">
        <f>'Business_172 PH Rd Budget'!$C$25</f>
        <v>2155.2899999999995</v>
      </c>
      <c r="AC179" s="8" t="e">
        <f t="shared" si="57"/>
        <v>#REF!</v>
      </c>
      <c r="AD179" s="8">
        <v>350000</v>
      </c>
      <c r="AE179" s="76" t="e">
        <f t="shared" si="46"/>
        <v>#REF!</v>
      </c>
      <c r="AF179" s="8" t="e">
        <f t="shared" si="47"/>
        <v>#REF!</v>
      </c>
      <c r="AH179" s="7" t="e">
        <f t="shared" si="52"/>
        <v>#REF!</v>
      </c>
      <c r="AI179" s="79" t="e">
        <f t="shared" si="58"/>
        <v>#REF!</v>
      </c>
      <c r="AJ179" s="79" t="e">
        <f t="shared" si="61"/>
        <v>#REF!</v>
      </c>
      <c r="AK179" s="75" t="e">
        <f>PMT(#REF!,#REF!,-#REF!,0,0)</f>
        <v>#REF!</v>
      </c>
      <c r="AL179" s="75"/>
      <c r="AM179" s="7" t="e">
        <f>AJ179*(#REF!/12)</f>
        <v>#REF!</v>
      </c>
      <c r="AN179" s="7" t="e">
        <f t="shared" si="59"/>
        <v>#REF!</v>
      </c>
      <c r="AO179" s="75" t="e">
        <f t="shared" si="48"/>
        <v>#REF!</v>
      </c>
      <c r="AP179" s="75" t="e">
        <f t="shared" si="60"/>
        <v>#REF!</v>
      </c>
      <c r="AQ179" s="7" t="e">
        <f t="shared" si="53"/>
        <v>#REF!</v>
      </c>
      <c r="AR179" s="41"/>
    </row>
    <row r="180" spans="10:44" x14ac:dyDescent="0.25">
      <c r="J180" s="5">
        <f t="shared" si="49"/>
        <v>42</v>
      </c>
      <c r="K180" s="5">
        <f t="shared" si="62"/>
        <v>2040</v>
      </c>
      <c r="L180" s="34" t="s">
        <v>51</v>
      </c>
      <c r="M180" s="70">
        <f t="shared" si="54"/>
        <v>692.97605980378955</v>
      </c>
      <c r="N180" s="70">
        <f t="shared" si="45"/>
        <v>692.97605980378955</v>
      </c>
      <c r="O180" s="71"/>
      <c r="P180" s="86">
        <v>4</v>
      </c>
      <c r="Q180" s="44">
        <v>4</v>
      </c>
      <c r="R180" s="88">
        <f t="shared" si="55"/>
        <v>1</v>
      </c>
      <c r="S180" s="6">
        <v>0</v>
      </c>
      <c r="T180" s="8">
        <f t="shared" si="50"/>
        <v>2771.9042392151582</v>
      </c>
      <c r="U180" s="8" t="e">
        <f>#REF!</f>
        <v>#REF!</v>
      </c>
      <c r="V180" s="8"/>
      <c r="W180" s="8" t="e">
        <f t="shared" si="51"/>
        <v>#REF!</v>
      </c>
      <c r="X180" s="27"/>
      <c r="Y180" s="26" t="e">
        <f t="shared" si="56"/>
        <v>#REF!</v>
      </c>
      <c r="Z180" s="95"/>
      <c r="AA180" s="95"/>
      <c r="AB180" s="8">
        <f>'Business_172 PH Rd Budget'!$C$25</f>
        <v>2155.2899999999995</v>
      </c>
      <c r="AC180" s="8" t="e">
        <f t="shared" si="57"/>
        <v>#REF!</v>
      </c>
      <c r="AD180" s="8">
        <v>350000</v>
      </c>
      <c r="AE180" s="76" t="e">
        <f t="shared" si="46"/>
        <v>#REF!</v>
      </c>
      <c r="AF180" s="8" t="e">
        <f t="shared" si="47"/>
        <v>#REF!</v>
      </c>
      <c r="AH180" s="7" t="e">
        <f t="shared" si="52"/>
        <v>#REF!</v>
      </c>
      <c r="AI180" s="79" t="e">
        <f t="shared" si="58"/>
        <v>#REF!</v>
      </c>
      <c r="AJ180" s="79" t="e">
        <f t="shared" si="61"/>
        <v>#REF!</v>
      </c>
      <c r="AK180" s="75" t="e">
        <f>PMT(#REF!,#REF!,-#REF!,0,0)</f>
        <v>#REF!</v>
      </c>
      <c r="AL180" s="75"/>
      <c r="AM180" s="7" t="e">
        <f>AJ180*(#REF!/12)</f>
        <v>#REF!</v>
      </c>
      <c r="AN180" s="7" t="e">
        <f t="shared" si="59"/>
        <v>#REF!</v>
      </c>
      <c r="AO180" s="75" t="e">
        <f t="shared" si="48"/>
        <v>#REF!</v>
      </c>
      <c r="AP180" s="75" t="e">
        <f t="shared" si="60"/>
        <v>#REF!</v>
      </c>
      <c r="AQ180" s="7" t="e">
        <f t="shared" si="53"/>
        <v>#REF!</v>
      </c>
      <c r="AR180" s="41"/>
    </row>
    <row r="181" spans="10:44" x14ac:dyDescent="0.25">
      <c r="J181" s="5">
        <f t="shared" si="49"/>
        <v>42</v>
      </c>
      <c r="K181" s="5">
        <f t="shared" si="62"/>
        <v>2040</v>
      </c>
      <c r="L181" s="34" t="s">
        <v>53</v>
      </c>
      <c r="M181" s="70">
        <f t="shared" si="54"/>
        <v>692.97605980378955</v>
      </c>
      <c r="N181" s="70">
        <f t="shared" si="45"/>
        <v>623.67845382341056</v>
      </c>
      <c r="O181" s="71"/>
      <c r="P181" s="87"/>
      <c r="Q181" s="68">
        <v>0</v>
      </c>
      <c r="R181" s="88" t="str">
        <f t="shared" si="55"/>
        <v/>
      </c>
      <c r="S181" s="69">
        <v>0.1</v>
      </c>
      <c r="T181" s="8">
        <f t="shared" si="50"/>
        <v>0</v>
      </c>
      <c r="U181" s="8" t="e">
        <f>#REF!</f>
        <v>#REF!</v>
      </c>
      <c r="V181" s="8"/>
      <c r="W181" s="8" t="e">
        <f t="shared" si="51"/>
        <v>#REF!</v>
      </c>
      <c r="X181" s="27"/>
      <c r="Y181" s="26" t="e">
        <f t="shared" si="56"/>
        <v>#REF!</v>
      </c>
      <c r="Z181" s="95"/>
      <c r="AA181" s="95"/>
      <c r="AB181" s="8">
        <f>'Business_172 PH Rd Budget'!$C$25</f>
        <v>2155.2899999999995</v>
      </c>
      <c r="AC181" s="8" t="e">
        <f t="shared" si="57"/>
        <v>#REF!</v>
      </c>
      <c r="AD181" s="8">
        <v>350000</v>
      </c>
      <c r="AE181" s="76" t="e">
        <f t="shared" si="46"/>
        <v>#REF!</v>
      </c>
      <c r="AF181" s="8" t="e">
        <f t="shared" si="47"/>
        <v>#REF!</v>
      </c>
      <c r="AH181" s="7" t="e">
        <f t="shared" si="52"/>
        <v>#REF!</v>
      </c>
      <c r="AI181" s="79" t="e">
        <f t="shared" si="58"/>
        <v>#REF!</v>
      </c>
      <c r="AJ181" s="79" t="e">
        <f t="shared" si="61"/>
        <v>#REF!</v>
      </c>
      <c r="AK181" s="75" t="e">
        <f>PMT(#REF!,#REF!,-#REF!,0,0)</f>
        <v>#REF!</v>
      </c>
      <c r="AL181" s="75"/>
      <c r="AM181" s="7" t="e">
        <f>AJ181*(#REF!/12)</f>
        <v>#REF!</v>
      </c>
      <c r="AN181" s="7" t="e">
        <f t="shared" si="59"/>
        <v>#REF!</v>
      </c>
      <c r="AO181" s="75" t="e">
        <f t="shared" si="48"/>
        <v>#REF!</v>
      </c>
      <c r="AP181" s="75" t="e">
        <f t="shared" si="60"/>
        <v>#REF!</v>
      </c>
      <c r="AQ181" s="7" t="e">
        <f t="shared" si="53"/>
        <v>#REF!</v>
      </c>
      <c r="AR181" s="41"/>
    </row>
    <row r="182" spans="10:44" x14ac:dyDescent="0.25">
      <c r="J182" s="5">
        <f t="shared" si="49"/>
        <v>42</v>
      </c>
      <c r="K182" s="5">
        <f t="shared" si="62"/>
        <v>2040</v>
      </c>
      <c r="L182" s="34" t="s">
        <v>55</v>
      </c>
      <c r="M182" s="70">
        <f t="shared" si="54"/>
        <v>692.97605980378955</v>
      </c>
      <c r="N182" s="70">
        <f t="shared" si="45"/>
        <v>554.38084784303169</v>
      </c>
      <c r="O182" s="71"/>
      <c r="P182" s="86"/>
      <c r="Q182" s="51">
        <v>0</v>
      </c>
      <c r="R182" s="88" t="str">
        <f t="shared" si="55"/>
        <v/>
      </c>
      <c r="S182" s="6">
        <v>0.2</v>
      </c>
      <c r="T182" s="8">
        <f t="shared" si="50"/>
        <v>0</v>
      </c>
      <c r="U182" s="8" t="e">
        <f>#REF!</f>
        <v>#REF!</v>
      </c>
      <c r="V182" s="8"/>
      <c r="W182" s="8" t="e">
        <f t="shared" si="51"/>
        <v>#REF!</v>
      </c>
      <c r="X182" s="27"/>
      <c r="Y182" s="26" t="e">
        <f t="shared" si="56"/>
        <v>#REF!</v>
      </c>
      <c r="Z182" s="95"/>
      <c r="AA182" s="95"/>
      <c r="AB182" s="8">
        <f>'Business_172 PH Rd Budget'!$C$25</f>
        <v>2155.2899999999995</v>
      </c>
      <c r="AC182" s="8" t="e">
        <f t="shared" si="57"/>
        <v>#REF!</v>
      </c>
      <c r="AD182" s="8">
        <v>350000</v>
      </c>
      <c r="AE182" s="76" t="e">
        <f t="shared" si="46"/>
        <v>#REF!</v>
      </c>
      <c r="AF182" s="8" t="e">
        <f t="shared" si="47"/>
        <v>#REF!</v>
      </c>
      <c r="AH182" s="7" t="e">
        <f t="shared" si="52"/>
        <v>#REF!</v>
      </c>
      <c r="AI182" s="79" t="e">
        <f t="shared" si="58"/>
        <v>#REF!</v>
      </c>
      <c r="AJ182" s="79" t="e">
        <f t="shared" si="61"/>
        <v>#REF!</v>
      </c>
      <c r="AK182" s="75" t="e">
        <f>PMT(#REF!,#REF!,-#REF!,0,0)</f>
        <v>#REF!</v>
      </c>
      <c r="AL182" s="75"/>
      <c r="AM182" s="7" t="e">
        <f>AJ182*(#REF!/12)</f>
        <v>#REF!</v>
      </c>
      <c r="AN182" s="7" t="e">
        <f t="shared" si="59"/>
        <v>#REF!</v>
      </c>
      <c r="AO182" s="75" t="e">
        <f t="shared" si="48"/>
        <v>#REF!</v>
      </c>
      <c r="AP182" s="75" t="e">
        <f t="shared" si="60"/>
        <v>#REF!</v>
      </c>
      <c r="AQ182" s="7" t="e">
        <f t="shared" si="53"/>
        <v>#REF!</v>
      </c>
      <c r="AR182" s="41"/>
    </row>
    <row r="183" spans="10:44" x14ac:dyDescent="0.25">
      <c r="J183" s="5">
        <f t="shared" si="49"/>
        <v>43</v>
      </c>
      <c r="K183" s="5">
        <f t="shared" si="62"/>
        <v>2041</v>
      </c>
      <c r="L183" s="34" t="s">
        <v>31</v>
      </c>
      <c r="M183" s="70">
        <f t="shared" si="54"/>
        <v>727.6248627939791</v>
      </c>
      <c r="N183" s="70">
        <f t="shared" si="45"/>
        <v>545.71864709548436</v>
      </c>
      <c r="O183" s="71">
        <v>0.05</v>
      </c>
      <c r="P183" s="86"/>
      <c r="Q183" s="51">
        <v>0</v>
      </c>
      <c r="R183" s="88" t="str">
        <f t="shared" si="55"/>
        <v/>
      </c>
      <c r="S183" s="6">
        <v>0.25</v>
      </c>
      <c r="T183" s="8">
        <f t="shared" si="50"/>
        <v>0</v>
      </c>
      <c r="U183" s="8" t="e">
        <f>#REF!</f>
        <v>#REF!</v>
      </c>
      <c r="V183" s="8"/>
      <c r="W183" s="8" t="e">
        <f t="shared" si="51"/>
        <v>#REF!</v>
      </c>
      <c r="X183" s="27"/>
      <c r="Y183" s="26" t="e">
        <f t="shared" si="56"/>
        <v>#REF!</v>
      </c>
      <c r="Z183" s="95"/>
      <c r="AA183" s="95"/>
      <c r="AB183" s="8">
        <f>'Business_172 PH Rd Budget'!$C$25</f>
        <v>2155.2899999999995</v>
      </c>
      <c r="AC183" s="8" t="e">
        <f t="shared" si="57"/>
        <v>#REF!</v>
      </c>
      <c r="AD183" s="8">
        <v>350000</v>
      </c>
      <c r="AE183" s="76" t="e">
        <f t="shared" si="46"/>
        <v>#REF!</v>
      </c>
      <c r="AF183" s="8" t="e">
        <f t="shared" si="47"/>
        <v>#REF!</v>
      </c>
      <c r="AH183" s="7" t="e">
        <f t="shared" si="52"/>
        <v>#REF!</v>
      </c>
      <c r="AI183" s="79" t="e">
        <f t="shared" si="58"/>
        <v>#REF!</v>
      </c>
      <c r="AJ183" s="79" t="e">
        <f t="shared" si="61"/>
        <v>#REF!</v>
      </c>
      <c r="AK183" s="75" t="e">
        <f>PMT(#REF!,#REF!,-#REF!,0,0)</f>
        <v>#REF!</v>
      </c>
      <c r="AL183" s="75"/>
      <c r="AM183" s="7" t="e">
        <f>AJ183*(#REF!/12)</f>
        <v>#REF!</v>
      </c>
      <c r="AN183" s="7" t="e">
        <f t="shared" si="59"/>
        <v>#REF!</v>
      </c>
      <c r="AO183" s="75" t="e">
        <f t="shared" si="48"/>
        <v>#REF!</v>
      </c>
      <c r="AP183" s="75" t="e">
        <f t="shared" si="60"/>
        <v>#REF!</v>
      </c>
      <c r="AQ183" s="7" t="e">
        <f t="shared" si="53"/>
        <v>#REF!</v>
      </c>
      <c r="AR183" s="41"/>
    </row>
    <row r="184" spans="10:44" x14ac:dyDescent="0.25">
      <c r="J184" s="5">
        <f t="shared" si="49"/>
        <v>43</v>
      </c>
      <c r="K184" s="5">
        <f t="shared" si="62"/>
        <v>2041</v>
      </c>
      <c r="L184" s="34" t="s">
        <v>33</v>
      </c>
      <c r="M184" s="70">
        <f t="shared" si="54"/>
        <v>727.6248627939791</v>
      </c>
      <c r="N184" s="70">
        <f t="shared" si="45"/>
        <v>545.71864709548436</v>
      </c>
      <c r="O184" s="71"/>
      <c r="P184" s="86"/>
      <c r="Q184" s="51">
        <v>0</v>
      </c>
      <c r="R184" s="88" t="str">
        <f t="shared" si="55"/>
        <v/>
      </c>
      <c r="S184" s="6">
        <v>0.25</v>
      </c>
      <c r="T184" s="8">
        <f t="shared" si="50"/>
        <v>0</v>
      </c>
      <c r="U184" s="8" t="e">
        <f>#REF!</f>
        <v>#REF!</v>
      </c>
      <c r="V184" s="8"/>
      <c r="W184" s="8" t="e">
        <f t="shared" si="51"/>
        <v>#REF!</v>
      </c>
      <c r="X184" s="27"/>
      <c r="Y184" s="26" t="e">
        <f t="shared" si="56"/>
        <v>#REF!</v>
      </c>
      <c r="Z184" s="95"/>
      <c r="AA184" s="95"/>
      <c r="AB184" s="8">
        <f>'Business_172 PH Rd Budget'!$C$25</f>
        <v>2155.2899999999995</v>
      </c>
      <c r="AC184" s="8" t="e">
        <f t="shared" si="57"/>
        <v>#REF!</v>
      </c>
      <c r="AD184" s="8">
        <v>350000</v>
      </c>
      <c r="AE184" s="76" t="e">
        <f t="shared" si="46"/>
        <v>#REF!</v>
      </c>
      <c r="AF184" s="8" t="e">
        <f t="shared" si="47"/>
        <v>#REF!</v>
      </c>
      <c r="AH184" s="7" t="e">
        <f t="shared" si="52"/>
        <v>#REF!</v>
      </c>
      <c r="AI184" s="79" t="e">
        <f t="shared" si="58"/>
        <v>#REF!</v>
      </c>
      <c r="AJ184" s="79" t="e">
        <f t="shared" si="61"/>
        <v>#REF!</v>
      </c>
      <c r="AK184" s="75" t="e">
        <f>PMT(#REF!,#REF!,-#REF!,0,0)</f>
        <v>#REF!</v>
      </c>
      <c r="AL184" s="75"/>
      <c r="AM184" s="7" t="e">
        <f>AJ184*(#REF!/12)</f>
        <v>#REF!</v>
      </c>
      <c r="AN184" s="7" t="e">
        <f t="shared" si="59"/>
        <v>#REF!</v>
      </c>
      <c r="AO184" s="75" t="e">
        <f t="shared" si="48"/>
        <v>#REF!</v>
      </c>
      <c r="AP184" s="75" t="e">
        <f t="shared" si="60"/>
        <v>#REF!</v>
      </c>
      <c r="AQ184" s="7" t="e">
        <f t="shared" si="53"/>
        <v>#REF!</v>
      </c>
      <c r="AR184" s="41"/>
    </row>
    <row r="185" spans="10:44" x14ac:dyDescent="0.25">
      <c r="J185" s="5">
        <f t="shared" si="49"/>
        <v>43</v>
      </c>
      <c r="K185" s="5">
        <f t="shared" si="62"/>
        <v>2041</v>
      </c>
      <c r="L185" s="34" t="s">
        <v>36</v>
      </c>
      <c r="M185" s="70">
        <f t="shared" si="54"/>
        <v>727.6248627939791</v>
      </c>
      <c r="N185" s="70">
        <f t="shared" si="45"/>
        <v>582.09989023518335</v>
      </c>
      <c r="O185" s="71"/>
      <c r="P185" s="86"/>
      <c r="Q185" s="51">
        <v>0</v>
      </c>
      <c r="R185" s="88" t="str">
        <f t="shared" si="55"/>
        <v/>
      </c>
      <c r="S185" s="6">
        <v>0.2</v>
      </c>
      <c r="T185" s="8">
        <f t="shared" si="50"/>
        <v>0</v>
      </c>
      <c r="U185" s="8" t="e">
        <f>#REF!</f>
        <v>#REF!</v>
      </c>
      <c r="V185" s="8"/>
      <c r="W185" s="8" t="e">
        <f t="shared" si="51"/>
        <v>#REF!</v>
      </c>
      <c r="X185" s="27"/>
      <c r="Y185" s="26" t="e">
        <f t="shared" si="56"/>
        <v>#REF!</v>
      </c>
      <c r="Z185" s="95"/>
      <c r="AA185" s="95"/>
      <c r="AB185" s="8">
        <f>'Business_172 PH Rd Budget'!$C$25</f>
        <v>2155.2899999999995</v>
      </c>
      <c r="AC185" s="8" t="e">
        <f t="shared" si="57"/>
        <v>#REF!</v>
      </c>
      <c r="AD185" s="8">
        <v>350000</v>
      </c>
      <c r="AE185" s="76" t="e">
        <f t="shared" si="46"/>
        <v>#REF!</v>
      </c>
      <c r="AF185" s="8" t="e">
        <f t="shared" si="47"/>
        <v>#REF!</v>
      </c>
      <c r="AH185" s="7" t="e">
        <f t="shared" si="52"/>
        <v>#REF!</v>
      </c>
      <c r="AI185" s="79" t="e">
        <f t="shared" si="58"/>
        <v>#REF!</v>
      </c>
      <c r="AJ185" s="79" t="e">
        <f t="shared" si="61"/>
        <v>#REF!</v>
      </c>
      <c r="AK185" s="75" t="e">
        <f>PMT(#REF!,#REF!,-#REF!,0,0)</f>
        <v>#REF!</v>
      </c>
      <c r="AL185" s="75"/>
      <c r="AM185" s="7" t="e">
        <f>AJ185*(#REF!/12)</f>
        <v>#REF!</v>
      </c>
      <c r="AN185" s="7" t="e">
        <f t="shared" si="59"/>
        <v>#REF!</v>
      </c>
      <c r="AO185" s="75" t="e">
        <f t="shared" si="48"/>
        <v>#REF!</v>
      </c>
      <c r="AP185" s="75" t="e">
        <f t="shared" si="60"/>
        <v>#REF!</v>
      </c>
      <c r="AQ185" s="7" t="e">
        <f t="shared" si="53"/>
        <v>#REF!</v>
      </c>
      <c r="AR185" s="41"/>
    </row>
    <row r="186" spans="10:44" x14ac:dyDescent="0.25">
      <c r="J186" s="5">
        <f t="shared" si="49"/>
        <v>43</v>
      </c>
      <c r="K186" s="5">
        <f t="shared" si="62"/>
        <v>2041</v>
      </c>
      <c r="L186" s="34" t="s">
        <v>38</v>
      </c>
      <c r="M186" s="70">
        <f t="shared" si="54"/>
        <v>727.6248627939791</v>
      </c>
      <c r="N186" s="70">
        <f t="shared" si="45"/>
        <v>654.86237651458123</v>
      </c>
      <c r="O186" s="71"/>
      <c r="P186" s="86"/>
      <c r="Q186" s="51">
        <v>0</v>
      </c>
      <c r="R186" s="88" t="str">
        <f t="shared" si="55"/>
        <v/>
      </c>
      <c r="S186" s="6">
        <v>0.1</v>
      </c>
      <c r="T186" s="8">
        <f t="shared" si="50"/>
        <v>0</v>
      </c>
      <c r="U186" s="8" t="e">
        <f>#REF!</f>
        <v>#REF!</v>
      </c>
      <c r="V186" s="8"/>
      <c r="W186" s="8" t="e">
        <f t="shared" si="51"/>
        <v>#REF!</v>
      </c>
      <c r="X186" s="27"/>
      <c r="Y186" s="26" t="e">
        <f t="shared" si="56"/>
        <v>#REF!</v>
      </c>
      <c r="Z186" s="95"/>
      <c r="AA186" s="95"/>
      <c r="AB186" s="8">
        <f>'Business_172 PH Rd Budget'!$C$25</f>
        <v>2155.2899999999995</v>
      </c>
      <c r="AC186" s="8" t="e">
        <f t="shared" si="57"/>
        <v>#REF!</v>
      </c>
      <c r="AD186" s="8">
        <v>350000</v>
      </c>
      <c r="AE186" s="76" t="e">
        <f t="shared" si="46"/>
        <v>#REF!</v>
      </c>
      <c r="AF186" s="8" t="e">
        <f t="shared" si="47"/>
        <v>#REF!</v>
      </c>
      <c r="AH186" s="7" t="e">
        <f t="shared" si="52"/>
        <v>#REF!</v>
      </c>
      <c r="AI186" s="79" t="e">
        <f t="shared" si="58"/>
        <v>#REF!</v>
      </c>
      <c r="AJ186" s="79" t="e">
        <f t="shared" si="61"/>
        <v>#REF!</v>
      </c>
      <c r="AK186" s="75" t="e">
        <f>PMT(#REF!,#REF!,-#REF!,0,0)</f>
        <v>#REF!</v>
      </c>
      <c r="AL186" s="75"/>
      <c r="AM186" s="7" t="e">
        <f>AJ186*(#REF!/12)</f>
        <v>#REF!</v>
      </c>
      <c r="AN186" s="7" t="e">
        <f t="shared" si="59"/>
        <v>#REF!</v>
      </c>
      <c r="AO186" s="75" t="e">
        <f t="shared" si="48"/>
        <v>#REF!</v>
      </c>
      <c r="AP186" s="75" t="e">
        <f t="shared" si="60"/>
        <v>#REF!</v>
      </c>
      <c r="AQ186" s="7" t="e">
        <f t="shared" si="53"/>
        <v>#REF!</v>
      </c>
      <c r="AR186" s="41"/>
    </row>
    <row r="187" spans="10:44" x14ac:dyDescent="0.25">
      <c r="J187" s="5">
        <f t="shared" si="49"/>
        <v>43</v>
      </c>
      <c r="K187" s="5">
        <f t="shared" si="62"/>
        <v>2041</v>
      </c>
      <c r="L187" s="34" t="s">
        <v>40</v>
      </c>
      <c r="M187" s="70">
        <f t="shared" si="54"/>
        <v>727.6248627939791</v>
      </c>
      <c r="N187" s="70">
        <f t="shared" si="45"/>
        <v>727.6248627939791</v>
      </c>
      <c r="O187" s="71"/>
      <c r="P187" s="86">
        <v>4</v>
      </c>
      <c r="Q187" s="51">
        <v>2</v>
      </c>
      <c r="R187" s="88">
        <f t="shared" si="55"/>
        <v>0.5</v>
      </c>
      <c r="S187" s="6">
        <v>0</v>
      </c>
      <c r="T187" s="8">
        <f t="shared" si="50"/>
        <v>1455.2497255879582</v>
      </c>
      <c r="U187" s="8" t="e">
        <f>#REF!</f>
        <v>#REF!</v>
      </c>
      <c r="V187" s="8"/>
      <c r="W187" s="8" t="e">
        <f t="shared" si="51"/>
        <v>#REF!</v>
      </c>
      <c r="X187" s="27"/>
      <c r="Y187" s="26" t="e">
        <f t="shared" si="56"/>
        <v>#REF!</v>
      </c>
      <c r="Z187" s="95"/>
      <c r="AA187" s="95"/>
      <c r="AB187" s="8">
        <f>'Business_172 PH Rd Budget'!$C$25</f>
        <v>2155.2899999999995</v>
      </c>
      <c r="AC187" s="8" t="e">
        <f t="shared" si="57"/>
        <v>#REF!</v>
      </c>
      <c r="AD187" s="8">
        <v>350000</v>
      </c>
      <c r="AE187" s="76" t="e">
        <f t="shared" si="46"/>
        <v>#REF!</v>
      </c>
      <c r="AF187" s="8" t="e">
        <f t="shared" si="47"/>
        <v>#REF!</v>
      </c>
      <c r="AH187" s="7" t="e">
        <f t="shared" si="52"/>
        <v>#REF!</v>
      </c>
      <c r="AI187" s="79" t="e">
        <f t="shared" si="58"/>
        <v>#REF!</v>
      </c>
      <c r="AJ187" s="79" t="e">
        <f t="shared" si="61"/>
        <v>#REF!</v>
      </c>
      <c r="AK187" s="75" t="e">
        <f>PMT(#REF!,#REF!,-#REF!,0,0)</f>
        <v>#REF!</v>
      </c>
      <c r="AL187" s="75"/>
      <c r="AM187" s="7" t="e">
        <f>AJ187*(#REF!/12)</f>
        <v>#REF!</v>
      </c>
      <c r="AN187" s="7" t="e">
        <f t="shared" si="59"/>
        <v>#REF!</v>
      </c>
      <c r="AO187" s="75" t="e">
        <f t="shared" si="48"/>
        <v>#REF!</v>
      </c>
      <c r="AP187" s="75" t="e">
        <f t="shared" si="60"/>
        <v>#REF!</v>
      </c>
      <c r="AQ187" s="7" t="e">
        <f t="shared" si="53"/>
        <v>#REF!</v>
      </c>
      <c r="AR187" s="41"/>
    </row>
    <row r="188" spans="10:44" x14ac:dyDescent="0.25">
      <c r="J188" s="5">
        <f t="shared" si="49"/>
        <v>43</v>
      </c>
      <c r="K188" s="5">
        <f t="shared" si="62"/>
        <v>2041</v>
      </c>
      <c r="L188" s="34" t="s">
        <v>42</v>
      </c>
      <c r="M188" s="70">
        <f t="shared" si="54"/>
        <v>727.6248627939791</v>
      </c>
      <c r="N188" s="70">
        <f t="shared" si="45"/>
        <v>727.6248627939791</v>
      </c>
      <c r="O188" s="71"/>
      <c r="P188" s="86">
        <v>5</v>
      </c>
      <c r="Q188" s="51">
        <v>4</v>
      </c>
      <c r="R188" s="88">
        <f t="shared" si="55"/>
        <v>0.8</v>
      </c>
      <c r="S188" s="6">
        <v>0</v>
      </c>
      <c r="T188" s="8">
        <f t="shared" si="50"/>
        <v>2910.4994511759164</v>
      </c>
      <c r="U188" s="8" t="e">
        <f>#REF!</f>
        <v>#REF!</v>
      </c>
      <c r="V188" s="8"/>
      <c r="W188" s="8" t="e">
        <f t="shared" si="51"/>
        <v>#REF!</v>
      </c>
      <c r="X188" s="27"/>
      <c r="Y188" s="26" t="e">
        <f t="shared" si="56"/>
        <v>#REF!</v>
      </c>
      <c r="Z188" s="95"/>
      <c r="AA188" s="95"/>
      <c r="AB188" s="8">
        <f>'Business_172 PH Rd Budget'!$C$25</f>
        <v>2155.2899999999995</v>
      </c>
      <c r="AC188" s="8" t="e">
        <f t="shared" si="57"/>
        <v>#REF!</v>
      </c>
      <c r="AD188" s="8">
        <v>350000</v>
      </c>
      <c r="AE188" s="76" t="e">
        <f t="shared" si="46"/>
        <v>#REF!</v>
      </c>
      <c r="AF188" s="8" t="e">
        <f t="shared" si="47"/>
        <v>#REF!</v>
      </c>
      <c r="AH188" s="7" t="e">
        <f t="shared" si="52"/>
        <v>#REF!</v>
      </c>
      <c r="AI188" s="79" t="e">
        <f t="shared" si="58"/>
        <v>#REF!</v>
      </c>
      <c r="AJ188" s="79" t="e">
        <f t="shared" si="61"/>
        <v>#REF!</v>
      </c>
      <c r="AK188" s="75" t="e">
        <f>PMT(#REF!,#REF!,-#REF!,0,0)</f>
        <v>#REF!</v>
      </c>
      <c r="AL188" s="75"/>
      <c r="AM188" s="7" t="e">
        <f>AJ188*(#REF!/12)</f>
        <v>#REF!</v>
      </c>
      <c r="AN188" s="7" t="e">
        <f t="shared" si="59"/>
        <v>#REF!</v>
      </c>
      <c r="AO188" s="75" t="e">
        <f t="shared" si="48"/>
        <v>#REF!</v>
      </c>
      <c r="AP188" s="75" t="e">
        <f t="shared" si="60"/>
        <v>#REF!</v>
      </c>
      <c r="AQ188" s="7" t="e">
        <f t="shared" si="53"/>
        <v>#REF!</v>
      </c>
      <c r="AR188" s="41"/>
    </row>
    <row r="189" spans="10:44" x14ac:dyDescent="0.25">
      <c r="J189" s="5">
        <f t="shared" si="49"/>
        <v>43</v>
      </c>
      <c r="K189" s="5">
        <f t="shared" si="62"/>
        <v>2041</v>
      </c>
      <c r="L189" s="34" t="s">
        <v>44</v>
      </c>
      <c r="M189" s="70">
        <f t="shared" si="54"/>
        <v>727.6248627939791</v>
      </c>
      <c r="N189" s="70">
        <f t="shared" si="45"/>
        <v>727.6248627939791</v>
      </c>
      <c r="O189" s="71"/>
      <c r="P189" s="86">
        <v>4</v>
      </c>
      <c r="Q189" s="51">
        <v>4</v>
      </c>
      <c r="R189" s="88">
        <f t="shared" si="55"/>
        <v>1</v>
      </c>
      <c r="S189" s="6">
        <v>0</v>
      </c>
      <c r="T189" s="8">
        <f t="shared" si="50"/>
        <v>2910.4994511759164</v>
      </c>
      <c r="U189" s="8" t="e">
        <f>#REF!</f>
        <v>#REF!</v>
      </c>
      <c r="V189" s="8"/>
      <c r="W189" s="8" t="e">
        <f t="shared" si="51"/>
        <v>#REF!</v>
      </c>
      <c r="X189" s="27"/>
      <c r="Y189" s="26" t="e">
        <f t="shared" si="56"/>
        <v>#REF!</v>
      </c>
      <c r="Z189" s="95"/>
      <c r="AA189" s="95"/>
      <c r="AB189" s="8">
        <f>'Business_172 PH Rd Budget'!$C$25</f>
        <v>2155.2899999999995</v>
      </c>
      <c r="AC189" s="8" t="e">
        <f t="shared" si="57"/>
        <v>#REF!</v>
      </c>
      <c r="AD189" s="8">
        <v>350000</v>
      </c>
      <c r="AE189" s="76" t="e">
        <f t="shared" si="46"/>
        <v>#REF!</v>
      </c>
      <c r="AF189" s="8" t="e">
        <f t="shared" si="47"/>
        <v>#REF!</v>
      </c>
      <c r="AH189" s="7" t="e">
        <f t="shared" si="52"/>
        <v>#REF!</v>
      </c>
      <c r="AI189" s="79" t="e">
        <f t="shared" si="58"/>
        <v>#REF!</v>
      </c>
      <c r="AJ189" s="79" t="e">
        <f t="shared" si="61"/>
        <v>#REF!</v>
      </c>
      <c r="AK189" s="75" t="e">
        <f>PMT(#REF!,#REF!,-#REF!,0,0)</f>
        <v>#REF!</v>
      </c>
      <c r="AL189" s="75"/>
      <c r="AM189" s="7" t="e">
        <f>AJ189*(#REF!/12)</f>
        <v>#REF!</v>
      </c>
      <c r="AN189" s="7" t="e">
        <f t="shared" si="59"/>
        <v>#REF!</v>
      </c>
      <c r="AO189" s="75" t="e">
        <f t="shared" si="48"/>
        <v>#REF!</v>
      </c>
      <c r="AP189" s="75" t="e">
        <f t="shared" si="60"/>
        <v>#REF!</v>
      </c>
      <c r="AQ189" s="7" t="e">
        <f t="shared" si="53"/>
        <v>#REF!</v>
      </c>
      <c r="AR189" s="41"/>
    </row>
    <row r="190" spans="10:44" x14ac:dyDescent="0.25">
      <c r="J190" s="5">
        <f t="shared" si="49"/>
        <v>43</v>
      </c>
      <c r="K190" s="5">
        <f t="shared" si="62"/>
        <v>2041</v>
      </c>
      <c r="L190" s="34" t="s">
        <v>47</v>
      </c>
      <c r="M190" s="70">
        <f t="shared" si="54"/>
        <v>727.6248627939791</v>
      </c>
      <c r="N190" s="70">
        <f t="shared" si="45"/>
        <v>727.6248627939791</v>
      </c>
      <c r="O190" s="71"/>
      <c r="P190" s="86">
        <v>5</v>
      </c>
      <c r="Q190" s="44">
        <v>4</v>
      </c>
      <c r="R190" s="88">
        <f t="shared" si="55"/>
        <v>0.8</v>
      </c>
      <c r="S190" s="6">
        <v>0</v>
      </c>
      <c r="T190" s="8">
        <f t="shared" si="50"/>
        <v>2910.4994511759164</v>
      </c>
      <c r="U190" s="8" t="e">
        <f>#REF!</f>
        <v>#REF!</v>
      </c>
      <c r="V190" s="8"/>
      <c r="W190" s="8" t="e">
        <f t="shared" si="51"/>
        <v>#REF!</v>
      </c>
      <c r="X190" s="27"/>
      <c r="Y190" s="26" t="e">
        <f t="shared" si="56"/>
        <v>#REF!</v>
      </c>
      <c r="Z190" s="95"/>
      <c r="AA190" s="95"/>
      <c r="AB190" s="8">
        <f>'Business_172 PH Rd Budget'!$C$25</f>
        <v>2155.2899999999995</v>
      </c>
      <c r="AC190" s="8" t="e">
        <f t="shared" si="57"/>
        <v>#REF!</v>
      </c>
      <c r="AD190" s="8">
        <v>350000</v>
      </c>
      <c r="AE190" s="76" t="e">
        <f t="shared" si="46"/>
        <v>#REF!</v>
      </c>
      <c r="AF190" s="8" t="e">
        <f t="shared" si="47"/>
        <v>#REF!</v>
      </c>
      <c r="AH190" s="7" t="e">
        <f t="shared" si="52"/>
        <v>#REF!</v>
      </c>
      <c r="AI190" s="79" t="e">
        <f t="shared" si="58"/>
        <v>#REF!</v>
      </c>
      <c r="AJ190" s="79" t="e">
        <f t="shared" si="61"/>
        <v>#REF!</v>
      </c>
      <c r="AK190" s="75" t="e">
        <f>PMT(#REF!,#REF!,-#REF!,0,0)</f>
        <v>#REF!</v>
      </c>
      <c r="AL190" s="75"/>
      <c r="AM190" s="7" t="e">
        <f>AJ190*(#REF!/12)</f>
        <v>#REF!</v>
      </c>
      <c r="AN190" s="7" t="e">
        <f t="shared" si="59"/>
        <v>#REF!</v>
      </c>
      <c r="AO190" s="75" t="e">
        <f t="shared" si="48"/>
        <v>#REF!</v>
      </c>
      <c r="AP190" s="75" t="e">
        <f t="shared" si="60"/>
        <v>#REF!</v>
      </c>
      <c r="AQ190" s="7" t="e">
        <f t="shared" si="53"/>
        <v>#REF!</v>
      </c>
      <c r="AR190" s="41"/>
    </row>
    <row r="191" spans="10:44" x14ac:dyDescent="0.25">
      <c r="J191" s="5">
        <f t="shared" si="49"/>
        <v>43</v>
      </c>
      <c r="K191" s="5">
        <f t="shared" si="62"/>
        <v>2041</v>
      </c>
      <c r="L191" s="34" t="s">
        <v>49</v>
      </c>
      <c r="M191" s="70">
        <f t="shared" si="54"/>
        <v>727.6248627939791</v>
      </c>
      <c r="N191" s="70">
        <f t="shared" si="45"/>
        <v>727.6248627939791</v>
      </c>
      <c r="O191" s="71"/>
      <c r="P191" s="86">
        <v>4</v>
      </c>
      <c r="Q191" s="44">
        <v>4</v>
      </c>
      <c r="R191" s="88">
        <f t="shared" si="55"/>
        <v>1</v>
      </c>
      <c r="S191" s="6">
        <v>0</v>
      </c>
      <c r="T191" s="8">
        <f t="shared" si="50"/>
        <v>2910.4994511759164</v>
      </c>
      <c r="U191" s="8" t="e">
        <f>#REF!</f>
        <v>#REF!</v>
      </c>
      <c r="V191" s="8"/>
      <c r="W191" s="8" t="e">
        <f t="shared" si="51"/>
        <v>#REF!</v>
      </c>
      <c r="X191" s="27"/>
      <c r="Y191" s="26" t="e">
        <f t="shared" si="56"/>
        <v>#REF!</v>
      </c>
      <c r="Z191" s="95"/>
      <c r="AA191" s="95"/>
      <c r="AB191" s="8">
        <f>'Business_172 PH Rd Budget'!$C$25</f>
        <v>2155.2899999999995</v>
      </c>
      <c r="AC191" s="8" t="e">
        <f t="shared" si="57"/>
        <v>#REF!</v>
      </c>
      <c r="AD191" s="8">
        <v>350000</v>
      </c>
      <c r="AE191" s="76" t="e">
        <f t="shared" si="46"/>
        <v>#REF!</v>
      </c>
      <c r="AF191" s="8" t="e">
        <f t="shared" si="47"/>
        <v>#REF!</v>
      </c>
      <c r="AH191" s="7" t="e">
        <f t="shared" si="52"/>
        <v>#REF!</v>
      </c>
      <c r="AI191" s="79" t="e">
        <f t="shared" si="58"/>
        <v>#REF!</v>
      </c>
      <c r="AJ191" s="79" t="e">
        <f t="shared" si="61"/>
        <v>#REF!</v>
      </c>
      <c r="AK191" s="75" t="e">
        <f>PMT(#REF!,#REF!,-#REF!,0,0)</f>
        <v>#REF!</v>
      </c>
      <c r="AL191" s="75"/>
      <c r="AM191" s="7" t="e">
        <f>AJ191*(#REF!/12)</f>
        <v>#REF!</v>
      </c>
      <c r="AN191" s="7" t="e">
        <f t="shared" si="59"/>
        <v>#REF!</v>
      </c>
      <c r="AO191" s="75" t="e">
        <f t="shared" si="48"/>
        <v>#REF!</v>
      </c>
      <c r="AP191" s="75" t="e">
        <f t="shared" si="60"/>
        <v>#REF!</v>
      </c>
      <c r="AQ191" s="7" t="e">
        <f t="shared" si="53"/>
        <v>#REF!</v>
      </c>
      <c r="AR191" s="41"/>
    </row>
    <row r="192" spans="10:44" x14ac:dyDescent="0.25">
      <c r="J192" s="5">
        <f t="shared" si="49"/>
        <v>43</v>
      </c>
      <c r="K192" s="5">
        <f t="shared" si="62"/>
        <v>2041</v>
      </c>
      <c r="L192" s="34" t="s">
        <v>51</v>
      </c>
      <c r="M192" s="70">
        <f t="shared" si="54"/>
        <v>727.6248627939791</v>
      </c>
      <c r="N192" s="70">
        <f t="shared" si="45"/>
        <v>727.6248627939791</v>
      </c>
      <c r="O192" s="71"/>
      <c r="P192" s="86">
        <v>4</v>
      </c>
      <c r="Q192" s="44">
        <v>4</v>
      </c>
      <c r="R192" s="88">
        <f t="shared" si="55"/>
        <v>1</v>
      </c>
      <c r="S192" s="6">
        <v>0</v>
      </c>
      <c r="T192" s="8">
        <f t="shared" si="50"/>
        <v>2910.4994511759164</v>
      </c>
      <c r="U192" s="8" t="e">
        <f>#REF!</f>
        <v>#REF!</v>
      </c>
      <c r="V192" s="8"/>
      <c r="W192" s="8" t="e">
        <f t="shared" si="51"/>
        <v>#REF!</v>
      </c>
      <c r="X192" s="27"/>
      <c r="Y192" s="26" t="e">
        <f t="shared" si="56"/>
        <v>#REF!</v>
      </c>
      <c r="Z192" s="95"/>
      <c r="AA192" s="95"/>
      <c r="AB192" s="8">
        <f>'Business_172 PH Rd Budget'!$C$25</f>
        <v>2155.2899999999995</v>
      </c>
      <c r="AC192" s="8" t="e">
        <f t="shared" si="57"/>
        <v>#REF!</v>
      </c>
      <c r="AD192" s="8">
        <v>350000</v>
      </c>
      <c r="AE192" s="76" t="e">
        <f t="shared" si="46"/>
        <v>#REF!</v>
      </c>
      <c r="AF192" s="8" t="e">
        <f t="shared" si="47"/>
        <v>#REF!</v>
      </c>
      <c r="AH192" s="7" t="e">
        <f t="shared" si="52"/>
        <v>#REF!</v>
      </c>
      <c r="AI192" s="79" t="e">
        <f>AI191+AH193-AH192</f>
        <v>#REF!</v>
      </c>
      <c r="AJ192" s="79" t="e">
        <f t="shared" si="61"/>
        <v>#REF!</v>
      </c>
      <c r="AK192" s="75" t="e">
        <f>PMT(#REF!,#REF!,-#REF!,0,0)</f>
        <v>#REF!</v>
      </c>
      <c r="AL192" s="75"/>
      <c r="AM192" s="7" t="e">
        <f>AJ192*(#REF!/12)</f>
        <v>#REF!</v>
      </c>
      <c r="AN192" s="7" t="e">
        <f t="shared" si="59"/>
        <v>#REF!</v>
      </c>
      <c r="AO192" s="75" t="e">
        <f t="shared" si="48"/>
        <v>#REF!</v>
      </c>
      <c r="AP192" s="75" t="e">
        <f t="shared" si="60"/>
        <v>#REF!</v>
      </c>
      <c r="AQ192" s="7" t="e">
        <f t="shared" si="53"/>
        <v>#REF!</v>
      </c>
      <c r="AR192" s="41"/>
    </row>
    <row r="193" spans="10:44" x14ac:dyDescent="0.25">
      <c r="J193" s="5">
        <f t="shared" si="49"/>
        <v>43</v>
      </c>
      <c r="K193" s="5">
        <f t="shared" si="62"/>
        <v>2041</v>
      </c>
      <c r="L193" s="34" t="s">
        <v>53</v>
      </c>
      <c r="M193" s="70">
        <f t="shared" si="54"/>
        <v>727.6248627939791</v>
      </c>
      <c r="N193" s="70">
        <f t="shared" si="45"/>
        <v>654.86237651458123</v>
      </c>
      <c r="O193" s="71"/>
      <c r="P193" s="87"/>
      <c r="Q193" s="68">
        <v>0</v>
      </c>
      <c r="R193" s="88" t="str">
        <f t="shared" si="55"/>
        <v/>
      </c>
      <c r="S193" s="69">
        <v>0.1</v>
      </c>
      <c r="T193" s="8">
        <f t="shared" si="50"/>
        <v>0</v>
      </c>
      <c r="U193" s="8" t="e">
        <f>#REF!</f>
        <v>#REF!</v>
      </c>
      <c r="V193" s="8"/>
      <c r="W193" s="8" t="e">
        <f t="shared" si="51"/>
        <v>#REF!</v>
      </c>
      <c r="X193" s="27"/>
      <c r="Y193" s="26" t="e">
        <f t="shared" si="56"/>
        <v>#REF!</v>
      </c>
      <c r="Z193" s="95"/>
      <c r="AA193" s="95"/>
      <c r="AB193" s="8">
        <f>'Business_172 PH Rd Budget'!$C$25</f>
        <v>2155.2899999999995</v>
      </c>
      <c r="AC193" s="8" t="e">
        <f t="shared" si="57"/>
        <v>#REF!</v>
      </c>
      <c r="AD193" s="8">
        <v>350000</v>
      </c>
      <c r="AE193" s="76" t="e">
        <f t="shared" si="46"/>
        <v>#REF!</v>
      </c>
      <c r="AF193" s="8" t="e">
        <f t="shared" si="47"/>
        <v>#REF!</v>
      </c>
      <c r="AH193" s="7" t="e">
        <f t="shared" si="52"/>
        <v>#REF!</v>
      </c>
      <c r="AI193" s="79" t="e">
        <f t="shared" ref="AI193:AI256" si="63">AI192+AH194-AH193</f>
        <v>#REF!</v>
      </c>
      <c r="AJ193" s="79" t="e">
        <f t="shared" si="61"/>
        <v>#REF!</v>
      </c>
      <c r="AK193" s="75" t="e">
        <f>PMT(#REF!,#REF!,-#REF!,0,0)</f>
        <v>#REF!</v>
      </c>
      <c r="AL193" s="75"/>
      <c r="AM193" s="7" t="e">
        <f>AJ193*(#REF!/12)</f>
        <v>#REF!</v>
      </c>
      <c r="AN193" s="7" t="e">
        <f t="shared" si="59"/>
        <v>#REF!</v>
      </c>
      <c r="AO193" s="75" t="e">
        <f t="shared" si="48"/>
        <v>#REF!</v>
      </c>
      <c r="AP193" s="75" t="e">
        <f t="shared" si="60"/>
        <v>#REF!</v>
      </c>
      <c r="AQ193" s="7" t="e">
        <f t="shared" si="53"/>
        <v>#REF!</v>
      </c>
      <c r="AR193" s="41"/>
    </row>
    <row r="194" spans="10:44" x14ac:dyDescent="0.25">
      <c r="J194" s="5">
        <f t="shared" si="49"/>
        <v>43</v>
      </c>
      <c r="K194" s="5">
        <f t="shared" si="62"/>
        <v>2041</v>
      </c>
      <c r="L194" s="34" t="s">
        <v>55</v>
      </c>
      <c r="M194" s="70">
        <f t="shared" si="54"/>
        <v>727.6248627939791</v>
      </c>
      <c r="N194" s="70">
        <f t="shared" si="45"/>
        <v>582.09989023518335</v>
      </c>
      <c r="O194" s="71"/>
      <c r="P194" s="86"/>
      <c r="Q194" s="51">
        <v>0</v>
      </c>
      <c r="R194" s="88" t="str">
        <f t="shared" si="55"/>
        <v/>
      </c>
      <c r="S194" s="6">
        <v>0.2</v>
      </c>
      <c r="T194" s="8">
        <f t="shared" si="50"/>
        <v>0</v>
      </c>
      <c r="U194" s="8" t="e">
        <f>#REF!</f>
        <v>#REF!</v>
      </c>
      <c r="V194" s="8"/>
      <c r="W194" s="8" t="e">
        <f t="shared" si="51"/>
        <v>#REF!</v>
      </c>
      <c r="X194" s="27"/>
      <c r="Y194" s="26" t="e">
        <f t="shared" si="56"/>
        <v>#REF!</v>
      </c>
      <c r="Z194" s="95"/>
      <c r="AA194" s="95"/>
      <c r="AB194" s="8">
        <f>'Business_172 PH Rd Budget'!$C$25</f>
        <v>2155.2899999999995</v>
      </c>
      <c r="AC194" s="8" t="e">
        <f t="shared" si="57"/>
        <v>#REF!</v>
      </c>
      <c r="AD194" s="8">
        <v>350000</v>
      </c>
      <c r="AE194" s="76" t="e">
        <f t="shared" si="46"/>
        <v>#REF!</v>
      </c>
      <c r="AF194" s="8" t="e">
        <f t="shared" si="47"/>
        <v>#REF!</v>
      </c>
      <c r="AG194" s="27"/>
      <c r="AH194" s="7" t="e">
        <f t="shared" si="52"/>
        <v>#REF!</v>
      </c>
      <c r="AI194" s="79" t="e">
        <f t="shared" si="63"/>
        <v>#REF!</v>
      </c>
      <c r="AJ194" s="79" t="e">
        <f t="shared" si="61"/>
        <v>#REF!</v>
      </c>
      <c r="AK194" s="75" t="e">
        <f>PMT(#REF!,#REF!,-#REF!,0,0)</f>
        <v>#REF!</v>
      </c>
      <c r="AL194" s="75"/>
      <c r="AM194" s="7" t="e">
        <f>AJ194*(#REF!/12)</f>
        <v>#REF!</v>
      </c>
      <c r="AN194" s="7" t="e">
        <f t="shared" si="59"/>
        <v>#REF!</v>
      </c>
      <c r="AO194" s="75" t="e">
        <f t="shared" si="48"/>
        <v>#REF!</v>
      </c>
      <c r="AP194" s="75" t="e">
        <f t="shared" si="60"/>
        <v>#REF!</v>
      </c>
      <c r="AQ194" s="7" t="e">
        <f t="shared" si="53"/>
        <v>#REF!</v>
      </c>
    </row>
    <row r="195" spans="10:44" x14ac:dyDescent="0.25">
      <c r="AF195" s="1"/>
      <c r="AG195" s="27"/>
      <c r="AH195" s="7" t="e">
        <f t="shared" si="52"/>
        <v>#REF!</v>
      </c>
      <c r="AI195" s="79" t="e">
        <f t="shared" si="63"/>
        <v>#REF!</v>
      </c>
      <c r="AJ195" s="79" t="e">
        <f t="shared" si="61"/>
        <v>#REF!</v>
      </c>
      <c r="AK195" s="75" t="e">
        <f>PMT(#REF!,#REF!,-#REF!,0,0)</f>
        <v>#REF!</v>
      </c>
      <c r="AL195" s="75"/>
      <c r="AM195" s="7" t="e">
        <f>AJ195*(#REF!/12)</f>
        <v>#REF!</v>
      </c>
      <c r="AN195" s="7" t="e">
        <f t="shared" si="59"/>
        <v>#REF!</v>
      </c>
      <c r="AO195" s="75" t="e">
        <f t="shared" ref="AO195:AO258" si="64">AK195-AM195</f>
        <v>#REF!</v>
      </c>
      <c r="AP195" s="75" t="e">
        <f t="shared" si="60"/>
        <v>#REF!</v>
      </c>
      <c r="AQ195" s="7" t="e">
        <f t="shared" si="53"/>
        <v>#REF!</v>
      </c>
    </row>
    <row r="196" spans="10:44" x14ac:dyDescent="0.25">
      <c r="AH196" s="7" t="e">
        <f t="shared" ref="AH196:AH259" si="65">AH195*(1+$C$5)</f>
        <v>#REF!</v>
      </c>
      <c r="AI196" s="79" t="e">
        <f t="shared" si="63"/>
        <v>#REF!</v>
      </c>
      <c r="AJ196" s="79" t="e">
        <f t="shared" si="61"/>
        <v>#REF!</v>
      </c>
      <c r="AK196" s="75" t="e">
        <f>PMT(#REF!,#REF!,-#REF!,0,0)</f>
        <v>#REF!</v>
      </c>
      <c r="AL196" s="75"/>
      <c r="AM196" s="7" t="e">
        <f>AJ196*(#REF!/12)</f>
        <v>#REF!</v>
      </c>
      <c r="AN196" s="7" t="e">
        <f t="shared" si="59"/>
        <v>#REF!</v>
      </c>
      <c r="AO196" s="75" t="e">
        <f t="shared" si="64"/>
        <v>#REF!</v>
      </c>
      <c r="AP196" s="75" t="e">
        <f t="shared" si="60"/>
        <v>#REF!</v>
      </c>
      <c r="AQ196" s="7" t="e">
        <f t="shared" ref="AQ196:AQ259" si="66">AJ196-(AO196+AL196)</f>
        <v>#REF!</v>
      </c>
    </row>
    <row r="197" spans="10:44" x14ac:dyDescent="0.25">
      <c r="AH197" s="7" t="e">
        <f t="shared" si="65"/>
        <v>#REF!</v>
      </c>
      <c r="AI197" s="79" t="e">
        <f t="shared" si="63"/>
        <v>#REF!</v>
      </c>
      <c r="AJ197" s="79" t="e">
        <f t="shared" si="61"/>
        <v>#REF!</v>
      </c>
      <c r="AK197" s="75" t="e">
        <f>PMT(#REF!,#REF!,-#REF!,0,0)</f>
        <v>#REF!</v>
      </c>
      <c r="AL197" s="75"/>
      <c r="AM197" s="7" t="e">
        <f>AJ197*(#REF!/12)</f>
        <v>#REF!</v>
      </c>
      <c r="AN197" s="7" t="e">
        <f t="shared" ref="AN197:AN260" si="67">AN196+AM197</f>
        <v>#REF!</v>
      </c>
      <c r="AO197" s="75" t="e">
        <f t="shared" si="64"/>
        <v>#REF!</v>
      </c>
      <c r="AP197" s="75" t="e">
        <f t="shared" ref="AP197:AP260" si="68">AP196+AO197</f>
        <v>#REF!</v>
      </c>
      <c r="AQ197" s="7" t="e">
        <f t="shared" si="66"/>
        <v>#REF!</v>
      </c>
    </row>
    <row r="198" spans="10:44" x14ac:dyDescent="0.25">
      <c r="AH198" s="7" t="e">
        <f t="shared" si="65"/>
        <v>#REF!</v>
      </c>
      <c r="AI198" s="79" t="e">
        <f t="shared" si="63"/>
        <v>#REF!</v>
      </c>
      <c r="AJ198" s="79" t="e">
        <f t="shared" ref="AJ198:AJ261" si="69">AQ197</f>
        <v>#REF!</v>
      </c>
      <c r="AK198" s="75" t="e">
        <f>PMT(#REF!,#REF!,-#REF!,0,0)</f>
        <v>#REF!</v>
      </c>
      <c r="AL198" s="75"/>
      <c r="AM198" s="7" t="e">
        <f>AJ198*(#REF!/12)</f>
        <v>#REF!</v>
      </c>
      <c r="AN198" s="7" t="e">
        <f t="shared" si="67"/>
        <v>#REF!</v>
      </c>
      <c r="AO198" s="75" t="e">
        <f t="shared" si="64"/>
        <v>#REF!</v>
      </c>
      <c r="AP198" s="75" t="e">
        <f t="shared" si="68"/>
        <v>#REF!</v>
      </c>
      <c r="AQ198" s="7" t="e">
        <f t="shared" si="66"/>
        <v>#REF!</v>
      </c>
    </row>
    <row r="199" spans="10:44" x14ac:dyDescent="0.25">
      <c r="AH199" s="7" t="e">
        <f t="shared" si="65"/>
        <v>#REF!</v>
      </c>
      <c r="AI199" s="79" t="e">
        <f t="shared" si="63"/>
        <v>#REF!</v>
      </c>
      <c r="AJ199" s="79" t="e">
        <f t="shared" si="69"/>
        <v>#REF!</v>
      </c>
      <c r="AK199" s="75" t="e">
        <f>PMT(#REF!,#REF!,-#REF!,0,0)</f>
        <v>#REF!</v>
      </c>
      <c r="AL199" s="75"/>
      <c r="AM199" s="7" t="e">
        <f>AJ199*(#REF!/12)</f>
        <v>#REF!</v>
      </c>
      <c r="AN199" s="7" t="e">
        <f t="shared" si="67"/>
        <v>#REF!</v>
      </c>
      <c r="AO199" s="75" t="e">
        <f t="shared" si="64"/>
        <v>#REF!</v>
      </c>
      <c r="AP199" s="75" t="e">
        <f t="shared" si="68"/>
        <v>#REF!</v>
      </c>
      <c r="AQ199" s="7" t="e">
        <f t="shared" si="66"/>
        <v>#REF!</v>
      </c>
    </row>
    <row r="200" spans="10:44" x14ac:dyDescent="0.25">
      <c r="AH200" s="7" t="e">
        <f t="shared" si="65"/>
        <v>#REF!</v>
      </c>
      <c r="AI200" s="79" t="e">
        <f t="shared" si="63"/>
        <v>#REF!</v>
      </c>
      <c r="AJ200" s="79" t="e">
        <f t="shared" si="69"/>
        <v>#REF!</v>
      </c>
      <c r="AK200" s="75" t="e">
        <f>PMT(#REF!,#REF!,-#REF!,0,0)</f>
        <v>#REF!</v>
      </c>
      <c r="AL200" s="75"/>
      <c r="AM200" s="7" t="e">
        <f>AJ200*(#REF!/12)</f>
        <v>#REF!</v>
      </c>
      <c r="AN200" s="7" t="e">
        <f t="shared" si="67"/>
        <v>#REF!</v>
      </c>
      <c r="AO200" s="75" t="e">
        <f t="shared" si="64"/>
        <v>#REF!</v>
      </c>
      <c r="AP200" s="75" t="e">
        <f t="shared" si="68"/>
        <v>#REF!</v>
      </c>
      <c r="AQ200" s="7" t="e">
        <f t="shared" si="66"/>
        <v>#REF!</v>
      </c>
    </row>
    <row r="201" spans="10:44" x14ac:dyDescent="0.25">
      <c r="AH201" s="7" t="e">
        <f t="shared" si="65"/>
        <v>#REF!</v>
      </c>
      <c r="AI201" s="79" t="e">
        <f t="shared" si="63"/>
        <v>#REF!</v>
      </c>
      <c r="AJ201" s="79" t="e">
        <f t="shared" si="69"/>
        <v>#REF!</v>
      </c>
      <c r="AK201" s="75" t="e">
        <f>PMT(#REF!,#REF!,-#REF!,0,0)</f>
        <v>#REF!</v>
      </c>
      <c r="AL201" s="75"/>
      <c r="AM201" s="7" t="e">
        <f>AJ201*(#REF!/12)</f>
        <v>#REF!</v>
      </c>
      <c r="AN201" s="7" t="e">
        <f t="shared" si="67"/>
        <v>#REF!</v>
      </c>
      <c r="AO201" s="75" t="e">
        <f t="shared" si="64"/>
        <v>#REF!</v>
      </c>
      <c r="AP201" s="75" t="e">
        <f t="shared" si="68"/>
        <v>#REF!</v>
      </c>
      <c r="AQ201" s="7" t="e">
        <f t="shared" si="66"/>
        <v>#REF!</v>
      </c>
    </row>
    <row r="202" spans="10:44" x14ac:dyDescent="0.25">
      <c r="AH202" s="7" t="e">
        <f t="shared" si="65"/>
        <v>#REF!</v>
      </c>
      <c r="AI202" s="79" t="e">
        <f t="shared" si="63"/>
        <v>#REF!</v>
      </c>
      <c r="AJ202" s="79" t="e">
        <f t="shared" si="69"/>
        <v>#REF!</v>
      </c>
      <c r="AK202" s="75" t="e">
        <f>PMT(#REF!,#REF!,-#REF!,0,0)</f>
        <v>#REF!</v>
      </c>
      <c r="AL202" s="75"/>
      <c r="AM202" s="7" t="e">
        <f>AJ202*(#REF!/12)</f>
        <v>#REF!</v>
      </c>
      <c r="AN202" s="7" t="e">
        <f t="shared" si="67"/>
        <v>#REF!</v>
      </c>
      <c r="AO202" s="75" t="e">
        <f t="shared" si="64"/>
        <v>#REF!</v>
      </c>
      <c r="AP202" s="75" t="e">
        <f t="shared" si="68"/>
        <v>#REF!</v>
      </c>
      <c r="AQ202" s="7" t="e">
        <f t="shared" si="66"/>
        <v>#REF!</v>
      </c>
    </row>
    <row r="203" spans="10:44" x14ac:dyDescent="0.25">
      <c r="AH203" s="7" t="e">
        <f t="shared" si="65"/>
        <v>#REF!</v>
      </c>
      <c r="AI203" s="79" t="e">
        <f t="shared" si="63"/>
        <v>#REF!</v>
      </c>
      <c r="AJ203" s="79" t="e">
        <f t="shared" si="69"/>
        <v>#REF!</v>
      </c>
      <c r="AK203" s="75" t="e">
        <f>PMT(#REF!,#REF!,-#REF!,0,0)</f>
        <v>#REF!</v>
      </c>
      <c r="AL203" s="75"/>
      <c r="AM203" s="7" t="e">
        <f>AJ203*(#REF!/12)</f>
        <v>#REF!</v>
      </c>
      <c r="AN203" s="7" t="e">
        <f t="shared" si="67"/>
        <v>#REF!</v>
      </c>
      <c r="AO203" s="75" t="e">
        <f t="shared" si="64"/>
        <v>#REF!</v>
      </c>
      <c r="AP203" s="75" t="e">
        <f t="shared" si="68"/>
        <v>#REF!</v>
      </c>
      <c r="AQ203" s="7" t="e">
        <f t="shared" si="66"/>
        <v>#REF!</v>
      </c>
    </row>
    <row r="204" spans="10:44" x14ac:dyDescent="0.25">
      <c r="AH204" s="7" t="e">
        <f t="shared" si="65"/>
        <v>#REF!</v>
      </c>
      <c r="AI204" s="79" t="e">
        <f t="shared" si="63"/>
        <v>#REF!</v>
      </c>
      <c r="AJ204" s="79" t="e">
        <f t="shared" si="69"/>
        <v>#REF!</v>
      </c>
      <c r="AK204" s="75" t="e">
        <f>PMT(#REF!,#REF!,-#REF!,0,0)</f>
        <v>#REF!</v>
      </c>
      <c r="AL204" s="75"/>
      <c r="AM204" s="7" t="e">
        <f>AJ204*(#REF!/12)</f>
        <v>#REF!</v>
      </c>
      <c r="AN204" s="7" t="e">
        <f t="shared" si="67"/>
        <v>#REF!</v>
      </c>
      <c r="AO204" s="75" t="e">
        <f t="shared" si="64"/>
        <v>#REF!</v>
      </c>
      <c r="AP204" s="75" t="e">
        <f t="shared" si="68"/>
        <v>#REF!</v>
      </c>
      <c r="AQ204" s="7" t="e">
        <f t="shared" si="66"/>
        <v>#REF!</v>
      </c>
    </row>
    <row r="205" spans="10:44" x14ac:dyDescent="0.25">
      <c r="AH205" s="7" t="e">
        <f t="shared" si="65"/>
        <v>#REF!</v>
      </c>
      <c r="AI205" s="79" t="e">
        <f t="shared" si="63"/>
        <v>#REF!</v>
      </c>
      <c r="AJ205" s="79" t="e">
        <f t="shared" si="69"/>
        <v>#REF!</v>
      </c>
      <c r="AK205" s="75" t="e">
        <f>PMT(#REF!,#REF!,-#REF!,0,0)</f>
        <v>#REF!</v>
      </c>
      <c r="AL205" s="75"/>
      <c r="AM205" s="7" t="e">
        <f>AJ205*(#REF!/12)</f>
        <v>#REF!</v>
      </c>
      <c r="AN205" s="7" t="e">
        <f t="shared" si="67"/>
        <v>#REF!</v>
      </c>
      <c r="AO205" s="75" t="e">
        <f t="shared" si="64"/>
        <v>#REF!</v>
      </c>
      <c r="AP205" s="75" t="e">
        <f t="shared" si="68"/>
        <v>#REF!</v>
      </c>
      <c r="AQ205" s="7" t="e">
        <f t="shared" si="66"/>
        <v>#REF!</v>
      </c>
    </row>
    <row r="206" spans="10:44" x14ac:dyDescent="0.25">
      <c r="AH206" s="7" t="e">
        <f t="shared" si="65"/>
        <v>#REF!</v>
      </c>
      <c r="AI206" s="79" t="e">
        <f t="shared" si="63"/>
        <v>#REF!</v>
      </c>
      <c r="AJ206" s="79" t="e">
        <f t="shared" si="69"/>
        <v>#REF!</v>
      </c>
      <c r="AK206" s="75" t="e">
        <f>PMT(#REF!,#REF!,-#REF!,0,0)</f>
        <v>#REF!</v>
      </c>
      <c r="AL206" s="75"/>
      <c r="AM206" s="7" t="e">
        <f>AJ206*(#REF!/12)</f>
        <v>#REF!</v>
      </c>
      <c r="AN206" s="7" t="e">
        <f t="shared" si="67"/>
        <v>#REF!</v>
      </c>
      <c r="AO206" s="75" t="e">
        <f t="shared" si="64"/>
        <v>#REF!</v>
      </c>
      <c r="AP206" s="75" t="e">
        <f t="shared" si="68"/>
        <v>#REF!</v>
      </c>
      <c r="AQ206" s="7" t="e">
        <f t="shared" si="66"/>
        <v>#REF!</v>
      </c>
    </row>
    <row r="207" spans="10:44" x14ac:dyDescent="0.25">
      <c r="AH207" s="7" t="e">
        <f t="shared" si="65"/>
        <v>#REF!</v>
      </c>
      <c r="AI207" s="79" t="e">
        <f t="shared" si="63"/>
        <v>#REF!</v>
      </c>
      <c r="AJ207" s="79" t="e">
        <f t="shared" si="69"/>
        <v>#REF!</v>
      </c>
      <c r="AK207" s="75" t="e">
        <f>PMT(#REF!,#REF!,-#REF!,0,0)</f>
        <v>#REF!</v>
      </c>
      <c r="AL207" s="75"/>
      <c r="AM207" s="7" t="e">
        <f>AJ207*(#REF!/12)</f>
        <v>#REF!</v>
      </c>
      <c r="AN207" s="7" t="e">
        <f t="shared" si="67"/>
        <v>#REF!</v>
      </c>
      <c r="AO207" s="75" t="e">
        <f t="shared" si="64"/>
        <v>#REF!</v>
      </c>
      <c r="AP207" s="75" t="e">
        <f t="shared" si="68"/>
        <v>#REF!</v>
      </c>
      <c r="AQ207" s="7" t="e">
        <f t="shared" si="66"/>
        <v>#REF!</v>
      </c>
    </row>
    <row r="208" spans="10:44" x14ac:dyDescent="0.25">
      <c r="AH208" s="7" t="e">
        <f t="shared" si="65"/>
        <v>#REF!</v>
      </c>
      <c r="AI208" s="79" t="e">
        <f t="shared" si="63"/>
        <v>#REF!</v>
      </c>
      <c r="AJ208" s="79" t="e">
        <f t="shared" si="69"/>
        <v>#REF!</v>
      </c>
      <c r="AK208" s="75" t="e">
        <f>PMT(#REF!,#REF!,-#REF!,0,0)</f>
        <v>#REF!</v>
      </c>
      <c r="AL208" s="75"/>
      <c r="AM208" s="7" t="e">
        <f>AJ208*(#REF!/12)</f>
        <v>#REF!</v>
      </c>
      <c r="AN208" s="7" t="e">
        <f t="shared" si="67"/>
        <v>#REF!</v>
      </c>
      <c r="AO208" s="75" t="e">
        <f t="shared" si="64"/>
        <v>#REF!</v>
      </c>
      <c r="AP208" s="75" t="e">
        <f t="shared" si="68"/>
        <v>#REF!</v>
      </c>
      <c r="AQ208" s="7" t="e">
        <f t="shared" si="66"/>
        <v>#REF!</v>
      </c>
    </row>
    <row r="209" spans="34:43" x14ac:dyDescent="0.25">
      <c r="AH209" s="7" t="e">
        <f t="shared" si="65"/>
        <v>#REF!</v>
      </c>
      <c r="AI209" s="79" t="e">
        <f t="shared" si="63"/>
        <v>#REF!</v>
      </c>
      <c r="AJ209" s="79" t="e">
        <f t="shared" si="69"/>
        <v>#REF!</v>
      </c>
      <c r="AK209" s="75" t="e">
        <f>PMT(#REF!,#REF!,-#REF!,0,0)</f>
        <v>#REF!</v>
      </c>
      <c r="AL209" s="75"/>
      <c r="AM209" s="7" t="e">
        <f>AJ209*(#REF!/12)</f>
        <v>#REF!</v>
      </c>
      <c r="AN209" s="7" t="e">
        <f t="shared" si="67"/>
        <v>#REF!</v>
      </c>
      <c r="AO209" s="75" t="e">
        <f t="shared" si="64"/>
        <v>#REF!</v>
      </c>
      <c r="AP209" s="75" t="e">
        <f t="shared" si="68"/>
        <v>#REF!</v>
      </c>
      <c r="AQ209" s="7" t="e">
        <f t="shared" si="66"/>
        <v>#REF!</v>
      </c>
    </row>
    <row r="210" spans="34:43" x14ac:dyDescent="0.25">
      <c r="AH210" s="7" t="e">
        <f t="shared" si="65"/>
        <v>#REF!</v>
      </c>
      <c r="AI210" s="79" t="e">
        <f t="shared" si="63"/>
        <v>#REF!</v>
      </c>
      <c r="AJ210" s="79" t="e">
        <f t="shared" si="69"/>
        <v>#REF!</v>
      </c>
      <c r="AK210" s="75" t="e">
        <f>PMT(#REF!,#REF!,-#REF!,0,0)</f>
        <v>#REF!</v>
      </c>
      <c r="AL210" s="75"/>
      <c r="AM210" s="7" t="e">
        <f>AJ210*(#REF!/12)</f>
        <v>#REF!</v>
      </c>
      <c r="AN210" s="7" t="e">
        <f t="shared" si="67"/>
        <v>#REF!</v>
      </c>
      <c r="AO210" s="75" t="e">
        <f t="shared" si="64"/>
        <v>#REF!</v>
      </c>
      <c r="AP210" s="75" t="e">
        <f t="shared" si="68"/>
        <v>#REF!</v>
      </c>
      <c r="AQ210" s="7" t="e">
        <f t="shared" si="66"/>
        <v>#REF!</v>
      </c>
    </row>
    <row r="211" spans="34:43" x14ac:dyDescent="0.25">
      <c r="AH211" s="7" t="e">
        <f t="shared" si="65"/>
        <v>#REF!</v>
      </c>
      <c r="AI211" s="79" t="e">
        <f t="shared" si="63"/>
        <v>#REF!</v>
      </c>
      <c r="AJ211" s="79" t="e">
        <f t="shared" si="69"/>
        <v>#REF!</v>
      </c>
      <c r="AK211" s="75" t="e">
        <f>PMT(#REF!,#REF!,-#REF!,0,0)</f>
        <v>#REF!</v>
      </c>
      <c r="AL211" s="75"/>
      <c r="AM211" s="7" t="e">
        <f>AJ211*(#REF!/12)</f>
        <v>#REF!</v>
      </c>
      <c r="AN211" s="7" t="e">
        <f t="shared" si="67"/>
        <v>#REF!</v>
      </c>
      <c r="AO211" s="75" t="e">
        <f t="shared" si="64"/>
        <v>#REF!</v>
      </c>
      <c r="AP211" s="75" t="e">
        <f t="shared" si="68"/>
        <v>#REF!</v>
      </c>
      <c r="AQ211" s="7" t="e">
        <f t="shared" si="66"/>
        <v>#REF!</v>
      </c>
    </row>
    <row r="212" spans="34:43" x14ac:dyDescent="0.25">
      <c r="AH212" s="7" t="e">
        <f t="shared" si="65"/>
        <v>#REF!</v>
      </c>
      <c r="AI212" s="79" t="e">
        <f t="shared" si="63"/>
        <v>#REF!</v>
      </c>
      <c r="AJ212" s="79" t="e">
        <f t="shared" si="69"/>
        <v>#REF!</v>
      </c>
      <c r="AK212" s="75" t="e">
        <f>PMT(#REF!,#REF!,-#REF!,0,0)</f>
        <v>#REF!</v>
      </c>
      <c r="AL212" s="75"/>
      <c r="AM212" s="7" t="e">
        <f>AJ212*(#REF!/12)</f>
        <v>#REF!</v>
      </c>
      <c r="AN212" s="7" t="e">
        <f t="shared" si="67"/>
        <v>#REF!</v>
      </c>
      <c r="AO212" s="75" t="e">
        <f t="shared" si="64"/>
        <v>#REF!</v>
      </c>
      <c r="AP212" s="75" t="e">
        <f t="shared" si="68"/>
        <v>#REF!</v>
      </c>
      <c r="AQ212" s="7" t="e">
        <f t="shared" si="66"/>
        <v>#REF!</v>
      </c>
    </row>
    <row r="213" spans="34:43" x14ac:dyDescent="0.25">
      <c r="AH213" s="7" t="e">
        <f t="shared" si="65"/>
        <v>#REF!</v>
      </c>
      <c r="AI213" s="79" t="e">
        <f t="shared" si="63"/>
        <v>#REF!</v>
      </c>
      <c r="AJ213" s="79" t="e">
        <f t="shared" si="69"/>
        <v>#REF!</v>
      </c>
      <c r="AK213" s="75" t="e">
        <f>PMT(#REF!,#REF!,-#REF!,0,0)</f>
        <v>#REF!</v>
      </c>
      <c r="AL213" s="75"/>
      <c r="AM213" s="7" t="e">
        <f>AJ213*(#REF!/12)</f>
        <v>#REF!</v>
      </c>
      <c r="AN213" s="7" t="e">
        <f t="shared" si="67"/>
        <v>#REF!</v>
      </c>
      <c r="AO213" s="75" t="e">
        <f t="shared" si="64"/>
        <v>#REF!</v>
      </c>
      <c r="AP213" s="75" t="e">
        <f t="shared" si="68"/>
        <v>#REF!</v>
      </c>
      <c r="AQ213" s="7" t="e">
        <f t="shared" si="66"/>
        <v>#REF!</v>
      </c>
    </row>
    <row r="214" spans="34:43" x14ac:dyDescent="0.25">
      <c r="AH214" s="7" t="e">
        <f t="shared" si="65"/>
        <v>#REF!</v>
      </c>
      <c r="AI214" s="79" t="e">
        <f t="shared" si="63"/>
        <v>#REF!</v>
      </c>
      <c r="AJ214" s="79" t="e">
        <f t="shared" si="69"/>
        <v>#REF!</v>
      </c>
      <c r="AK214" s="75" t="e">
        <f>PMT(#REF!,#REF!,-#REF!,0,0)</f>
        <v>#REF!</v>
      </c>
      <c r="AL214" s="75"/>
      <c r="AM214" s="7" t="e">
        <f>AJ214*(#REF!/12)</f>
        <v>#REF!</v>
      </c>
      <c r="AN214" s="7" t="e">
        <f t="shared" si="67"/>
        <v>#REF!</v>
      </c>
      <c r="AO214" s="75" t="e">
        <f t="shared" si="64"/>
        <v>#REF!</v>
      </c>
      <c r="AP214" s="75" t="e">
        <f t="shared" si="68"/>
        <v>#REF!</v>
      </c>
      <c r="AQ214" s="7" t="e">
        <f t="shared" si="66"/>
        <v>#REF!</v>
      </c>
    </row>
    <row r="215" spans="34:43" x14ac:dyDescent="0.25">
      <c r="AH215" s="7" t="e">
        <f t="shared" si="65"/>
        <v>#REF!</v>
      </c>
      <c r="AI215" s="79" t="e">
        <f t="shared" si="63"/>
        <v>#REF!</v>
      </c>
      <c r="AJ215" s="79" t="e">
        <f t="shared" si="69"/>
        <v>#REF!</v>
      </c>
      <c r="AK215" s="75" t="e">
        <f>PMT(#REF!,#REF!,-#REF!,0,0)</f>
        <v>#REF!</v>
      </c>
      <c r="AL215" s="75"/>
      <c r="AM215" s="7" t="e">
        <f>AJ215*(#REF!/12)</f>
        <v>#REF!</v>
      </c>
      <c r="AN215" s="7" t="e">
        <f t="shared" si="67"/>
        <v>#REF!</v>
      </c>
      <c r="AO215" s="75" t="e">
        <f t="shared" si="64"/>
        <v>#REF!</v>
      </c>
      <c r="AP215" s="75" t="e">
        <f t="shared" si="68"/>
        <v>#REF!</v>
      </c>
      <c r="AQ215" s="7" t="e">
        <f t="shared" si="66"/>
        <v>#REF!</v>
      </c>
    </row>
    <row r="216" spans="34:43" x14ac:dyDescent="0.25">
      <c r="AH216" s="7" t="e">
        <f t="shared" si="65"/>
        <v>#REF!</v>
      </c>
      <c r="AI216" s="79" t="e">
        <f t="shared" si="63"/>
        <v>#REF!</v>
      </c>
      <c r="AJ216" s="79" t="e">
        <f t="shared" si="69"/>
        <v>#REF!</v>
      </c>
      <c r="AK216" s="75" t="e">
        <f>PMT(#REF!,#REF!,-#REF!,0,0)</f>
        <v>#REF!</v>
      </c>
      <c r="AL216" s="75"/>
      <c r="AM216" s="7" t="e">
        <f>AJ216*(#REF!/12)</f>
        <v>#REF!</v>
      </c>
      <c r="AN216" s="7" t="e">
        <f t="shared" si="67"/>
        <v>#REF!</v>
      </c>
      <c r="AO216" s="75" t="e">
        <f t="shared" si="64"/>
        <v>#REF!</v>
      </c>
      <c r="AP216" s="75" t="e">
        <f t="shared" si="68"/>
        <v>#REF!</v>
      </c>
      <c r="AQ216" s="7" t="e">
        <f t="shared" si="66"/>
        <v>#REF!</v>
      </c>
    </row>
    <row r="217" spans="34:43" x14ac:dyDescent="0.25">
      <c r="AH217" s="7" t="e">
        <f t="shared" si="65"/>
        <v>#REF!</v>
      </c>
      <c r="AI217" s="79" t="e">
        <f t="shared" si="63"/>
        <v>#REF!</v>
      </c>
      <c r="AJ217" s="79" t="e">
        <f t="shared" si="69"/>
        <v>#REF!</v>
      </c>
      <c r="AK217" s="75" t="e">
        <f>PMT(#REF!,#REF!,-#REF!,0,0)</f>
        <v>#REF!</v>
      </c>
      <c r="AL217" s="75"/>
      <c r="AM217" s="7" t="e">
        <f>AJ217*(#REF!/12)</f>
        <v>#REF!</v>
      </c>
      <c r="AN217" s="7" t="e">
        <f t="shared" si="67"/>
        <v>#REF!</v>
      </c>
      <c r="AO217" s="75" t="e">
        <f t="shared" si="64"/>
        <v>#REF!</v>
      </c>
      <c r="AP217" s="75" t="e">
        <f t="shared" si="68"/>
        <v>#REF!</v>
      </c>
      <c r="AQ217" s="7" t="e">
        <f t="shared" si="66"/>
        <v>#REF!</v>
      </c>
    </row>
    <row r="218" spans="34:43" x14ac:dyDescent="0.25">
      <c r="AH218" s="7" t="e">
        <f t="shared" si="65"/>
        <v>#REF!</v>
      </c>
      <c r="AI218" s="79" t="e">
        <f t="shared" si="63"/>
        <v>#REF!</v>
      </c>
      <c r="AJ218" s="79" t="e">
        <f t="shared" si="69"/>
        <v>#REF!</v>
      </c>
      <c r="AK218" s="75" t="e">
        <f>PMT(#REF!,#REF!,-#REF!,0,0)</f>
        <v>#REF!</v>
      </c>
      <c r="AL218" s="75"/>
      <c r="AM218" s="7" t="e">
        <f>AJ218*(#REF!/12)</f>
        <v>#REF!</v>
      </c>
      <c r="AN218" s="7" t="e">
        <f t="shared" si="67"/>
        <v>#REF!</v>
      </c>
      <c r="AO218" s="75" t="e">
        <f t="shared" si="64"/>
        <v>#REF!</v>
      </c>
      <c r="AP218" s="75" t="e">
        <f t="shared" si="68"/>
        <v>#REF!</v>
      </c>
      <c r="AQ218" s="7" t="e">
        <f t="shared" si="66"/>
        <v>#REF!</v>
      </c>
    </row>
    <row r="219" spans="34:43" x14ac:dyDescent="0.25">
      <c r="AH219" s="7" t="e">
        <f t="shared" si="65"/>
        <v>#REF!</v>
      </c>
      <c r="AI219" s="79" t="e">
        <f t="shared" si="63"/>
        <v>#REF!</v>
      </c>
      <c r="AJ219" s="79" t="e">
        <f t="shared" si="69"/>
        <v>#REF!</v>
      </c>
      <c r="AK219" s="75" t="e">
        <f>PMT(#REF!,#REF!,-#REF!,0,0)</f>
        <v>#REF!</v>
      </c>
      <c r="AL219" s="75"/>
      <c r="AM219" s="7" t="e">
        <f>AJ219*(#REF!/12)</f>
        <v>#REF!</v>
      </c>
      <c r="AN219" s="7" t="e">
        <f t="shared" si="67"/>
        <v>#REF!</v>
      </c>
      <c r="AO219" s="75" t="e">
        <f t="shared" si="64"/>
        <v>#REF!</v>
      </c>
      <c r="AP219" s="75" t="e">
        <f t="shared" si="68"/>
        <v>#REF!</v>
      </c>
      <c r="AQ219" s="7" t="e">
        <f t="shared" si="66"/>
        <v>#REF!</v>
      </c>
    </row>
    <row r="220" spans="34:43" x14ac:dyDescent="0.25">
      <c r="AH220" s="7" t="e">
        <f t="shared" si="65"/>
        <v>#REF!</v>
      </c>
      <c r="AI220" s="79" t="e">
        <f t="shared" si="63"/>
        <v>#REF!</v>
      </c>
      <c r="AJ220" s="79" t="e">
        <f t="shared" si="69"/>
        <v>#REF!</v>
      </c>
      <c r="AK220" s="75" t="e">
        <f>PMT(#REF!,#REF!,-#REF!,0,0)</f>
        <v>#REF!</v>
      </c>
      <c r="AL220" s="75"/>
      <c r="AM220" s="7" t="e">
        <f>AJ220*(#REF!/12)</f>
        <v>#REF!</v>
      </c>
      <c r="AN220" s="7" t="e">
        <f t="shared" si="67"/>
        <v>#REF!</v>
      </c>
      <c r="AO220" s="75" t="e">
        <f t="shared" si="64"/>
        <v>#REF!</v>
      </c>
      <c r="AP220" s="75" t="e">
        <f t="shared" si="68"/>
        <v>#REF!</v>
      </c>
      <c r="AQ220" s="7" t="e">
        <f t="shared" si="66"/>
        <v>#REF!</v>
      </c>
    </row>
    <row r="221" spans="34:43" x14ac:dyDescent="0.25">
      <c r="AH221" s="7" t="e">
        <f t="shared" si="65"/>
        <v>#REF!</v>
      </c>
      <c r="AI221" s="79" t="e">
        <f t="shared" si="63"/>
        <v>#REF!</v>
      </c>
      <c r="AJ221" s="79" t="e">
        <f t="shared" si="69"/>
        <v>#REF!</v>
      </c>
      <c r="AK221" s="75" t="e">
        <f>PMT(#REF!,#REF!,-#REF!,0,0)</f>
        <v>#REF!</v>
      </c>
      <c r="AL221" s="75"/>
      <c r="AM221" s="7" t="e">
        <f>AJ221*(#REF!/12)</f>
        <v>#REF!</v>
      </c>
      <c r="AN221" s="7" t="e">
        <f t="shared" si="67"/>
        <v>#REF!</v>
      </c>
      <c r="AO221" s="75" t="e">
        <f t="shared" si="64"/>
        <v>#REF!</v>
      </c>
      <c r="AP221" s="75" t="e">
        <f t="shared" si="68"/>
        <v>#REF!</v>
      </c>
      <c r="AQ221" s="7" t="e">
        <f t="shared" si="66"/>
        <v>#REF!</v>
      </c>
    </row>
    <row r="222" spans="34:43" x14ac:dyDescent="0.25">
      <c r="AH222" s="7" t="e">
        <f t="shared" si="65"/>
        <v>#REF!</v>
      </c>
      <c r="AI222" s="79" t="e">
        <f t="shared" si="63"/>
        <v>#REF!</v>
      </c>
      <c r="AJ222" s="79" t="e">
        <f t="shared" si="69"/>
        <v>#REF!</v>
      </c>
      <c r="AK222" s="75" t="e">
        <f>PMT(#REF!,#REF!,-#REF!,0,0)</f>
        <v>#REF!</v>
      </c>
      <c r="AL222" s="75"/>
      <c r="AM222" s="7" t="e">
        <f>AJ222*(#REF!/12)</f>
        <v>#REF!</v>
      </c>
      <c r="AN222" s="7" t="e">
        <f t="shared" si="67"/>
        <v>#REF!</v>
      </c>
      <c r="AO222" s="75" t="e">
        <f t="shared" si="64"/>
        <v>#REF!</v>
      </c>
      <c r="AP222" s="75" t="e">
        <f t="shared" si="68"/>
        <v>#REF!</v>
      </c>
      <c r="AQ222" s="7" t="e">
        <f t="shared" si="66"/>
        <v>#REF!</v>
      </c>
    </row>
    <row r="223" spans="34:43" x14ac:dyDescent="0.25">
      <c r="AH223" s="7" t="e">
        <f t="shared" si="65"/>
        <v>#REF!</v>
      </c>
      <c r="AI223" s="79" t="e">
        <f t="shared" si="63"/>
        <v>#REF!</v>
      </c>
      <c r="AJ223" s="79" t="e">
        <f t="shared" si="69"/>
        <v>#REF!</v>
      </c>
      <c r="AK223" s="75" t="e">
        <f>PMT(#REF!,#REF!,-#REF!,0,0)</f>
        <v>#REF!</v>
      </c>
      <c r="AL223" s="75"/>
      <c r="AM223" s="7" t="e">
        <f>AJ223*(#REF!/12)</f>
        <v>#REF!</v>
      </c>
      <c r="AN223" s="7" t="e">
        <f t="shared" si="67"/>
        <v>#REF!</v>
      </c>
      <c r="AO223" s="75" t="e">
        <f t="shared" si="64"/>
        <v>#REF!</v>
      </c>
      <c r="AP223" s="75" t="e">
        <f t="shared" si="68"/>
        <v>#REF!</v>
      </c>
      <c r="AQ223" s="7" t="e">
        <f t="shared" si="66"/>
        <v>#REF!</v>
      </c>
    </row>
    <row r="224" spans="34:43" x14ac:dyDescent="0.25">
      <c r="AH224" s="7" t="e">
        <f t="shared" si="65"/>
        <v>#REF!</v>
      </c>
      <c r="AI224" s="79" t="e">
        <f t="shared" si="63"/>
        <v>#REF!</v>
      </c>
      <c r="AJ224" s="79" t="e">
        <f t="shared" si="69"/>
        <v>#REF!</v>
      </c>
      <c r="AK224" s="75" t="e">
        <f>PMT(#REF!,#REF!,-#REF!,0,0)</f>
        <v>#REF!</v>
      </c>
      <c r="AL224" s="75"/>
      <c r="AM224" s="7" t="e">
        <f>AJ224*(#REF!/12)</f>
        <v>#REF!</v>
      </c>
      <c r="AN224" s="7" t="e">
        <f t="shared" si="67"/>
        <v>#REF!</v>
      </c>
      <c r="AO224" s="75" t="e">
        <f t="shared" si="64"/>
        <v>#REF!</v>
      </c>
      <c r="AP224" s="75" t="e">
        <f t="shared" si="68"/>
        <v>#REF!</v>
      </c>
      <c r="AQ224" s="7" t="e">
        <f t="shared" si="66"/>
        <v>#REF!</v>
      </c>
    </row>
    <row r="225" spans="34:43" x14ac:dyDescent="0.25">
      <c r="AH225" s="7" t="e">
        <f t="shared" si="65"/>
        <v>#REF!</v>
      </c>
      <c r="AI225" s="79" t="e">
        <f t="shared" si="63"/>
        <v>#REF!</v>
      </c>
      <c r="AJ225" s="79" t="e">
        <f t="shared" si="69"/>
        <v>#REF!</v>
      </c>
      <c r="AK225" s="75" t="e">
        <f>PMT(#REF!,#REF!,-#REF!,0,0)</f>
        <v>#REF!</v>
      </c>
      <c r="AL225" s="75"/>
      <c r="AM225" s="7" t="e">
        <f>AJ225*(#REF!/12)</f>
        <v>#REF!</v>
      </c>
      <c r="AN225" s="7" t="e">
        <f t="shared" si="67"/>
        <v>#REF!</v>
      </c>
      <c r="AO225" s="75" t="e">
        <f t="shared" si="64"/>
        <v>#REF!</v>
      </c>
      <c r="AP225" s="75" t="e">
        <f t="shared" si="68"/>
        <v>#REF!</v>
      </c>
      <c r="AQ225" s="7" t="e">
        <f t="shared" si="66"/>
        <v>#REF!</v>
      </c>
    </row>
    <row r="226" spans="34:43" x14ac:dyDescent="0.25">
      <c r="AH226" s="7" t="e">
        <f t="shared" si="65"/>
        <v>#REF!</v>
      </c>
      <c r="AI226" s="79" t="e">
        <f t="shared" si="63"/>
        <v>#REF!</v>
      </c>
      <c r="AJ226" s="79" t="e">
        <f t="shared" si="69"/>
        <v>#REF!</v>
      </c>
      <c r="AK226" s="75" t="e">
        <f>PMT(#REF!,#REF!,-#REF!,0,0)</f>
        <v>#REF!</v>
      </c>
      <c r="AL226" s="75"/>
      <c r="AM226" s="7" t="e">
        <f>AJ226*(#REF!/12)</f>
        <v>#REF!</v>
      </c>
      <c r="AN226" s="7" t="e">
        <f t="shared" si="67"/>
        <v>#REF!</v>
      </c>
      <c r="AO226" s="75" t="e">
        <f t="shared" si="64"/>
        <v>#REF!</v>
      </c>
      <c r="AP226" s="75" t="e">
        <f t="shared" si="68"/>
        <v>#REF!</v>
      </c>
      <c r="AQ226" s="7" t="e">
        <f t="shared" si="66"/>
        <v>#REF!</v>
      </c>
    </row>
    <row r="227" spans="34:43" x14ac:dyDescent="0.25">
      <c r="AH227" s="7" t="e">
        <f t="shared" si="65"/>
        <v>#REF!</v>
      </c>
      <c r="AI227" s="79" t="e">
        <f t="shared" si="63"/>
        <v>#REF!</v>
      </c>
      <c r="AJ227" s="79" t="e">
        <f t="shared" si="69"/>
        <v>#REF!</v>
      </c>
      <c r="AK227" s="75" t="e">
        <f>PMT(#REF!,#REF!,-#REF!,0,0)</f>
        <v>#REF!</v>
      </c>
      <c r="AL227" s="75"/>
      <c r="AM227" s="7" t="e">
        <f>AJ227*(#REF!/12)</f>
        <v>#REF!</v>
      </c>
      <c r="AN227" s="7" t="e">
        <f t="shared" si="67"/>
        <v>#REF!</v>
      </c>
      <c r="AO227" s="75" t="e">
        <f t="shared" si="64"/>
        <v>#REF!</v>
      </c>
      <c r="AP227" s="75" t="e">
        <f t="shared" si="68"/>
        <v>#REF!</v>
      </c>
      <c r="AQ227" s="7" t="e">
        <f t="shared" si="66"/>
        <v>#REF!</v>
      </c>
    </row>
    <row r="228" spans="34:43" x14ac:dyDescent="0.25">
      <c r="AH228" s="7" t="e">
        <f t="shared" si="65"/>
        <v>#REF!</v>
      </c>
      <c r="AI228" s="79" t="e">
        <f t="shared" si="63"/>
        <v>#REF!</v>
      </c>
      <c r="AJ228" s="79" t="e">
        <f t="shared" si="69"/>
        <v>#REF!</v>
      </c>
      <c r="AK228" s="75" t="e">
        <f>PMT(#REF!,#REF!,-#REF!,0,0)</f>
        <v>#REF!</v>
      </c>
      <c r="AL228" s="75"/>
      <c r="AM228" s="7" t="e">
        <f>AJ228*(#REF!/12)</f>
        <v>#REF!</v>
      </c>
      <c r="AN228" s="7" t="e">
        <f t="shared" si="67"/>
        <v>#REF!</v>
      </c>
      <c r="AO228" s="75" t="e">
        <f t="shared" si="64"/>
        <v>#REF!</v>
      </c>
      <c r="AP228" s="75" t="e">
        <f t="shared" si="68"/>
        <v>#REF!</v>
      </c>
      <c r="AQ228" s="7" t="e">
        <f t="shared" si="66"/>
        <v>#REF!</v>
      </c>
    </row>
    <row r="229" spans="34:43" x14ac:dyDescent="0.25">
      <c r="AH229" s="7" t="e">
        <f t="shared" si="65"/>
        <v>#REF!</v>
      </c>
      <c r="AI229" s="79" t="e">
        <f t="shared" si="63"/>
        <v>#REF!</v>
      </c>
      <c r="AJ229" s="79" t="e">
        <f t="shared" si="69"/>
        <v>#REF!</v>
      </c>
      <c r="AK229" s="75" t="e">
        <f>PMT(#REF!,#REF!,-#REF!,0,0)</f>
        <v>#REF!</v>
      </c>
      <c r="AL229" s="75"/>
      <c r="AM229" s="7" t="e">
        <f>AJ229*(#REF!/12)</f>
        <v>#REF!</v>
      </c>
      <c r="AN229" s="7" t="e">
        <f t="shared" si="67"/>
        <v>#REF!</v>
      </c>
      <c r="AO229" s="75" t="e">
        <f t="shared" si="64"/>
        <v>#REF!</v>
      </c>
      <c r="AP229" s="75" t="e">
        <f t="shared" si="68"/>
        <v>#REF!</v>
      </c>
      <c r="AQ229" s="7" t="e">
        <f t="shared" si="66"/>
        <v>#REF!</v>
      </c>
    </row>
    <row r="230" spans="34:43" x14ac:dyDescent="0.25">
      <c r="AH230" s="7" t="e">
        <f t="shared" si="65"/>
        <v>#REF!</v>
      </c>
      <c r="AI230" s="79" t="e">
        <f t="shared" si="63"/>
        <v>#REF!</v>
      </c>
      <c r="AJ230" s="79" t="e">
        <f t="shared" si="69"/>
        <v>#REF!</v>
      </c>
      <c r="AK230" s="75" t="e">
        <f>PMT(#REF!,#REF!,-#REF!,0,0)</f>
        <v>#REF!</v>
      </c>
      <c r="AL230" s="75"/>
      <c r="AM230" s="7" t="e">
        <f>AJ230*(#REF!/12)</f>
        <v>#REF!</v>
      </c>
      <c r="AN230" s="7" t="e">
        <f t="shared" si="67"/>
        <v>#REF!</v>
      </c>
      <c r="AO230" s="75" t="e">
        <f t="shared" si="64"/>
        <v>#REF!</v>
      </c>
      <c r="AP230" s="75" t="e">
        <f t="shared" si="68"/>
        <v>#REF!</v>
      </c>
      <c r="AQ230" s="7" t="e">
        <f t="shared" si="66"/>
        <v>#REF!</v>
      </c>
    </row>
    <row r="231" spans="34:43" x14ac:dyDescent="0.25">
      <c r="AH231" s="7" t="e">
        <f t="shared" si="65"/>
        <v>#REF!</v>
      </c>
      <c r="AI231" s="79" t="e">
        <f t="shared" si="63"/>
        <v>#REF!</v>
      </c>
      <c r="AJ231" s="79" t="e">
        <f t="shared" si="69"/>
        <v>#REF!</v>
      </c>
      <c r="AK231" s="75" t="e">
        <f>PMT(#REF!,#REF!,-#REF!,0,0)</f>
        <v>#REF!</v>
      </c>
      <c r="AL231" s="75"/>
      <c r="AM231" s="7" t="e">
        <f>AJ231*(#REF!/12)</f>
        <v>#REF!</v>
      </c>
      <c r="AN231" s="7" t="e">
        <f t="shared" si="67"/>
        <v>#REF!</v>
      </c>
      <c r="AO231" s="75" t="e">
        <f t="shared" si="64"/>
        <v>#REF!</v>
      </c>
      <c r="AP231" s="75" t="e">
        <f t="shared" si="68"/>
        <v>#REF!</v>
      </c>
      <c r="AQ231" s="7" t="e">
        <f t="shared" si="66"/>
        <v>#REF!</v>
      </c>
    </row>
    <row r="232" spans="34:43" x14ac:dyDescent="0.25">
      <c r="AH232" s="7" t="e">
        <f t="shared" si="65"/>
        <v>#REF!</v>
      </c>
      <c r="AI232" s="79" t="e">
        <f t="shared" si="63"/>
        <v>#REF!</v>
      </c>
      <c r="AJ232" s="79" t="e">
        <f t="shared" si="69"/>
        <v>#REF!</v>
      </c>
      <c r="AK232" s="75" t="e">
        <f>PMT(#REF!,#REF!,-#REF!,0,0)</f>
        <v>#REF!</v>
      </c>
      <c r="AL232" s="75"/>
      <c r="AM232" s="7" t="e">
        <f>AJ232*(#REF!/12)</f>
        <v>#REF!</v>
      </c>
      <c r="AN232" s="7" t="e">
        <f t="shared" si="67"/>
        <v>#REF!</v>
      </c>
      <c r="AO232" s="75" t="e">
        <f t="shared" si="64"/>
        <v>#REF!</v>
      </c>
      <c r="AP232" s="75" t="e">
        <f t="shared" si="68"/>
        <v>#REF!</v>
      </c>
      <c r="AQ232" s="7" t="e">
        <f t="shared" si="66"/>
        <v>#REF!</v>
      </c>
    </row>
    <row r="233" spans="34:43" x14ac:dyDescent="0.25">
      <c r="AH233" s="7" t="e">
        <f t="shared" si="65"/>
        <v>#REF!</v>
      </c>
      <c r="AI233" s="79" t="e">
        <f t="shared" si="63"/>
        <v>#REF!</v>
      </c>
      <c r="AJ233" s="79" t="e">
        <f t="shared" si="69"/>
        <v>#REF!</v>
      </c>
      <c r="AK233" s="75" t="e">
        <f>PMT(#REF!,#REF!,-#REF!,0,0)</f>
        <v>#REF!</v>
      </c>
      <c r="AL233" s="75"/>
      <c r="AM233" s="7" t="e">
        <f>AJ233*(#REF!/12)</f>
        <v>#REF!</v>
      </c>
      <c r="AN233" s="7" t="e">
        <f t="shared" si="67"/>
        <v>#REF!</v>
      </c>
      <c r="AO233" s="75" t="e">
        <f t="shared" si="64"/>
        <v>#REF!</v>
      </c>
      <c r="AP233" s="75" t="e">
        <f t="shared" si="68"/>
        <v>#REF!</v>
      </c>
      <c r="AQ233" s="7" t="e">
        <f t="shared" si="66"/>
        <v>#REF!</v>
      </c>
    </row>
    <row r="234" spans="34:43" x14ac:dyDescent="0.25">
      <c r="AH234" s="7" t="e">
        <f t="shared" si="65"/>
        <v>#REF!</v>
      </c>
      <c r="AI234" s="79" t="e">
        <f t="shared" si="63"/>
        <v>#REF!</v>
      </c>
      <c r="AJ234" s="79" t="e">
        <f t="shared" si="69"/>
        <v>#REF!</v>
      </c>
      <c r="AK234" s="75" t="e">
        <f>PMT(#REF!,#REF!,-#REF!,0,0)</f>
        <v>#REF!</v>
      </c>
      <c r="AL234" s="75"/>
      <c r="AM234" s="7" t="e">
        <f>AJ234*(#REF!/12)</f>
        <v>#REF!</v>
      </c>
      <c r="AN234" s="7" t="e">
        <f t="shared" si="67"/>
        <v>#REF!</v>
      </c>
      <c r="AO234" s="75" t="e">
        <f t="shared" si="64"/>
        <v>#REF!</v>
      </c>
      <c r="AP234" s="75" t="e">
        <f t="shared" si="68"/>
        <v>#REF!</v>
      </c>
      <c r="AQ234" s="7" t="e">
        <f t="shared" si="66"/>
        <v>#REF!</v>
      </c>
    </row>
    <row r="235" spans="34:43" x14ac:dyDescent="0.25">
      <c r="AH235" s="7" t="e">
        <f t="shared" si="65"/>
        <v>#REF!</v>
      </c>
      <c r="AI235" s="79" t="e">
        <f t="shared" si="63"/>
        <v>#REF!</v>
      </c>
      <c r="AJ235" s="79" t="e">
        <f t="shared" si="69"/>
        <v>#REF!</v>
      </c>
      <c r="AK235" s="75" t="e">
        <f>PMT(#REF!,#REF!,-#REF!,0,0)</f>
        <v>#REF!</v>
      </c>
      <c r="AL235" s="75"/>
      <c r="AM235" s="7" t="e">
        <f>AJ235*(#REF!/12)</f>
        <v>#REF!</v>
      </c>
      <c r="AN235" s="7" t="e">
        <f t="shared" si="67"/>
        <v>#REF!</v>
      </c>
      <c r="AO235" s="75" t="e">
        <f t="shared" si="64"/>
        <v>#REF!</v>
      </c>
      <c r="AP235" s="75" t="e">
        <f t="shared" si="68"/>
        <v>#REF!</v>
      </c>
      <c r="AQ235" s="7" t="e">
        <f t="shared" si="66"/>
        <v>#REF!</v>
      </c>
    </row>
    <row r="236" spans="34:43" x14ac:dyDescent="0.25">
      <c r="AH236" s="7" t="e">
        <f t="shared" si="65"/>
        <v>#REF!</v>
      </c>
      <c r="AI236" s="79" t="e">
        <f t="shared" si="63"/>
        <v>#REF!</v>
      </c>
      <c r="AJ236" s="79" t="e">
        <f t="shared" si="69"/>
        <v>#REF!</v>
      </c>
      <c r="AK236" s="75" t="e">
        <f>PMT(#REF!,#REF!,-#REF!,0,0)</f>
        <v>#REF!</v>
      </c>
      <c r="AL236" s="75"/>
      <c r="AM236" s="7" t="e">
        <f>AJ236*(#REF!/12)</f>
        <v>#REF!</v>
      </c>
      <c r="AN236" s="7" t="e">
        <f t="shared" si="67"/>
        <v>#REF!</v>
      </c>
      <c r="AO236" s="75" t="e">
        <f t="shared" si="64"/>
        <v>#REF!</v>
      </c>
      <c r="AP236" s="75" t="e">
        <f t="shared" si="68"/>
        <v>#REF!</v>
      </c>
      <c r="AQ236" s="7" t="e">
        <f t="shared" si="66"/>
        <v>#REF!</v>
      </c>
    </row>
    <row r="237" spans="34:43" x14ac:dyDescent="0.25">
      <c r="AH237" s="7" t="e">
        <f t="shared" si="65"/>
        <v>#REF!</v>
      </c>
      <c r="AI237" s="79" t="e">
        <f t="shared" si="63"/>
        <v>#REF!</v>
      </c>
      <c r="AJ237" s="79" t="e">
        <f t="shared" si="69"/>
        <v>#REF!</v>
      </c>
      <c r="AK237" s="75" t="e">
        <f>PMT(#REF!,#REF!,-#REF!,0,0)</f>
        <v>#REF!</v>
      </c>
      <c r="AL237" s="75"/>
      <c r="AM237" s="7" t="e">
        <f>AJ237*(#REF!/12)</f>
        <v>#REF!</v>
      </c>
      <c r="AN237" s="7" t="e">
        <f t="shared" si="67"/>
        <v>#REF!</v>
      </c>
      <c r="AO237" s="75" t="e">
        <f t="shared" si="64"/>
        <v>#REF!</v>
      </c>
      <c r="AP237" s="75" t="e">
        <f t="shared" si="68"/>
        <v>#REF!</v>
      </c>
      <c r="AQ237" s="7" t="e">
        <f t="shared" si="66"/>
        <v>#REF!</v>
      </c>
    </row>
    <row r="238" spans="34:43" x14ac:dyDescent="0.25">
      <c r="AH238" s="7" t="e">
        <f t="shared" si="65"/>
        <v>#REF!</v>
      </c>
      <c r="AI238" s="79" t="e">
        <f t="shared" si="63"/>
        <v>#REF!</v>
      </c>
      <c r="AJ238" s="79" t="e">
        <f t="shared" si="69"/>
        <v>#REF!</v>
      </c>
      <c r="AK238" s="75" t="e">
        <f>PMT(#REF!,#REF!,-#REF!,0,0)</f>
        <v>#REF!</v>
      </c>
      <c r="AL238" s="75"/>
      <c r="AM238" s="7" t="e">
        <f>AJ238*(#REF!/12)</f>
        <v>#REF!</v>
      </c>
      <c r="AN238" s="7" t="e">
        <f t="shared" si="67"/>
        <v>#REF!</v>
      </c>
      <c r="AO238" s="75" t="e">
        <f t="shared" si="64"/>
        <v>#REF!</v>
      </c>
      <c r="AP238" s="75" t="e">
        <f t="shared" si="68"/>
        <v>#REF!</v>
      </c>
      <c r="AQ238" s="7" t="e">
        <f t="shared" si="66"/>
        <v>#REF!</v>
      </c>
    </row>
    <row r="239" spans="34:43" x14ac:dyDescent="0.25">
      <c r="AH239" s="7" t="e">
        <f t="shared" si="65"/>
        <v>#REF!</v>
      </c>
      <c r="AI239" s="79" t="e">
        <f t="shared" si="63"/>
        <v>#REF!</v>
      </c>
      <c r="AJ239" s="79" t="e">
        <f t="shared" si="69"/>
        <v>#REF!</v>
      </c>
      <c r="AK239" s="75" t="e">
        <f>PMT(#REF!,#REF!,-#REF!,0,0)</f>
        <v>#REF!</v>
      </c>
      <c r="AL239" s="75"/>
      <c r="AM239" s="7" t="e">
        <f>AJ239*(#REF!/12)</f>
        <v>#REF!</v>
      </c>
      <c r="AN239" s="7" t="e">
        <f t="shared" si="67"/>
        <v>#REF!</v>
      </c>
      <c r="AO239" s="75" t="e">
        <f t="shared" si="64"/>
        <v>#REF!</v>
      </c>
      <c r="AP239" s="75" t="e">
        <f t="shared" si="68"/>
        <v>#REF!</v>
      </c>
      <c r="AQ239" s="7" t="e">
        <f t="shared" si="66"/>
        <v>#REF!</v>
      </c>
    </row>
    <row r="240" spans="34:43" x14ac:dyDescent="0.25">
      <c r="AH240" s="7" t="e">
        <f t="shared" si="65"/>
        <v>#REF!</v>
      </c>
      <c r="AI240" s="79" t="e">
        <f t="shared" si="63"/>
        <v>#REF!</v>
      </c>
      <c r="AJ240" s="79" t="e">
        <f t="shared" si="69"/>
        <v>#REF!</v>
      </c>
      <c r="AK240" s="75" t="e">
        <f>PMT(#REF!,#REF!,-#REF!,0,0)</f>
        <v>#REF!</v>
      </c>
      <c r="AL240" s="75"/>
      <c r="AM240" s="7" t="e">
        <f>AJ240*(#REF!/12)</f>
        <v>#REF!</v>
      </c>
      <c r="AN240" s="7" t="e">
        <f t="shared" si="67"/>
        <v>#REF!</v>
      </c>
      <c r="AO240" s="75" t="e">
        <f t="shared" si="64"/>
        <v>#REF!</v>
      </c>
      <c r="AP240" s="75" t="e">
        <f t="shared" si="68"/>
        <v>#REF!</v>
      </c>
      <c r="AQ240" s="7" t="e">
        <f t="shared" si="66"/>
        <v>#REF!</v>
      </c>
    </row>
    <row r="241" spans="34:43" x14ac:dyDescent="0.25">
      <c r="AH241" s="7" t="e">
        <f t="shared" si="65"/>
        <v>#REF!</v>
      </c>
      <c r="AI241" s="79" t="e">
        <f t="shared" si="63"/>
        <v>#REF!</v>
      </c>
      <c r="AJ241" s="79" t="e">
        <f t="shared" si="69"/>
        <v>#REF!</v>
      </c>
      <c r="AK241" s="75" t="e">
        <f>PMT(#REF!,#REF!,-#REF!,0,0)</f>
        <v>#REF!</v>
      </c>
      <c r="AL241" s="75"/>
      <c r="AM241" s="7" t="e">
        <f>AJ241*(#REF!/12)</f>
        <v>#REF!</v>
      </c>
      <c r="AN241" s="7" t="e">
        <f t="shared" si="67"/>
        <v>#REF!</v>
      </c>
      <c r="AO241" s="75" t="e">
        <f t="shared" si="64"/>
        <v>#REF!</v>
      </c>
      <c r="AP241" s="75" t="e">
        <f t="shared" si="68"/>
        <v>#REF!</v>
      </c>
      <c r="AQ241" s="7" t="e">
        <f t="shared" si="66"/>
        <v>#REF!</v>
      </c>
    </row>
    <row r="242" spans="34:43" x14ac:dyDescent="0.25">
      <c r="AH242" s="7" t="e">
        <f t="shared" si="65"/>
        <v>#REF!</v>
      </c>
      <c r="AI242" s="79" t="e">
        <f t="shared" si="63"/>
        <v>#REF!</v>
      </c>
      <c r="AJ242" s="79" t="e">
        <f t="shared" si="69"/>
        <v>#REF!</v>
      </c>
      <c r="AK242" s="75" t="e">
        <f>PMT(#REF!,#REF!,-#REF!,0,0)</f>
        <v>#REF!</v>
      </c>
      <c r="AL242" s="75"/>
      <c r="AM242" s="7" t="e">
        <f>AJ242*(#REF!/12)</f>
        <v>#REF!</v>
      </c>
      <c r="AN242" s="7" t="e">
        <f t="shared" si="67"/>
        <v>#REF!</v>
      </c>
      <c r="AO242" s="75" t="e">
        <f t="shared" si="64"/>
        <v>#REF!</v>
      </c>
      <c r="AP242" s="75" t="e">
        <f t="shared" si="68"/>
        <v>#REF!</v>
      </c>
      <c r="AQ242" s="7" t="e">
        <f t="shared" si="66"/>
        <v>#REF!</v>
      </c>
    </row>
    <row r="243" spans="34:43" x14ac:dyDescent="0.25">
      <c r="AH243" s="7" t="e">
        <f t="shared" si="65"/>
        <v>#REF!</v>
      </c>
      <c r="AI243" s="79" t="e">
        <f t="shared" si="63"/>
        <v>#REF!</v>
      </c>
      <c r="AJ243" s="79" t="e">
        <f t="shared" si="69"/>
        <v>#REF!</v>
      </c>
      <c r="AK243" s="75" t="e">
        <f>PMT(#REF!,#REF!,-#REF!,0,0)</f>
        <v>#REF!</v>
      </c>
      <c r="AL243" s="75"/>
      <c r="AM243" s="7" t="e">
        <f>AJ243*(#REF!/12)</f>
        <v>#REF!</v>
      </c>
      <c r="AN243" s="7" t="e">
        <f t="shared" si="67"/>
        <v>#REF!</v>
      </c>
      <c r="AO243" s="75" t="e">
        <f t="shared" si="64"/>
        <v>#REF!</v>
      </c>
      <c r="AP243" s="75" t="e">
        <f t="shared" si="68"/>
        <v>#REF!</v>
      </c>
      <c r="AQ243" s="7" t="e">
        <f t="shared" si="66"/>
        <v>#REF!</v>
      </c>
    </row>
    <row r="244" spans="34:43" x14ac:dyDescent="0.25">
      <c r="AH244" s="7" t="e">
        <f t="shared" si="65"/>
        <v>#REF!</v>
      </c>
      <c r="AI244" s="79" t="e">
        <f t="shared" si="63"/>
        <v>#REF!</v>
      </c>
      <c r="AJ244" s="79" t="e">
        <f t="shared" si="69"/>
        <v>#REF!</v>
      </c>
      <c r="AK244" s="75" t="e">
        <f>PMT(#REF!,#REF!,-#REF!,0,0)</f>
        <v>#REF!</v>
      </c>
      <c r="AL244" s="75"/>
      <c r="AM244" s="7" t="e">
        <f>AJ244*(#REF!/12)</f>
        <v>#REF!</v>
      </c>
      <c r="AN244" s="7" t="e">
        <f t="shared" si="67"/>
        <v>#REF!</v>
      </c>
      <c r="AO244" s="75" t="e">
        <f t="shared" si="64"/>
        <v>#REF!</v>
      </c>
      <c r="AP244" s="75" t="e">
        <f t="shared" si="68"/>
        <v>#REF!</v>
      </c>
      <c r="AQ244" s="7" t="e">
        <f t="shared" si="66"/>
        <v>#REF!</v>
      </c>
    </row>
    <row r="245" spans="34:43" x14ac:dyDescent="0.25">
      <c r="AH245" s="7" t="e">
        <f t="shared" si="65"/>
        <v>#REF!</v>
      </c>
      <c r="AI245" s="79" t="e">
        <f t="shared" si="63"/>
        <v>#REF!</v>
      </c>
      <c r="AJ245" s="79" t="e">
        <f t="shared" si="69"/>
        <v>#REF!</v>
      </c>
      <c r="AK245" s="75" t="e">
        <f>PMT(#REF!,#REF!,-#REF!,0,0)</f>
        <v>#REF!</v>
      </c>
      <c r="AL245" s="75"/>
      <c r="AM245" s="7" t="e">
        <f>AJ245*(#REF!/12)</f>
        <v>#REF!</v>
      </c>
      <c r="AN245" s="7" t="e">
        <f t="shared" si="67"/>
        <v>#REF!</v>
      </c>
      <c r="AO245" s="75" t="e">
        <f t="shared" si="64"/>
        <v>#REF!</v>
      </c>
      <c r="AP245" s="75" t="e">
        <f t="shared" si="68"/>
        <v>#REF!</v>
      </c>
      <c r="AQ245" s="7" t="e">
        <f t="shared" si="66"/>
        <v>#REF!</v>
      </c>
    </row>
    <row r="246" spans="34:43" x14ac:dyDescent="0.25">
      <c r="AH246" s="7" t="e">
        <f t="shared" si="65"/>
        <v>#REF!</v>
      </c>
      <c r="AI246" s="79" t="e">
        <f t="shared" si="63"/>
        <v>#REF!</v>
      </c>
      <c r="AJ246" s="79" t="e">
        <f t="shared" si="69"/>
        <v>#REF!</v>
      </c>
      <c r="AK246" s="75" t="e">
        <f>PMT(#REF!,#REF!,-#REF!,0,0)</f>
        <v>#REF!</v>
      </c>
      <c r="AL246" s="75"/>
      <c r="AM246" s="7" t="e">
        <f>AJ246*(#REF!/12)</f>
        <v>#REF!</v>
      </c>
      <c r="AN246" s="7" t="e">
        <f t="shared" si="67"/>
        <v>#REF!</v>
      </c>
      <c r="AO246" s="75" t="e">
        <f t="shared" si="64"/>
        <v>#REF!</v>
      </c>
      <c r="AP246" s="75" t="e">
        <f t="shared" si="68"/>
        <v>#REF!</v>
      </c>
      <c r="AQ246" s="7" t="e">
        <f t="shared" si="66"/>
        <v>#REF!</v>
      </c>
    </row>
    <row r="247" spans="34:43" x14ac:dyDescent="0.25">
      <c r="AH247" s="7" t="e">
        <f t="shared" si="65"/>
        <v>#REF!</v>
      </c>
      <c r="AI247" s="79" t="e">
        <f t="shared" si="63"/>
        <v>#REF!</v>
      </c>
      <c r="AJ247" s="79" t="e">
        <f t="shared" si="69"/>
        <v>#REF!</v>
      </c>
      <c r="AK247" s="75" t="e">
        <f>PMT(#REF!,#REF!,-#REF!,0,0)</f>
        <v>#REF!</v>
      </c>
      <c r="AL247" s="75"/>
      <c r="AM247" s="7" t="e">
        <f>AJ247*(#REF!/12)</f>
        <v>#REF!</v>
      </c>
      <c r="AN247" s="7" t="e">
        <f t="shared" si="67"/>
        <v>#REF!</v>
      </c>
      <c r="AO247" s="75" t="e">
        <f t="shared" si="64"/>
        <v>#REF!</v>
      </c>
      <c r="AP247" s="75" t="e">
        <f t="shared" si="68"/>
        <v>#REF!</v>
      </c>
      <c r="AQ247" s="7" t="e">
        <f t="shared" si="66"/>
        <v>#REF!</v>
      </c>
    </row>
    <row r="248" spans="34:43" x14ac:dyDescent="0.25">
      <c r="AH248" s="7" t="e">
        <f t="shared" si="65"/>
        <v>#REF!</v>
      </c>
      <c r="AI248" s="79" t="e">
        <f t="shared" si="63"/>
        <v>#REF!</v>
      </c>
      <c r="AJ248" s="79" t="e">
        <f t="shared" si="69"/>
        <v>#REF!</v>
      </c>
      <c r="AK248" s="75" t="e">
        <f>PMT(#REF!,#REF!,-#REF!,0,0)</f>
        <v>#REF!</v>
      </c>
      <c r="AL248" s="75"/>
      <c r="AM248" s="7" t="e">
        <f>AJ248*(#REF!/12)</f>
        <v>#REF!</v>
      </c>
      <c r="AN248" s="7" t="e">
        <f t="shared" si="67"/>
        <v>#REF!</v>
      </c>
      <c r="AO248" s="75" t="e">
        <f t="shared" si="64"/>
        <v>#REF!</v>
      </c>
      <c r="AP248" s="75" t="e">
        <f t="shared" si="68"/>
        <v>#REF!</v>
      </c>
      <c r="AQ248" s="7" t="e">
        <f t="shared" si="66"/>
        <v>#REF!</v>
      </c>
    </row>
    <row r="249" spans="34:43" x14ac:dyDescent="0.25">
      <c r="AH249" s="7" t="e">
        <f t="shared" si="65"/>
        <v>#REF!</v>
      </c>
      <c r="AI249" s="79" t="e">
        <f t="shared" si="63"/>
        <v>#REF!</v>
      </c>
      <c r="AJ249" s="79" t="e">
        <f t="shared" si="69"/>
        <v>#REF!</v>
      </c>
      <c r="AK249" s="75" t="e">
        <f>PMT(#REF!,#REF!,-#REF!,0,0)</f>
        <v>#REF!</v>
      </c>
      <c r="AL249" s="75"/>
      <c r="AM249" s="7" t="e">
        <f>AJ249*(#REF!/12)</f>
        <v>#REF!</v>
      </c>
      <c r="AN249" s="7" t="e">
        <f t="shared" si="67"/>
        <v>#REF!</v>
      </c>
      <c r="AO249" s="75" t="e">
        <f t="shared" si="64"/>
        <v>#REF!</v>
      </c>
      <c r="AP249" s="75" t="e">
        <f t="shared" si="68"/>
        <v>#REF!</v>
      </c>
      <c r="AQ249" s="7" t="e">
        <f t="shared" si="66"/>
        <v>#REF!</v>
      </c>
    </row>
    <row r="250" spans="34:43" x14ac:dyDescent="0.25">
      <c r="AH250" s="7" t="e">
        <f t="shared" si="65"/>
        <v>#REF!</v>
      </c>
      <c r="AI250" s="79" t="e">
        <f t="shared" si="63"/>
        <v>#REF!</v>
      </c>
      <c r="AJ250" s="79" t="e">
        <f t="shared" si="69"/>
        <v>#REF!</v>
      </c>
      <c r="AK250" s="75" t="e">
        <f>PMT(#REF!,#REF!,-#REF!,0,0)</f>
        <v>#REF!</v>
      </c>
      <c r="AL250" s="75"/>
      <c r="AM250" s="7" t="e">
        <f>AJ250*(#REF!/12)</f>
        <v>#REF!</v>
      </c>
      <c r="AN250" s="7" t="e">
        <f t="shared" si="67"/>
        <v>#REF!</v>
      </c>
      <c r="AO250" s="75" t="e">
        <f t="shared" si="64"/>
        <v>#REF!</v>
      </c>
      <c r="AP250" s="75" t="e">
        <f t="shared" si="68"/>
        <v>#REF!</v>
      </c>
      <c r="AQ250" s="7" t="e">
        <f t="shared" si="66"/>
        <v>#REF!</v>
      </c>
    </row>
    <row r="251" spans="34:43" x14ac:dyDescent="0.25">
      <c r="AH251" s="7" t="e">
        <f t="shared" si="65"/>
        <v>#REF!</v>
      </c>
      <c r="AI251" s="79" t="e">
        <f t="shared" si="63"/>
        <v>#REF!</v>
      </c>
      <c r="AJ251" s="79" t="e">
        <f t="shared" si="69"/>
        <v>#REF!</v>
      </c>
      <c r="AK251" s="75" t="e">
        <f>PMT(#REF!,#REF!,-#REF!,0,0)</f>
        <v>#REF!</v>
      </c>
      <c r="AL251" s="75"/>
      <c r="AM251" s="7" t="e">
        <f>AJ251*(#REF!/12)</f>
        <v>#REF!</v>
      </c>
      <c r="AN251" s="7" t="e">
        <f t="shared" si="67"/>
        <v>#REF!</v>
      </c>
      <c r="AO251" s="75" t="e">
        <f t="shared" si="64"/>
        <v>#REF!</v>
      </c>
      <c r="AP251" s="75" t="e">
        <f t="shared" si="68"/>
        <v>#REF!</v>
      </c>
      <c r="AQ251" s="7" t="e">
        <f t="shared" si="66"/>
        <v>#REF!</v>
      </c>
    </row>
    <row r="252" spans="34:43" x14ac:dyDescent="0.25">
      <c r="AH252" s="7" t="e">
        <f t="shared" si="65"/>
        <v>#REF!</v>
      </c>
      <c r="AI252" s="79" t="e">
        <f t="shared" si="63"/>
        <v>#REF!</v>
      </c>
      <c r="AJ252" s="79" t="e">
        <f t="shared" si="69"/>
        <v>#REF!</v>
      </c>
      <c r="AK252" s="75" t="e">
        <f>PMT(#REF!,#REF!,-#REF!,0,0)</f>
        <v>#REF!</v>
      </c>
      <c r="AL252" s="75"/>
      <c r="AM252" s="7" t="e">
        <f>AJ252*(#REF!/12)</f>
        <v>#REF!</v>
      </c>
      <c r="AN252" s="7" t="e">
        <f t="shared" si="67"/>
        <v>#REF!</v>
      </c>
      <c r="AO252" s="75" t="e">
        <f t="shared" si="64"/>
        <v>#REF!</v>
      </c>
      <c r="AP252" s="75" t="e">
        <f t="shared" si="68"/>
        <v>#REF!</v>
      </c>
      <c r="AQ252" s="7" t="e">
        <f t="shared" si="66"/>
        <v>#REF!</v>
      </c>
    </row>
    <row r="253" spans="34:43" x14ac:dyDescent="0.25">
      <c r="AH253" s="7" t="e">
        <f t="shared" si="65"/>
        <v>#REF!</v>
      </c>
      <c r="AI253" s="79" t="e">
        <f t="shared" si="63"/>
        <v>#REF!</v>
      </c>
      <c r="AJ253" s="79" t="e">
        <f t="shared" si="69"/>
        <v>#REF!</v>
      </c>
      <c r="AK253" s="75" t="e">
        <f>PMT(#REF!,#REF!,-#REF!,0,0)</f>
        <v>#REF!</v>
      </c>
      <c r="AL253" s="75"/>
      <c r="AM253" s="7" t="e">
        <f>AJ253*(#REF!/12)</f>
        <v>#REF!</v>
      </c>
      <c r="AN253" s="7" t="e">
        <f t="shared" si="67"/>
        <v>#REF!</v>
      </c>
      <c r="AO253" s="75" t="e">
        <f t="shared" si="64"/>
        <v>#REF!</v>
      </c>
      <c r="AP253" s="75" t="e">
        <f t="shared" si="68"/>
        <v>#REF!</v>
      </c>
      <c r="AQ253" s="7" t="e">
        <f t="shared" si="66"/>
        <v>#REF!</v>
      </c>
    </row>
    <row r="254" spans="34:43" x14ac:dyDescent="0.25">
      <c r="AH254" s="7" t="e">
        <f t="shared" si="65"/>
        <v>#REF!</v>
      </c>
      <c r="AI254" s="79" t="e">
        <f t="shared" si="63"/>
        <v>#REF!</v>
      </c>
      <c r="AJ254" s="79" t="e">
        <f t="shared" si="69"/>
        <v>#REF!</v>
      </c>
      <c r="AK254" s="75" t="e">
        <f>PMT(#REF!,#REF!,-#REF!,0,0)</f>
        <v>#REF!</v>
      </c>
      <c r="AL254" s="75"/>
      <c r="AM254" s="7" t="e">
        <f>AJ254*(#REF!/12)</f>
        <v>#REF!</v>
      </c>
      <c r="AN254" s="7" t="e">
        <f t="shared" si="67"/>
        <v>#REF!</v>
      </c>
      <c r="AO254" s="75" t="e">
        <f t="shared" si="64"/>
        <v>#REF!</v>
      </c>
      <c r="AP254" s="75" t="e">
        <f t="shared" si="68"/>
        <v>#REF!</v>
      </c>
      <c r="AQ254" s="7" t="e">
        <f t="shared" si="66"/>
        <v>#REF!</v>
      </c>
    </row>
    <row r="255" spans="34:43" x14ac:dyDescent="0.25">
      <c r="AH255" s="7" t="e">
        <f t="shared" si="65"/>
        <v>#REF!</v>
      </c>
      <c r="AI255" s="79" t="e">
        <f t="shared" si="63"/>
        <v>#REF!</v>
      </c>
      <c r="AJ255" s="79" t="e">
        <f t="shared" si="69"/>
        <v>#REF!</v>
      </c>
      <c r="AK255" s="75" t="e">
        <f>PMT(#REF!,#REF!,-#REF!,0,0)</f>
        <v>#REF!</v>
      </c>
      <c r="AL255" s="75"/>
      <c r="AM255" s="7" t="e">
        <f>AJ255*(#REF!/12)</f>
        <v>#REF!</v>
      </c>
      <c r="AN255" s="7" t="e">
        <f t="shared" si="67"/>
        <v>#REF!</v>
      </c>
      <c r="AO255" s="75" t="e">
        <f t="shared" si="64"/>
        <v>#REF!</v>
      </c>
      <c r="AP255" s="75" t="e">
        <f t="shared" si="68"/>
        <v>#REF!</v>
      </c>
      <c r="AQ255" s="7" t="e">
        <f t="shared" si="66"/>
        <v>#REF!</v>
      </c>
    </row>
    <row r="256" spans="34:43" x14ac:dyDescent="0.25">
      <c r="AH256" s="7" t="e">
        <f t="shared" si="65"/>
        <v>#REF!</v>
      </c>
      <c r="AI256" s="79" t="e">
        <f t="shared" si="63"/>
        <v>#REF!</v>
      </c>
      <c r="AJ256" s="79" t="e">
        <f t="shared" si="69"/>
        <v>#REF!</v>
      </c>
      <c r="AK256" s="75" t="e">
        <f>PMT(#REF!,#REF!,-#REF!,0,0)</f>
        <v>#REF!</v>
      </c>
      <c r="AL256" s="75"/>
      <c r="AM256" s="7" t="e">
        <f>AJ256*(#REF!/12)</f>
        <v>#REF!</v>
      </c>
      <c r="AN256" s="7" t="e">
        <f t="shared" si="67"/>
        <v>#REF!</v>
      </c>
      <c r="AO256" s="75" t="e">
        <f t="shared" si="64"/>
        <v>#REF!</v>
      </c>
      <c r="AP256" s="75" t="e">
        <f t="shared" si="68"/>
        <v>#REF!</v>
      </c>
      <c r="AQ256" s="7" t="e">
        <f t="shared" si="66"/>
        <v>#REF!</v>
      </c>
    </row>
    <row r="257" spans="34:43" x14ac:dyDescent="0.25">
      <c r="AH257" s="7" t="e">
        <f t="shared" si="65"/>
        <v>#REF!</v>
      </c>
      <c r="AI257" s="79" t="e">
        <f t="shared" ref="AI257:AI300" si="70">AI256+AH258-AH257</f>
        <v>#REF!</v>
      </c>
      <c r="AJ257" s="79" t="e">
        <f t="shared" si="69"/>
        <v>#REF!</v>
      </c>
      <c r="AK257" s="75" t="e">
        <f>PMT(#REF!,#REF!,-#REF!,0,0)</f>
        <v>#REF!</v>
      </c>
      <c r="AL257" s="75"/>
      <c r="AM257" s="7" t="e">
        <f>AJ257*(#REF!/12)</f>
        <v>#REF!</v>
      </c>
      <c r="AN257" s="7" t="e">
        <f t="shared" si="67"/>
        <v>#REF!</v>
      </c>
      <c r="AO257" s="75" t="e">
        <f t="shared" si="64"/>
        <v>#REF!</v>
      </c>
      <c r="AP257" s="75" t="e">
        <f t="shared" si="68"/>
        <v>#REF!</v>
      </c>
      <c r="AQ257" s="7" t="e">
        <f t="shared" si="66"/>
        <v>#REF!</v>
      </c>
    </row>
    <row r="258" spans="34:43" x14ac:dyDescent="0.25">
      <c r="AH258" s="7" t="e">
        <f t="shared" si="65"/>
        <v>#REF!</v>
      </c>
      <c r="AI258" s="79" t="e">
        <f t="shared" si="70"/>
        <v>#REF!</v>
      </c>
      <c r="AJ258" s="79" t="e">
        <f t="shared" si="69"/>
        <v>#REF!</v>
      </c>
      <c r="AK258" s="75" t="e">
        <f>PMT(#REF!,#REF!,-#REF!,0,0)</f>
        <v>#REF!</v>
      </c>
      <c r="AL258" s="75"/>
      <c r="AM258" s="7" t="e">
        <f>AJ258*(#REF!/12)</f>
        <v>#REF!</v>
      </c>
      <c r="AN258" s="7" t="e">
        <f t="shared" si="67"/>
        <v>#REF!</v>
      </c>
      <c r="AO258" s="75" t="e">
        <f t="shared" si="64"/>
        <v>#REF!</v>
      </c>
      <c r="AP258" s="75" t="e">
        <f t="shared" si="68"/>
        <v>#REF!</v>
      </c>
      <c r="AQ258" s="7" t="e">
        <f t="shared" si="66"/>
        <v>#REF!</v>
      </c>
    </row>
    <row r="259" spans="34:43" x14ac:dyDescent="0.25">
      <c r="AH259" s="7" t="e">
        <f t="shared" si="65"/>
        <v>#REF!</v>
      </c>
      <c r="AI259" s="79" t="e">
        <f t="shared" si="70"/>
        <v>#REF!</v>
      </c>
      <c r="AJ259" s="79" t="e">
        <f t="shared" si="69"/>
        <v>#REF!</v>
      </c>
      <c r="AK259" s="75" t="e">
        <f>PMT(#REF!,#REF!,-#REF!,0,0)</f>
        <v>#REF!</v>
      </c>
      <c r="AL259" s="75"/>
      <c r="AM259" s="7" t="e">
        <f>AJ259*(#REF!/12)</f>
        <v>#REF!</v>
      </c>
      <c r="AN259" s="7" t="e">
        <f t="shared" si="67"/>
        <v>#REF!</v>
      </c>
      <c r="AO259" s="75" t="e">
        <f t="shared" ref="AO259:AO302" si="71">AK259-AM259</f>
        <v>#REF!</v>
      </c>
      <c r="AP259" s="75" t="e">
        <f t="shared" si="68"/>
        <v>#REF!</v>
      </c>
      <c r="AQ259" s="7" t="e">
        <f t="shared" si="66"/>
        <v>#REF!</v>
      </c>
    </row>
    <row r="260" spans="34:43" x14ac:dyDescent="0.25">
      <c r="AH260" s="7" t="e">
        <f t="shared" ref="AH260:AH302" si="72">AH259*(1+$C$5)</f>
        <v>#REF!</v>
      </c>
      <c r="AI260" s="79" t="e">
        <f t="shared" si="70"/>
        <v>#REF!</v>
      </c>
      <c r="AJ260" s="79" t="e">
        <f t="shared" si="69"/>
        <v>#REF!</v>
      </c>
      <c r="AK260" s="75" t="e">
        <f>PMT(#REF!,#REF!,-#REF!,0,0)</f>
        <v>#REF!</v>
      </c>
      <c r="AL260" s="75"/>
      <c r="AM260" s="7" t="e">
        <f>AJ260*(#REF!/12)</f>
        <v>#REF!</v>
      </c>
      <c r="AN260" s="7" t="e">
        <f t="shared" si="67"/>
        <v>#REF!</v>
      </c>
      <c r="AO260" s="75" t="e">
        <f t="shared" si="71"/>
        <v>#REF!</v>
      </c>
      <c r="AP260" s="75" t="e">
        <f t="shared" si="68"/>
        <v>#REF!</v>
      </c>
      <c r="AQ260" s="7" t="e">
        <f t="shared" ref="AQ260:AQ302" si="73">AJ260-(AO260+AL260)</f>
        <v>#REF!</v>
      </c>
    </row>
    <row r="261" spans="34:43" x14ac:dyDescent="0.25">
      <c r="AH261" s="7" t="e">
        <f t="shared" si="72"/>
        <v>#REF!</v>
      </c>
      <c r="AI261" s="79" t="e">
        <f t="shared" si="70"/>
        <v>#REF!</v>
      </c>
      <c r="AJ261" s="79" t="e">
        <f t="shared" si="69"/>
        <v>#REF!</v>
      </c>
      <c r="AK261" s="75" t="e">
        <f>PMT(#REF!,#REF!,-#REF!,0,0)</f>
        <v>#REF!</v>
      </c>
      <c r="AL261" s="75"/>
      <c r="AM261" s="7" t="e">
        <f>AJ261*(#REF!/12)</f>
        <v>#REF!</v>
      </c>
      <c r="AN261" s="7" t="e">
        <f t="shared" ref="AN261:AN302" si="74">AN260+AM261</f>
        <v>#REF!</v>
      </c>
      <c r="AO261" s="75" t="e">
        <f t="shared" si="71"/>
        <v>#REF!</v>
      </c>
      <c r="AP261" s="75" t="e">
        <f t="shared" ref="AP261:AP302" si="75">AP260+AO261</f>
        <v>#REF!</v>
      </c>
      <c r="AQ261" s="7" t="e">
        <f t="shared" si="73"/>
        <v>#REF!</v>
      </c>
    </row>
    <row r="262" spans="34:43" x14ac:dyDescent="0.25">
      <c r="AH262" s="7" t="e">
        <f t="shared" si="72"/>
        <v>#REF!</v>
      </c>
      <c r="AI262" s="79" t="e">
        <f t="shared" si="70"/>
        <v>#REF!</v>
      </c>
      <c r="AJ262" s="79" t="e">
        <f t="shared" ref="AJ262:AJ302" si="76">AQ261</f>
        <v>#REF!</v>
      </c>
      <c r="AK262" s="75" t="e">
        <f>PMT(#REF!,#REF!,-#REF!,0,0)</f>
        <v>#REF!</v>
      </c>
      <c r="AL262" s="75"/>
      <c r="AM262" s="7" t="e">
        <f>AJ262*(#REF!/12)</f>
        <v>#REF!</v>
      </c>
      <c r="AN262" s="7" t="e">
        <f t="shared" si="74"/>
        <v>#REF!</v>
      </c>
      <c r="AO262" s="75" t="e">
        <f t="shared" si="71"/>
        <v>#REF!</v>
      </c>
      <c r="AP262" s="75" t="e">
        <f t="shared" si="75"/>
        <v>#REF!</v>
      </c>
      <c r="AQ262" s="7" t="e">
        <f t="shared" si="73"/>
        <v>#REF!</v>
      </c>
    </row>
    <row r="263" spans="34:43" x14ac:dyDescent="0.25">
      <c r="AH263" s="7" t="e">
        <f t="shared" si="72"/>
        <v>#REF!</v>
      </c>
      <c r="AI263" s="79" t="e">
        <f t="shared" si="70"/>
        <v>#REF!</v>
      </c>
      <c r="AJ263" s="79" t="e">
        <f t="shared" si="76"/>
        <v>#REF!</v>
      </c>
      <c r="AK263" s="75" t="e">
        <f>PMT(#REF!,#REF!,-#REF!,0,0)</f>
        <v>#REF!</v>
      </c>
      <c r="AL263" s="75"/>
      <c r="AM263" s="7" t="e">
        <f>AJ263*(#REF!/12)</f>
        <v>#REF!</v>
      </c>
      <c r="AN263" s="7" t="e">
        <f t="shared" si="74"/>
        <v>#REF!</v>
      </c>
      <c r="AO263" s="75" t="e">
        <f t="shared" si="71"/>
        <v>#REF!</v>
      </c>
      <c r="AP263" s="75" t="e">
        <f t="shared" si="75"/>
        <v>#REF!</v>
      </c>
      <c r="AQ263" s="7" t="e">
        <f t="shared" si="73"/>
        <v>#REF!</v>
      </c>
    </row>
    <row r="264" spans="34:43" x14ac:dyDescent="0.25">
      <c r="AH264" s="7" t="e">
        <f t="shared" si="72"/>
        <v>#REF!</v>
      </c>
      <c r="AI264" s="79" t="e">
        <f t="shared" si="70"/>
        <v>#REF!</v>
      </c>
      <c r="AJ264" s="79" t="e">
        <f t="shared" si="76"/>
        <v>#REF!</v>
      </c>
      <c r="AK264" s="75" t="e">
        <f>PMT(#REF!,#REF!,-#REF!,0,0)</f>
        <v>#REF!</v>
      </c>
      <c r="AL264" s="75"/>
      <c r="AM264" s="7" t="e">
        <f>AJ264*(#REF!/12)</f>
        <v>#REF!</v>
      </c>
      <c r="AN264" s="7" t="e">
        <f t="shared" si="74"/>
        <v>#REF!</v>
      </c>
      <c r="AO264" s="75" t="e">
        <f t="shared" si="71"/>
        <v>#REF!</v>
      </c>
      <c r="AP264" s="75" t="e">
        <f t="shared" si="75"/>
        <v>#REF!</v>
      </c>
      <c r="AQ264" s="7" t="e">
        <f t="shared" si="73"/>
        <v>#REF!</v>
      </c>
    </row>
    <row r="265" spans="34:43" x14ac:dyDescent="0.25">
      <c r="AH265" s="7" t="e">
        <f t="shared" si="72"/>
        <v>#REF!</v>
      </c>
      <c r="AI265" s="79" t="e">
        <f t="shared" si="70"/>
        <v>#REF!</v>
      </c>
      <c r="AJ265" s="79" t="e">
        <f t="shared" si="76"/>
        <v>#REF!</v>
      </c>
      <c r="AK265" s="75" t="e">
        <f>PMT(#REF!,#REF!,-#REF!,0,0)</f>
        <v>#REF!</v>
      </c>
      <c r="AL265" s="75"/>
      <c r="AM265" s="7" t="e">
        <f>AJ265*(#REF!/12)</f>
        <v>#REF!</v>
      </c>
      <c r="AN265" s="7" t="e">
        <f t="shared" si="74"/>
        <v>#REF!</v>
      </c>
      <c r="AO265" s="75" t="e">
        <f t="shared" si="71"/>
        <v>#REF!</v>
      </c>
      <c r="AP265" s="75" t="e">
        <f t="shared" si="75"/>
        <v>#REF!</v>
      </c>
      <c r="AQ265" s="7" t="e">
        <f t="shared" si="73"/>
        <v>#REF!</v>
      </c>
    </row>
    <row r="266" spans="34:43" x14ac:dyDescent="0.25">
      <c r="AH266" s="7" t="e">
        <f t="shared" si="72"/>
        <v>#REF!</v>
      </c>
      <c r="AI266" s="79" t="e">
        <f t="shared" si="70"/>
        <v>#REF!</v>
      </c>
      <c r="AJ266" s="79" t="e">
        <f t="shared" si="76"/>
        <v>#REF!</v>
      </c>
      <c r="AK266" s="75" t="e">
        <f>PMT(#REF!,#REF!,-#REF!,0,0)</f>
        <v>#REF!</v>
      </c>
      <c r="AL266" s="75"/>
      <c r="AM266" s="7" t="e">
        <f>AJ266*(#REF!/12)</f>
        <v>#REF!</v>
      </c>
      <c r="AN266" s="7" t="e">
        <f t="shared" si="74"/>
        <v>#REF!</v>
      </c>
      <c r="AO266" s="75" t="e">
        <f t="shared" si="71"/>
        <v>#REF!</v>
      </c>
      <c r="AP266" s="75" t="e">
        <f t="shared" si="75"/>
        <v>#REF!</v>
      </c>
      <c r="AQ266" s="7" t="e">
        <f t="shared" si="73"/>
        <v>#REF!</v>
      </c>
    </row>
    <row r="267" spans="34:43" x14ac:dyDescent="0.25">
      <c r="AH267" s="7" t="e">
        <f t="shared" si="72"/>
        <v>#REF!</v>
      </c>
      <c r="AI267" s="79" t="e">
        <f t="shared" si="70"/>
        <v>#REF!</v>
      </c>
      <c r="AJ267" s="79" t="e">
        <f t="shared" si="76"/>
        <v>#REF!</v>
      </c>
      <c r="AK267" s="75" t="e">
        <f>PMT(#REF!,#REF!,-#REF!,0,0)</f>
        <v>#REF!</v>
      </c>
      <c r="AL267" s="75"/>
      <c r="AM267" s="7" t="e">
        <f>AJ267*(#REF!/12)</f>
        <v>#REF!</v>
      </c>
      <c r="AN267" s="7" t="e">
        <f t="shared" si="74"/>
        <v>#REF!</v>
      </c>
      <c r="AO267" s="75" t="e">
        <f t="shared" si="71"/>
        <v>#REF!</v>
      </c>
      <c r="AP267" s="75" t="e">
        <f t="shared" si="75"/>
        <v>#REF!</v>
      </c>
      <c r="AQ267" s="7" t="e">
        <f t="shared" si="73"/>
        <v>#REF!</v>
      </c>
    </row>
    <row r="268" spans="34:43" x14ac:dyDescent="0.25">
      <c r="AH268" s="7" t="e">
        <f t="shared" si="72"/>
        <v>#REF!</v>
      </c>
      <c r="AI268" s="79" t="e">
        <f t="shared" si="70"/>
        <v>#REF!</v>
      </c>
      <c r="AJ268" s="79" t="e">
        <f t="shared" si="76"/>
        <v>#REF!</v>
      </c>
      <c r="AK268" s="75" t="e">
        <f>PMT(#REF!,#REF!,-#REF!,0,0)</f>
        <v>#REF!</v>
      </c>
      <c r="AL268" s="75"/>
      <c r="AM268" s="7" t="e">
        <f>AJ268*(#REF!/12)</f>
        <v>#REF!</v>
      </c>
      <c r="AN268" s="7" t="e">
        <f t="shared" si="74"/>
        <v>#REF!</v>
      </c>
      <c r="AO268" s="75" t="e">
        <f t="shared" si="71"/>
        <v>#REF!</v>
      </c>
      <c r="AP268" s="75" t="e">
        <f t="shared" si="75"/>
        <v>#REF!</v>
      </c>
      <c r="AQ268" s="7" t="e">
        <f t="shared" si="73"/>
        <v>#REF!</v>
      </c>
    </row>
    <row r="269" spans="34:43" x14ac:dyDescent="0.25">
      <c r="AH269" s="7" t="e">
        <f t="shared" si="72"/>
        <v>#REF!</v>
      </c>
      <c r="AI269" s="79" t="e">
        <f t="shared" si="70"/>
        <v>#REF!</v>
      </c>
      <c r="AJ269" s="79" t="e">
        <f t="shared" si="76"/>
        <v>#REF!</v>
      </c>
      <c r="AK269" s="75" t="e">
        <f>PMT(#REF!,#REF!,-#REF!,0,0)</f>
        <v>#REF!</v>
      </c>
      <c r="AL269" s="75"/>
      <c r="AM269" s="7" t="e">
        <f>AJ269*(#REF!/12)</f>
        <v>#REF!</v>
      </c>
      <c r="AN269" s="7" t="e">
        <f t="shared" si="74"/>
        <v>#REF!</v>
      </c>
      <c r="AO269" s="75" t="e">
        <f t="shared" si="71"/>
        <v>#REF!</v>
      </c>
      <c r="AP269" s="75" t="e">
        <f t="shared" si="75"/>
        <v>#REF!</v>
      </c>
      <c r="AQ269" s="7" t="e">
        <f t="shared" si="73"/>
        <v>#REF!</v>
      </c>
    </row>
    <row r="270" spans="34:43" x14ac:dyDescent="0.25">
      <c r="AH270" s="7" t="e">
        <f t="shared" si="72"/>
        <v>#REF!</v>
      </c>
      <c r="AI270" s="79" t="e">
        <f t="shared" si="70"/>
        <v>#REF!</v>
      </c>
      <c r="AJ270" s="79" t="e">
        <f t="shared" si="76"/>
        <v>#REF!</v>
      </c>
      <c r="AK270" s="75" t="e">
        <f>PMT(#REF!,#REF!,-#REF!,0,0)</f>
        <v>#REF!</v>
      </c>
      <c r="AL270" s="75"/>
      <c r="AM270" s="7" t="e">
        <f>AJ270*(#REF!/12)</f>
        <v>#REF!</v>
      </c>
      <c r="AN270" s="7" t="e">
        <f t="shared" si="74"/>
        <v>#REF!</v>
      </c>
      <c r="AO270" s="75" t="e">
        <f t="shared" si="71"/>
        <v>#REF!</v>
      </c>
      <c r="AP270" s="75" t="e">
        <f t="shared" si="75"/>
        <v>#REF!</v>
      </c>
      <c r="AQ270" s="7" t="e">
        <f t="shared" si="73"/>
        <v>#REF!</v>
      </c>
    </row>
    <row r="271" spans="34:43" x14ac:dyDescent="0.25">
      <c r="AH271" s="7" t="e">
        <f t="shared" si="72"/>
        <v>#REF!</v>
      </c>
      <c r="AI271" s="79" t="e">
        <f t="shared" si="70"/>
        <v>#REF!</v>
      </c>
      <c r="AJ271" s="79" t="e">
        <f t="shared" si="76"/>
        <v>#REF!</v>
      </c>
      <c r="AK271" s="75" t="e">
        <f>PMT(#REF!,#REF!,-#REF!,0,0)</f>
        <v>#REF!</v>
      </c>
      <c r="AL271" s="75"/>
      <c r="AM271" s="7" t="e">
        <f>AJ271*(#REF!/12)</f>
        <v>#REF!</v>
      </c>
      <c r="AN271" s="7" t="e">
        <f t="shared" si="74"/>
        <v>#REF!</v>
      </c>
      <c r="AO271" s="75" t="e">
        <f t="shared" si="71"/>
        <v>#REF!</v>
      </c>
      <c r="AP271" s="75" t="e">
        <f t="shared" si="75"/>
        <v>#REF!</v>
      </c>
      <c r="AQ271" s="7" t="e">
        <f t="shared" si="73"/>
        <v>#REF!</v>
      </c>
    </row>
    <row r="272" spans="34:43" x14ac:dyDescent="0.25">
      <c r="AH272" s="7" t="e">
        <f t="shared" si="72"/>
        <v>#REF!</v>
      </c>
      <c r="AI272" s="79" t="e">
        <f t="shared" si="70"/>
        <v>#REF!</v>
      </c>
      <c r="AJ272" s="79" t="e">
        <f t="shared" si="76"/>
        <v>#REF!</v>
      </c>
      <c r="AK272" s="75" t="e">
        <f>PMT(#REF!,#REF!,-#REF!,0,0)</f>
        <v>#REF!</v>
      </c>
      <c r="AL272" s="75"/>
      <c r="AM272" s="7" t="e">
        <f>AJ272*(#REF!/12)</f>
        <v>#REF!</v>
      </c>
      <c r="AN272" s="7" t="e">
        <f t="shared" si="74"/>
        <v>#REF!</v>
      </c>
      <c r="AO272" s="75" t="e">
        <f t="shared" si="71"/>
        <v>#REF!</v>
      </c>
      <c r="AP272" s="75" t="e">
        <f t="shared" si="75"/>
        <v>#REF!</v>
      </c>
      <c r="AQ272" s="7" t="e">
        <f t="shared" si="73"/>
        <v>#REF!</v>
      </c>
    </row>
    <row r="273" spans="34:43" x14ac:dyDescent="0.25">
      <c r="AH273" s="7" t="e">
        <f t="shared" si="72"/>
        <v>#REF!</v>
      </c>
      <c r="AI273" s="79" t="e">
        <f t="shared" si="70"/>
        <v>#REF!</v>
      </c>
      <c r="AJ273" s="79" t="e">
        <f t="shared" si="76"/>
        <v>#REF!</v>
      </c>
      <c r="AK273" s="75" t="e">
        <f>PMT(#REF!,#REF!,-#REF!,0,0)</f>
        <v>#REF!</v>
      </c>
      <c r="AL273" s="75"/>
      <c r="AM273" s="7" t="e">
        <f>AJ273*(#REF!/12)</f>
        <v>#REF!</v>
      </c>
      <c r="AN273" s="7" t="e">
        <f t="shared" si="74"/>
        <v>#REF!</v>
      </c>
      <c r="AO273" s="75" t="e">
        <f t="shared" si="71"/>
        <v>#REF!</v>
      </c>
      <c r="AP273" s="75" t="e">
        <f t="shared" si="75"/>
        <v>#REF!</v>
      </c>
      <c r="AQ273" s="7" t="e">
        <f t="shared" si="73"/>
        <v>#REF!</v>
      </c>
    </row>
    <row r="274" spans="34:43" x14ac:dyDescent="0.25">
      <c r="AH274" s="7" t="e">
        <f t="shared" si="72"/>
        <v>#REF!</v>
      </c>
      <c r="AI274" s="79" t="e">
        <f t="shared" si="70"/>
        <v>#REF!</v>
      </c>
      <c r="AJ274" s="79" t="e">
        <f t="shared" si="76"/>
        <v>#REF!</v>
      </c>
      <c r="AK274" s="75" t="e">
        <f>PMT(#REF!,#REF!,-#REF!,0,0)</f>
        <v>#REF!</v>
      </c>
      <c r="AL274" s="75"/>
      <c r="AM274" s="7" t="e">
        <f>AJ274*(#REF!/12)</f>
        <v>#REF!</v>
      </c>
      <c r="AN274" s="7" t="e">
        <f t="shared" si="74"/>
        <v>#REF!</v>
      </c>
      <c r="AO274" s="75" t="e">
        <f t="shared" si="71"/>
        <v>#REF!</v>
      </c>
      <c r="AP274" s="75" t="e">
        <f t="shared" si="75"/>
        <v>#REF!</v>
      </c>
      <c r="AQ274" s="7" t="e">
        <f t="shared" si="73"/>
        <v>#REF!</v>
      </c>
    </row>
    <row r="275" spans="34:43" x14ac:dyDescent="0.25">
      <c r="AH275" s="7" t="e">
        <f t="shared" si="72"/>
        <v>#REF!</v>
      </c>
      <c r="AI275" s="79" t="e">
        <f t="shared" si="70"/>
        <v>#REF!</v>
      </c>
      <c r="AJ275" s="79" t="e">
        <f t="shared" si="76"/>
        <v>#REF!</v>
      </c>
      <c r="AK275" s="75" t="e">
        <f>PMT(#REF!,#REF!,-#REF!,0,0)</f>
        <v>#REF!</v>
      </c>
      <c r="AL275" s="75"/>
      <c r="AM275" s="7" t="e">
        <f>AJ275*(#REF!/12)</f>
        <v>#REF!</v>
      </c>
      <c r="AN275" s="7" t="e">
        <f t="shared" si="74"/>
        <v>#REF!</v>
      </c>
      <c r="AO275" s="75" t="e">
        <f t="shared" si="71"/>
        <v>#REF!</v>
      </c>
      <c r="AP275" s="75" t="e">
        <f t="shared" si="75"/>
        <v>#REF!</v>
      </c>
      <c r="AQ275" s="7" t="e">
        <f t="shared" si="73"/>
        <v>#REF!</v>
      </c>
    </row>
    <row r="276" spans="34:43" x14ac:dyDescent="0.25">
      <c r="AH276" s="7" t="e">
        <f t="shared" si="72"/>
        <v>#REF!</v>
      </c>
      <c r="AI276" s="79" t="e">
        <f t="shared" si="70"/>
        <v>#REF!</v>
      </c>
      <c r="AJ276" s="79" t="e">
        <f t="shared" si="76"/>
        <v>#REF!</v>
      </c>
      <c r="AK276" s="75" t="e">
        <f>PMT(#REF!,#REF!,-#REF!,0,0)</f>
        <v>#REF!</v>
      </c>
      <c r="AL276" s="75"/>
      <c r="AM276" s="7" t="e">
        <f>AJ276*(#REF!/12)</f>
        <v>#REF!</v>
      </c>
      <c r="AN276" s="7" t="e">
        <f t="shared" si="74"/>
        <v>#REF!</v>
      </c>
      <c r="AO276" s="75" t="e">
        <f t="shared" si="71"/>
        <v>#REF!</v>
      </c>
      <c r="AP276" s="75" t="e">
        <f t="shared" si="75"/>
        <v>#REF!</v>
      </c>
      <c r="AQ276" s="7" t="e">
        <f t="shared" si="73"/>
        <v>#REF!</v>
      </c>
    </row>
    <row r="277" spans="34:43" x14ac:dyDescent="0.25">
      <c r="AH277" s="7" t="e">
        <f t="shared" si="72"/>
        <v>#REF!</v>
      </c>
      <c r="AI277" s="79" t="e">
        <f t="shared" si="70"/>
        <v>#REF!</v>
      </c>
      <c r="AJ277" s="79" t="e">
        <f t="shared" si="76"/>
        <v>#REF!</v>
      </c>
      <c r="AK277" s="75" t="e">
        <f>PMT(#REF!,#REF!,-#REF!,0,0)</f>
        <v>#REF!</v>
      </c>
      <c r="AL277" s="75"/>
      <c r="AM277" s="7" t="e">
        <f>AJ277*(#REF!/12)</f>
        <v>#REF!</v>
      </c>
      <c r="AN277" s="7" t="e">
        <f t="shared" si="74"/>
        <v>#REF!</v>
      </c>
      <c r="AO277" s="75" t="e">
        <f t="shared" si="71"/>
        <v>#REF!</v>
      </c>
      <c r="AP277" s="75" t="e">
        <f t="shared" si="75"/>
        <v>#REF!</v>
      </c>
      <c r="AQ277" s="7" t="e">
        <f t="shared" si="73"/>
        <v>#REF!</v>
      </c>
    </row>
    <row r="278" spans="34:43" x14ac:dyDescent="0.25">
      <c r="AH278" s="7" t="e">
        <f t="shared" si="72"/>
        <v>#REF!</v>
      </c>
      <c r="AI278" s="79" t="e">
        <f t="shared" si="70"/>
        <v>#REF!</v>
      </c>
      <c r="AJ278" s="79" t="e">
        <f t="shared" si="76"/>
        <v>#REF!</v>
      </c>
      <c r="AK278" s="75" t="e">
        <f>PMT(#REF!,#REF!,-#REF!,0,0)</f>
        <v>#REF!</v>
      </c>
      <c r="AL278" s="75"/>
      <c r="AM278" s="7" t="e">
        <f>AJ278*(#REF!/12)</f>
        <v>#REF!</v>
      </c>
      <c r="AN278" s="7" t="e">
        <f t="shared" si="74"/>
        <v>#REF!</v>
      </c>
      <c r="AO278" s="75" t="e">
        <f t="shared" si="71"/>
        <v>#REF!</v>
      </c>
      <c r="AP278" s="75" t="e">
        <f t="shared" si="75"/>
        <v>#REF!</v>
      </c>
      <c r="AQ278" s="7" t="e">
        <f t="shared" si="73"/>
        <v>#REF!</v>
      </c>
    </row>
    <row r="279" spans="34:43" x14ac:dyDescent="0.25">
      <c r="AH279" s="7" t="e">
        <f t="shared" si="72"/>
        <v>#REF!</v>
      </c>
      <c r="AI279" s="79" t="e">
        <f t="shared" si="70"/>
        <v>#REF!</v>
      </c>
      <c r="AJ279" s="79" t="e">
        <f t="shared" si="76"/>
        <v>#REF!</v>
      </c>
      <c r="AK279" s="75" t="e">
        <f>PMT(#REF!,#REF!,-#REF!,0,0)</f>
        <v>#REF!</v>
      </c>
      <c r="AL279" s="75"/>
      <c r="AM279" s="7" t="e">
        <f>AJ279*(#REF!/12)</f>
        <v>#REF!</v>
      </c>
      <c r="AN279" s="7" t="e">
        <f t="shared" si="74"/>
        <v>#REF!</v>
      </c>
      <c r="AO279" s="75" t="e">
        <f t="shared" si="71"/>
        <v>#REF!</v>
      </c>
      <c r="AP279" s="75" t="e">
        <f t="shared" si="75"/>
        <v>#REF!</v>
      </c>
      <c r="AQ279" s="7" t="e">
        <f t="shared" si="73"/>
        <v>#REF!</v>
      </c>
    </row>
    <row r="280" spans="34:43" x14ac:dyDescent="0.25">
      <c r="AH280" s="7" t="e">
        <f t="shared" si="72"/>
        <v>#REF!</v>
      </c>
      <c r="AI280" s="79" t="e">
        <f t="shared" si="70"/>
        <v>#REF!</v>
      </c>
      <c r="AJ280" s="79" t="e">
        <f t="shared" si="76"/>
        <v>#REF!</v>
      </c>
      <c r="AK280" s="75" t="e">
        <f>PMT(#REF!,#REF!,-#REF!,0,0)</f>
        <v>#REF!</v>
      </c>
      <c r="AL280" s="75"/>
      <c r="AM280" s="7" t="e">
        <f>AJ280*(#REF!/12)</f>
        <v>#REF!</v>
      </c>
      <c r="AN280" s="7" t="e">
        <f t="shared" si="74"/>
        <v>#REF!</v>
      </c>
      <c r="AO280" s="75" t="e">
        <f t="shared" si="71"/>
        <v>#REF!</v>
      </c>
      <c r="AP280" s="75" t="e">
        <f t="shared" si="75"/>
        <v>#REF!</v>
      </c>
      <c r="AQ280" s="7" t="e">
        <f t="shared" si="73"/>
        <v>#REF!</v>
      </c>
    </row>
    <row r="281" spans="34:43" x14ac:dyDescent="0.25">
      <c r="AH281" s="7" t="e">
        <f t="shared" si="72"/>
        <v>#REF!</v>
      </c>
      <c r="AI281" s="79" t="e">
        <f t="shared" si="70"/>
        <v>#REF!</v>
      </c>
      <c r="AJ281" s="79" t="e">
        <f t="shared" si="76"/>
        <v>#REF!</v>
      </c>
      <c r="AK281" s="75" t="e">
        <f>PMT(#REF!,#REF!,-#REF!,0,0)</f>
        <v>#REF!</v>
      </c>
      <c r="AL281" s="75"/>
      <c r="AM281" s="7" t="e">
        <f>AJ281*(#REF!/12)</f>
        <v>#REF!</v>
      </c>
      <c r="AN281" s="7" t="e">
        <f t="shared" si="74"/>
        <v>#REF!</v>
      </c>
      <c r="AO281" s="75" t="e">
        <f t="shared" si="71"/>
        <v>#REF!</v>
      </c>
      <c r="AP281" s="75" t="e">
        <f t="shared" si="75"/>
        <v>#REF!</v>
      </c>
      <c r="AQ281" s="7" t="e">
        <f t="shared" si="73"/>
        <v>#REF!</v>
      </c>
    </row>
    <row r="282" spans="34:43" x14ac:dyDescent="0.25">
      <c r="AH282" s="7" t="e">
        <f t="shared" si="72"/>
        <v>#REF!</v>
      </c>
      <c r="AI282" s="79" t="e">
        <f t="shared" si="70"/>
        <v>#REF!</v>
      </c>
      <c r="AJ282" s="79" t="e">
        <f t="shared" si="76"/>
        <v>#REF!</v>
      </c>
      <c r="AK282" s="75" t="e">
        <f>PMT(#REF!,#REF!,-#REF!,0,0)</f>
        <v>#REF!</v>
      </c>
      <c r="AL282" s="75"/>
      <c r="AM282" s="7" t="e">
        <f>AJ282*(#REF!/12)</f>
        <v>#REF!</v>
      </c>
      <c r="AN282" s="7" t="e">
        <f t="shared" si="74"/>
        <v>#REF!</v>
      </c>
      <c r="AO282" s="75" t="e">
        <f t="shared" si="71"/>
        <v>#REF!</v>
      </c>
      <c r="AP282" s="75" t="e">
        <f t="shared" si="75"/>
        <v>#REF!</v>
      </c>
      <c r="AQ282" s="7" t="e">
        <f t="shared" si="73"/>
        <v>#REF!</v>
      </c>
    </row>
    <row r="283" spans="34:43" x14ac:dyDescent="0.25">
      <c r="AH283" s="7" t="e">
        <f t="shared" si="72"/>
        <v>#REF!</v>
      </c>
      <c r="AI283" s="79" t="e">
        <f t="shared" si="70"/>
        <v>#REF!</v>
      </c>
      <c r="AJ283" s="79" t="e">
        <f t="shared" si="76"/>
        <v>#REF!</v>
      </c>
      <c r="AK283" s="75" t="e">
        <f>PMT(#REF!,#REF!,-#REF!,0,0)</f>
        <v>#REF!</v>
      </c>
      <c r="AL283" s="75"/>
      <c r="AM283" s="7" t="e">
        <f>AJ283*(#REF!/12)</f>
        <v>#REF!</v>
      </c>
      <c r="AN283" s="7" t="e">
        <f t="shared" si="74"/>
        <v>#REF!</v>
      </c>
      <c r="AO283" s="75" t="e">
        <f t="shared" si="71"/>
        <v>#REF!</v>
      </c>
      <c r="AP283" s="75" t="e">
        <f t="shared" si="75"/>
        <v>#REF!</v>
      </c>
      <c r="AQ283" s="7" t="e">
        <f t="shared" si="73"/>
        <v>#REF!</v>
      </c>
    </row>
    <row r="284" spans="34:43" x14ac:dyDescent="0.25">
      <c r="AH284" s="7" t="e">
        <f t="shared" si="72"/>
        <v>#REF!</v>
      </c>
      <c r="AI284" s="79" t="e">
        <f t="shared" si="70"/>
        <v>#REF!</v>
      </c>
      <c r="AJ284" s="79" t="e">
        <f t="shared" si="76"/>
        <v>#REF!</v>
      </c>
      <c r="AK284" s="75" t="e">
        <f>PMT(#REF!,#REF!,-#REF!,0,0)</f>
        <v>#REF!</v>
      </c>
      <c r="AL284" s="75"/>
      <c r="AM284" s="7" t="e">
        <f>AJ284*(#REF!/12)</f>
        <v>#REF!</v>
      </c>
      <c r="AN284" s="7" t="e">
        <f t="shared" si="74"/>
        <v>#REF!</v>
      </c>
      <c r="AO284" s="75" t="e">
        <f t="shared" si="71"/>
        <v>#REF!</v>
      </c>
      <c r="AP284" s="75" t="e">
        <f t="shared" si="75"/>
        <v>#REF!</v>
      </c>
      <c r="AQ284" s="7" t="e">
        <f t="shared" si="73"/>
        <v>#REF!</v>
      </c>
    </row>
    <row r="285" spans="34:43" x14ac:dyDescent="0.25">
      <c r="AH285" s="7" t="e">
        <f t="shared" si="72"/>
        <v>#REF!</v>
      </c>
      <c r="AI285" s="79" t="e">
        <f t="shared" si="70"/>
        <v>#REF!</v>
      </c>
      <c r="AJ285" s="79" t="e">
        <f t="shared" si="76"/>
        <v>#REF!</v>
      </c>
      <c r="AK285" s="75" t="e">
        <f>PMT(#REF!,#REF!,-#REF!,0,0)</f>
        <v>#REF!</v>
      </c>
      <c r="AL285" s="75"/>
      <c r="AM285" s="7" t="e">
        <f>AJ285*(#REF!/12)</f>
        <v>#REF!</v>
      </c>
      <c r="AN285" s="7" t="e">
        <f t="shared" si="74"/>
        <v>#REF!</v>
      </c>
      <c r="AO285" s="75" t="e">
        <f t="shared" si="71"/>
        <v>#REF!</v>
      </c>
      <c r="AP285" s="75" t="e">
        <f t="shared" si="75"/>
        <v>#REF!</v>
      </c>
      <c r="AQ285" s="7" t="e">
        <f t="shared" si="73"/>
        <v>#REF!</v>
      </c>
    </row>
    <row r="286" spans="34:43" x14ac:dyDescent="0.25">
      <c r="AH286" s="7" t="e">
        <f t="shared" si="72"/>
        <v>#REF!</v>
      </c>
      <c r="AI286" s="79" t="e">
        <f t="shared" si="70"/>
        <v>#REF!</v>
      </c>
      <c r="AJ286" s="79" t="e">
        <f t="shared" si="76"/>
        <v>#REF!</v>
      </c>
      <c r="AK286" s="75" t="e">
        <f>PMT(#REF!,#REF!,-#REF!,0,0)</f>
        <v>#REF!</v>
      </c>
      <c r="AL286" s="75"/>
      <c r="AM286" s="7" t="e">
        <f>AJ286*(#REF!/12)</f>
        <v>#REF!</v>
      </c>
      <c r="AN286" s="7" t="e">
        <f t="shared" si="74"/>
        <v>#REF!</v>
      </c>
      <c r="AO286" s="75" t="e">
        <f t="shared" si="71"/>
        <v>#REF!</v>
      </c>
      <c r="AP286" s="75" t="e">
        <f t="shared" si="75"/>
        <v>#REF!</v>
      </c>
      <c r="AQ286" s="7" t="e">
        <f t="shared" si="73"/>
        <v>#REF!</v>
      </c>
    </row>
    <row r="287" spans="34:43" x14ac:dyDescent="0.25">
      <c r="AH287" s="7" t="e">
        <f t="shared" si="72"/>
        <v>#REF!</v>
      </c>
      <c r="AI287" s="79" t="e">
        <f t="shared" si="70"/>
        <v>#REF!</v>
      </c>
      <c r="AJ287" s="79" t="e">
        <f t="shared" si="76"/>
        <v>#REF!</v>
      </c>
      <c r="AK287" s="75" t="e">
        <f>PMT(#REF!,#REF!,-#REF!,0,0)</f>
        <v>#REF!</v>
      </c>
      <c r="AL287" s="75"/>
      <c r="AM287" s="7" t="e">
        <f>AJ287*(#REF!/12)</f>
        <v>#REF!</v>
      </c>
      <c r="AN287" s="7" t="e">
        <f t="shared" si="74"/>
        <v>#REF!</v>
      </c>
      <c r="AO287" s="75" t="e">
        <f t="shared" si="71"/>
        <v>#REF!</v>
      </c>
      <c r="AP287" s="75" t="e">
        <f t="shared" si="75"/>
        <v>#REF!</v>
      </c>
      <c r="AQ287" s="7" t="e">
        <f t="shared" si="73"/>
        <v>#REF!</v>
      </c>
    </row>
    <row r="288" spans="34:43" x14ac:dyDescent="0.25">
      <c r="AH288" s="7" t="e">
        <f t="shared" si="72"/>
        <v>#REF!</v>
      </c>
      <c r="AI288" s="79" t="e">
        <f t="shared" si="70"/>
        <v>#REF!</v>
      </c>
      <c r="AJ288" s="79" t="e">
        <f t="shared" si="76"/>
        <v>#REF!</v>
      </c>
      <c r="AK288" s="75" t="e">
        <f>PMT(#REF!,#REF!,-#REF!,0,0)</f>
        <v>#REF!</v>
      </c>
      <c r="AL288" s="75"/>
      <c r="AM288" s="7" t="e">
        <f>AJ288*(#REF!/12)</f>
        <v>#REF!</v>
      </c>
      <c r="AN288" s="7" t="e">
        <f t="shared" si="74"/>
        <v>#REF!</v>
      </c>
      <c r="AO288" s="75" t="e">
        <f t="shared" si="71"/>
        <v>#REF!</v>
      </c>
      <c r="AP288" s="75" t="e">
        <f t="shared" si="75"/>
        <v>#REF!</v>
      </c>
      <c r="AQ288" s="7" t="e">
        <f t="shared" si="73"/>
        <v>#REF!</v>
      </c>
    </row>
    <row r="289" spans="34:43" x14ac:dyDescent="0.25">
      <c r="AH289" s="7" t="e">
        <f t="shared" si="72"/>
        <v>#REF!</v>
      </c>
      <c r="AI289" s="79" t="e">
        <f t="shared" si="70"/>
        <v>#REF!</v>
      </c>
      <c r="AJ289" s="79" t="e">
        <f t="shared" si="76"/>
        <v>#REF!</v>
      </c>
      <c r="AK289" s="75" t="e">
        <f>PMT(#REF!,#REF!,-#REF!,0,0)</f>
        <v>#REF!</v>
      </c>
      <c r="AL289" s="75"/>
      <c r="AM289" s="7" t="e">
        <f>AJ289*(#REF!/12)</f>
        <v>#REF!</v>
      </c>
      <c r="AN289" s="7" t="e">
        <f t="shared" si="74"/>
        <v>#REF!</v>
      </c>
      <c r="AO289" s="75" t="e">
        <f t="shared" si="71"/>
        <v>#REF!</v>
      </c>
      <c r="AP289" s="75" t="e">
        <f t="shared" si="75"/>
        <v>#REF!</v>
      </c>
      <c r="AQ289" s="7" t="e">
        <f t="shared" si="73"/>
        <v>#REF!</v>
      </c>
    </row>
    <row r="290" spans="34:43" x14ac:dyDescent="0.25">
      <c r="AH290" s="7" t="e">
        <f t="shared" si="72"/>
        <v>#REF!</v>
      </c>
      <c r="AI290" s="79" t="e">
        <f t="shared" si="70"/>
        <v>#REF!</v>
      </c>
      <c r="AJ290" s="79" t="e">
        <f t="shared" si="76"/>
        <v>#REF!</v>
      </c>
      <c r="AK290" s="75" t="e">
        <f>PMT(#REF!,#REF!,-#REF!,0,0)</f>
        <v>#REF!</v>
      </c>
      <c r="AL290" s="75"/>
      <c r="AM290" s="7" t="e">
        <f>AJ290*(#REF!/12)</f>
        <v>#REF!</v>
      </c>
      <c r="AN290" s="7" t="e">
        <f t="shared" si="74"/>
        <v>#REF!</v>
      </c>
      <c r="AO290" s="75" t="e">
        <f t="shared" si="71"/>
        <v>#REF!</v>
      </c>
      <c r="AP290" s="75" t="e">
        <f t="shared" si="75"/>
        <v>#REF!</v>
      </c>
      <c r="AQ290" s="7" t="e">
        <f t="shared" si="73"/>
        <v>#REF!</v>
      </c>
    </row>
    <row r="291" spans="34:43" x14ac:dyDescent="0.25">
      <c r="AH291" s="7" t="e">
        <f t="shared" si="72"/>
        <v>#REF!</v>
      </c>
      <c r="AI291" s="79" t="e">
        <f t="shared" si="70"/>
        <v>#REF!</v>
      </c>
      <c r="AJ291" s="79" t="e">
        <f t="shared" si="76"/>
        <v>#REF!</v>
      </c>
      <c r="AK291" s="75" t="e">
        <f>PMT(#REF!,#REF!,-#REF!,0,0)</f>
        <v>#REF!</v>
      </c>
      <c r="AL291" s="75"/>
      <c r="AM291" s="7" t="e">
        <f>AJ291*(#REF!/12)</f>
        <v>#REF!</v>
      </c>
      <c r="AN291" s="7" t="e">
        <f t="shared" si="74"/>
        <v>#REF!</v>
      </c>
      <c r="AO291" s="75" t="e">
        <f t="shared" si="71"/>
        <v>#REF!</v>
      </c>
      <c r="AP291" s="75" t="e">
        <f t="shared" si="75"/>
        <v>#REF!</v>
      </c>
      <c r="AQ291" s="7" t="e">
        <f t="shared" si="73"/>
        <v>#REF!</v>
      </c>
    </row>
    <row r="292" spans="34:43" x14ac:dyDescent="0.25">
      <c r="AH292" s="7" t="e">
        <f t="shared" si="72"/>
        <v>#REF!</v>
      </c>
      <c r="AI292" s="79" t="e">
        <f t="shared" si="70"/>
        <v>#REF!</v>
      </c>
      <c r="AJ292" s="79" t="e">
        <f t="shared" si="76"/>
        <v>#REF!</v>
      </c>
      <c r="AK292" s="75" t="e">
        <f>PMT(#REF!,#REF!,-#REF!,0,0)</f>
        <v>#REF!</v>
      </c>
      <c r="AL292" s="75"/>
      <c r="AM292" s="7" t="e">
        <f>AJ292*(#REF!/12)</f>
        <v>#REF!</v>
      </c>
      <c r="AN292" s="7" t="e">
        <f t="shared" si="74"/>
        <v>#REF!</v>
      </c>
      <c r="AO292" s="75" t="e">
        <f t="shared" si="71"/>
        <v>#REF!</v>
      </c>
      <c r="AP292" s="75" t="e">
        <f t="shared" si="75"/>
        <v>#REF!</v>
      </c>
      <c r="AQ292" s="7" t="e">
        <f t="shared" si="73"/>
        <v>#REF!</v>
      </c>
    </row>
    <row r="293" spans="34:43" x14ac:dyDescent="0.25">
      <c r="AH293" s="7" t="e">
        <f t="shared" si="72"/>
        <v>#REF!</v>
      </c>
      <c r="AI293" s="79" t="e">
        <f t="shared" si="70"/>
        <v>#REF!</v>
      </c>
      <c r="AJ293" s="79" t="e">
        <f t="shared" si="76"/>
        <v>#REF!</v>
      </c>
      <c r="AK293" s="75" t="e">
        <f>PMT(#REF!,#REF!,-#REF!,0,0)</f>
        <v>#REF!</v>
      </c>
      <c r="AL293" s="75"/>
      <c r="AM293" s="7" t="e">
        <f>AJ293*(#REF!/12)</f>
        <v>#REF!</v>
      </c>
      <c r="AN293" s="7" t="e">
        <f t="shared" si="74"/>
        <v>#REF!</v>
      </c>
      <c r="AO293" s="75" t="e">
        <f t="shared" si="71"/>
        <v>#REF!</v>
      </c>
      <c r="AP293" s="75" t="e">
        <f t="shared" si="75"/>
        <v>#REF!</v>
      </c>
      <c r="AQ293" s="7" t="e">
        <f t="shared" si="73"/>
        <v>#REF!</v>
      </c>
    </row>
    <row r="294" spans="34:43" x14ac:dyDescent="0.25">
      <c r="AH294" s="7" t="e">
        <f t="shared" si="72"/>
        <v>#REF!</v>
      </c>
      <c r="AI294" s="79" t="e">
        <f t="shared" si="70"/>
        <v>#REF!</v>
      </c>
      <c r="AJ294" s="79" t="e">
        <f t="shared" si="76"/>
        <v>#REF!</v>
      </c>
      <c r="AK294" s="75" t="e">
        <f>PMT(#REF!,#REF!,-#REF!,0,0)</f>
        <v>#REF!</v>
      </c>
      <c r="AL294" s="75"/>
      <c r="AM294" s="7" t="e">
        <f>AJ294*(#REF!/12)</f>
        <v>#REF!</v>
      </c>
      <c r="AN294" s="7" t="e">
        <f t="shared" si="74"/>
        <v>#REF!</v>
      </c>
      <c r="AO294" s="75" t="e">
        <f t="shared" si="71"/>
        <v>#REF!</v>
      </c>
      <c r="AP294" s="75" t="e">
        <f t="shared" si="75"/>
        <v>#REF!</v>
      </c>
      <c r="AQ294" s="7" t="e">
        <f t="shared" si="73"/>
        <v>#REF!</v>
      </c>
    </row>
    <row r="295" spans="34:43" x14ac:dyDescent="0.25">
      <c r="AH295" s="7" t="e">
        <f t="shared" si="72"/>
        <v>#REF!</v>
      </c>
      <c r="AI295" s="79" t="e">
        <f t="shared" si="70"/>
        <v>#REF!</v>
      </c>
      <c r="AJ295" s="79" t="e">
        <f t="shared" si="76"/>
        <v>#REF!</v>
      </c>
      <c r="AK295" s="75" t="e">
        <f>PMT(#REF!,#REF!,-#REF!,0,0)</f>
        <v>#REF!</v>
      </c>
      <c r="AL295" s="75"/>
      <c r="AM295" s="7" t="e">
        <f>AJ295*(#REF!/12)</f>
        <v>#REF!</v>
      </c>
      <c r="AN295" s="7" t="e">
        <f t="shared" si="74"/>
        <v>#REF!</v>
      </c>
      <c r="AO295" s="75" t="e">
        <f t="shared" si="71"/>
        <v>#REF!</v>
      </c>
      <c r="AP295" s="75" t="e">
        <f t="shared" si="75"/>
        <v>#REF!</v>
      </c>
      <c r="AQ295" s="7" t="e">
        <f t="shared" si="73"/>
        <v>#REF!</v>
      </c>
    </row>
    <row r="296" spans="34:43" x14ac:dyDescent="0.25">
      <c r="AH296" s="7" t="e">
        <f t="shared" si="72"/>
        <v>#REF!</v>
      </c>
      <c r="AI296" s="79" t="e">
        <f t="shared" si="70"/>
        <v>#REF!</v>
      </c>
      <c r="AJ296" s="79" t="e">
        <f t="shared" si="76"/>
        <v>#REF!</v>
      </c>
      <c r="AK296" s="75" t="e">
        <f>PMT(#REF!,#REF!,-#REF!,0,0)</f>
        <v>#REF!</v>
      </c>
      <c r="AL296" s="75"/>
      <c r="AM296" s="7" t="e">
        <f>AJ296*(#REF!/12)</f>
        <v>#REF!</v>
      </c>
      <c r="AN296" s="7" t="e">
        <f t="shared" si="74"/>
        <v>#REF!</v>
      </c>
      <c r="AO296" s="75" t="e">
        <f t="shared" si="71"/>
        <v>#REF!</v>
      </c>
      <c r="AP296" s="75" t="e">
        <f t="shared" si="75"/>
        <v>#REF!</v>
      </c>
      <c r="AQ296" s="7" t="e">
        <f t="shared" si="73"/>
        <v>#REF!</v>
      </c>
    </row>
    <row r="297" spans="34:43" x14ac:dyDescent="0.25">
      <c r="AH297" s="7" t="e">
        <f t="shared" si="72"/>
        <v>#REF!</v>
      </c>
      <c r="AI297" s="79" t="e">
        <f t="shared" si="70"/>
        <v>#REF!</v>
      </c>
      <c r="AJ297" s="79" t="e">
        <f t="shared" si="76"/>
        <v>#REF!</v>
      </c>
      <c r="AK297" s="75" t="e">
        <f>PMT(#REF!,#REF!,-#REF!,0,0)</f>
        <v>#REF!</v>
      </c>
      <c r="AL297" s="75"/>
      <c r="AM297" s="7" t="e">
        <f>AJ297*(#REF!/12)</f>
        <v>#REF!</v>
      </c>
      <c r="AN297" s="7" t="e">
        <f t="shared" si="74"/>
        <v>#REF!</v>
      </c>
      <c r="AO297" s="75" t="e">
        <f t="shared" si="71"/>
        <v>#REF!</v>
      </c>
      <c r="AP297" s="75" t="e">
        <f t="shared" si="75"/>
        <v>#REF!</v>
      </c>
      <c r="AQ297" s="7" t="e">
        <f t="shared" si="73"/>
        <v>#REF!</v>
      </c>
    </row>
    <row r="298" spans="34:43" x14ac:dyDescent="0.25">
      <c r="AH298" s="7" t="e">
        <f t="shared" si="72"/>
        <v>#REF!</v>
      </c>
      <c r="AI298" s="79" t="e">
        <f t="shared" si="70"/>
        <v>#REF!</v>
      </c>
      <c r="AJ298" s="79" t="e">
        <f t="shared" si="76"/>
        <v>#REF!</v>
      </c>
      <c r="AK298" s="75" t="e">
        <f>PMT(#REF!,#REF!,-#REF!,0,0)</f>
        <v>#REF!</v>
      </c>
      <c r="AL298" s="75"/>
      <c r="AM298" s="7" t="e">
        <f>AJ298*(#REF!/12)</f>
        <v>#REF!</v>
      </c>
      <c r="AN298" s="7" t="e">
        <f t="shared" si="74"/>
        <v>#REF!</v>
      </c>
      <c r="AO298" s="75" t="e">
        <f t="shared" si="71"/>
        <v>#REF!</v>
      </c>
      <c r="AP298" s="75" t="e">
        <f t="shared" si="75"/>
        <v>#REF!</v>
      </c>
      <c r="AQ298" s="7" t="e">
        <f t="shared" si="73"/>
        <v>#REF!</v>
      </c>
    </row>
    <row r="299" spans="34:43" x14ac:dyDescent="0.25">
      <c r="AH299" s="7" t="e">
        <f t="shared" si="72"/>
        <v>#REF!</v>
      </c>
      <c r="AI299" s="79" t="e">
        <f t="shared" si="70"/>
        <v>#REF!</v>
      </c>
      <c r="AJ299" s="79" t="e">
        <f t="shared" si="76"/>
        <v>#REF!</v>
      </c>
      <c r="AK299" s="75" t="e">
        <f>PMT(#REF!,#REF!,-#REF!,0,0)</f>
        <v>#REF!</v>
      </c>
      <c r="AL299" s="75"/>
      <c r="AM299" s="7" t="e">
        <f>AJ299*(#REF!/12)</f>
        <v>#REF!</v>
      </c>
      <c r="AN299" s="7" t="e">
        <f t="shared" si="74"/>
        <v>#REF!</v>
      </c>
      <c r="AO299" s="75" t="e">
        <f t="shared" si="71"/>
        <v>#REF!</v>
      </c>
      <c r="AP299" s="75" t="e">
        <f t="shared" si="75"/>
        <v>#REF!</v>
      </c>
      <c r="AQ299" s="7" t="e">
        <f t="shared" si="73"/>
        <v>#REF!</v>
      </c>
    </row>
    <row r="300" spans="34:43" x14ac:dyDescent="0.25">
      <c r="AH300" s="7" t="e">
        <f t="shared" si="72"/>
        <v>#REF!</v>
      </c>
      <c r="AI300" s="79" t="e">
        <f t="shared" si="70"/>
        <v>#REF!</v>
      </c>
      <c r="AJ300" s="79" t="e">
        <f t="shared" si="76"/>
        <v>#REF!</v>
      </c>
      <c r="AK300" s="75" t="e">
        <f>PMT(#REF!,#REF!,-#REF!,0,0)</f>
        <v>#REF!</v>
      </c>
      <c r="AL300" s="75"/>
      <c r="AM300" s="7" t="e">
        <f>AJ300*(#REF!/12)</f>
        <v>#REF!</v>
      </c>
      <c r="AN300" s="7" t="e">
        <f t="shared" si="74"/>
        <v>#REF!</v>
      </c>
      <c r="AO300" s="75" t="e">
        <f t="shared" si="71"/>
        <v>#REF!</v>
      </c>
      <c r="AP300" s="75" t="e">
        <f t="shared" si="75"/>
        <v>#REF!</v>
      </c>
      <c r="AQ300" s="7" t="e">
        <f t="shared" si="73"/>
        <v>#REF!</v>
      </c>
    </row>
    <row r="301" spans="34:43" x14ac:dyDescent="0.25">
      <c r="AH301" s="7" t="e">
        <f t="shared" si="72"/>
        <v>#REF!</v>
      </c>
      <c r="AI301" s="79" t="e">
        <f>AI300+AH302-AH301</f>
        <v>#REF!</v>
      </c>
      <c r="AJ301" s="79" t="e">
        <f t="shared" si="76"/>
        <v>#REF!</v>
      </c>
      <c r="AK301" s="75" t="e">
        <f>PMT(#REF!,#REF!,-#REF!,0,0)</f>
        <v>#REF!</v>
      </c>
      <c r="AL301" s="75"/>
      <c r="AM301" s="7" t="e">
        <f>AJ301*(#REF!/12)</f>
        <v>#REF!</v>
      </c>
      <c r="AN301" s="7" t="e">
        <f t="shared" si="74"/>
        <v>#REF!</v>
      </c>
      <c r="AO301" s="75" t="e">
        <f t="shared" si="71"/>
        <v>#REF!</v>
      </c>
      <c r="AP301" s="75" t="e">
        <f t="shared" si="75"/>
        <v>#REF!</v>
      </c>
      <c r="AQ301" s="7" t="e">
        <f t="shared" si="73"/>
        <v>#REF!</v>
      </c>
    </row>
    <row r="302" spans="34:43" x14ac:dyDescent="0.25">
      <c r="AH302" s="19" t="e">
        <f t="shared" si="72"/>
        <v>#REF!</v>
      </c>
      <c r="AI302" s="85" t="e">
        <f>AI301+#REF!-AH302</f>
        <v>#REF!</v>
      </c>
      <c r="AJ302" s="85" t="e">
        <f t="shared" si="76"/>
        <v>#REF!</v>
      </c>
      <c r="AK302" s="84" t="e">
        <f>PMT(#REF!,#REF!,-#REF!,0,0)</f>
        <v>#REF!</v>
      </c>
      <c r="AL302" s="84"/>
      <c r="AM302" s="19" t="e">
        <f>AJ302*(#REF!/12)</f>
        <v>#REF!</v>
      </c>
      <c r="AN302" s="19" t="e">
        <f t="shared" si="74"/>
        <v>#REF!</v>
      </c>
      <c r="AO302" s="84" t="e">
        <f t="shared" si="71"/>
        <v>#REF!</v>
      </c>
      <c r="AP302" s="84" t="e">
        <f t="shared" si="75"/>
        <v>#REF!</v>
      </c>
      <c r="AQ302" s="7" t="e">
        <f t="shared" si="73"/>
        <v>#REF!</v>
      </c>
    </row>
    <row r="303" spans="34:43" x14ac:dyDescent="0.25">
      <c r="AH303" s="74"/>
      <c r="AI303" s="74"/>
      <c r="AJ303" s="41"/>
      <c r="AK303" s="41"/>
      <c r="AL303" s="41"/>
      <c r="AM303" s="74"/>
      <c r="AO303" s="41"/>
      <c r="AP303" s="41"/>
    </row>
    <row r="304" spans="34:43" x14ac:dyDescent="0.25">
      <c r="AP304" s="41"/>
    </row>
    <row r="305" spans="42:42" x14ac:dyDescent="0.25">
      <c r="AP305" s="41"/>
    </row>
    <row r="306" spans="42:42" x14ac:dyDescent="0.25">
      <c r="AP306" s="41"/>
    </row>
    <row r="307" spans="42:42" x14ac:dyDescent="0.25">
      <c r="AP307" s="41"/>
    </row>
    <row r="308" spans="42:42" x14ac:dyDescent="0.25">
      <c r="AP308" s="41"/>
    </row>
    <row r="309" spans="42:42" x14ac:dyDescent="0.25">
      <c r="AP309" s="41"/>
    </row>
    <row r="310" spans="42:42" x14ac:dyDescent="0.25">
      <c r="AP310" s="41"/>
    </row>
    <row r="311" spans="42:42" x14ac:dyDescent="0.25">
      <c r="AP311" s="41"/>
    </row>
    <row r="312" spans="42:42" x14ac:dyDescent="0.25">
      <c r="AP312" s="41"/>
    </row>
    <row r="313" spans="42:42" x14ac:dyDescent="0.25">
      <c r="AP313" s="41"/>
    </row>
    <row r="314" spans="42:42" x14ac:dyDescent="0.25">
      <c r="AP314" s="41"/>
    </row>
    <row r="315" spans="42:42" x14ac:dyDescent="0.25">
      <c r="AP315" s="41"/>
    </row>
    <row r="316" spans="42:42" x14ac:dyDescent="0.25">
      <c r="AP316" s="41"/>
    </row>
    <row r="317" spans="42:42" x14ac:dyDescent="0.25">
      <c r="AP317" s="41"/>
    </row>
    <row r="318" spans="42:42" x14ac:dyDescent="0.25">
      <c r="AP318" s="41"/>
    </row>
    <row r="319" spans="42:42" x14ac:dyDescent="0.25">
      <c r="AP319" s="41"/>
    </row>
    <row r="320" spans="42:42" x14ac:dyDescent="0.25">
      <c r="AP320" s="41"/>
    </row>
    <row r="321" spans="42:42" x14ac:dyDescent="0.25">
      <c r="AP321" s="41"/>
    </row>
    <row r="322" spans="42:42" x14ac:dyDescent="0.25">
      <c r="AP322" s="41"/>
    </row>
    <row r="323" spans="42:42" x14ac:dyDescent="0.25">
      <c r="AP323" s="41"/>
    </row>
    <row r="324" spans="42:42" x14ac:dyDescent="0.25">
      <c r="AP324" s="41"/>
    </row>
    <row r="325" spans="42:42" x14ac:dyDescent="0.25">
      <c r="AP325" s="41"/>
    </row>
    <row r="326" spans="42:42" x14ac:dyDescent="0.25">
      <c r="AP326" s="41"/>
    </row>
    <row r="327" spans="42:42" x14ac:dyDescent="0.25">
      <c r="AP327" s="41"/>
    </row>
    <row r="328" spans="42:42" x14ac:dyDescent="0.25">
      <c r="AP328" s="41"/>
    </row>
    <row r="329" spans="42:42" x14ac:dyDescent="0.25">
      <c r="AP329" s="41"/>
    </row>
    <row r="330" spans="42:42" x14ac:dyDescent="0.25">
      <c r="AP330" s="41"/>
    </row>
    <row r="331" spans="42:42" x14ac:dyDescent="0.25">
      <c r="AP331" s="41"/>
    </row>
    <row r="332" spans="42:42" x14ac:dyDescent="0.25">
      <c r="AP332" s="41"/>
    </row>
    <row r="333" spans="42:42" x14ac:dyDescent="0.25">
      <c r="AP333" s="41"/>
    </row>
    <row r="334" spans="42:42" x14ac:dyDescent="0.25">
      <c r="AP334" s="41"/>
    </row>
    <row r="335" spans="42:42" x14ac:dyDescent="0.25">
      <c r="AP335" s="41"/>
    </row>
    <row r="336" spans="42:42" x14ac:dyDescent="0.25">
      <c r="AP336" s="41"/>
    </row>
    <row r="337" spans="42:42" x14ac:dyDescent="0.25">
      <c r="AP337" s="41"/>
    </row>
    <row r="338" spans="42:42" x14ac:dyDescent="0.25">
      <c r="AP338" s="41"/>
    </row>
    <row r="339" spans="42:42" x14ac:dyDescent="0.25">
      <c r="AP339" s="41"/>
    </row>
    <row r="340" spans="42:42" x14ac:dyDescent="0.25">
      <c r="AP340" s="41"/>
    </row>
    <row r="341" spans="42:42" x14ac:dyDescent="0.25">
      <c r="AP341" s="41"/>
    </row>
    <row r="342" spans="42:42" x14ac:dyDescent="0.25">
      <c r="AP342" s="41"/>
    </row>
    <row r="343" spans="42:42" x14ac:dyDescent="0.25">
      <c r="AP343" s="41"/>
    </row>
    <row r="344" spans="42:42" x14ac:dyDescent="0.25">
      <c r="AP344" s="41"/>
    </row>
    <row r="345" spans="42:42" x14ac:dyDescent="0.25">
      <c r="AP345" s="41"/>
    </row>
    <row r="346" spans="42:42" x14ac:dyDescent="0.25">
      <c r="AP346" s="41"/>
    </row>
    <row r="347" spans="42:42" x14ac:dyDescent="0.25">
      <c r="AP347" s="41"/>
    </row>
    <row r="348" spans="42:42" x14ac:dyDescent="0.25">
      <c r="AP348" s="41"/>
    </row>
    <row r="349" spans="42:42" x14ac:dyDescent="0.25">
      <c r="AP349" s="41"/>
    </row>
    <row r="350" spans="42:42" x14ac:dyDescent="0.25">
      <c r="AP350" s="41"/>
    </row>
    <row r="351" spans="42:42" x14ac:dyDescent="0.25">
      <c r="AP351" s="41"/>
    </row>
    <row r="352" spans="42:42" x14ac:dyDescent="0.25">
      <c r="AP352" s="41"/>
    </row>
    <row r="353" spans="42:42" x14ac:dyDescent="0.25">
      <c r="AP353" s="41"/>
    </row>
    <row r="354" spans="42:42" x14ac:dyDescent="0.25">
      <c r="AP354" s="41"/>
    </row>
    <row r="355" spans="42:42" x14ac:dyDescent="0.25">
      <c r="AP355" s="41"/>
    </row>
    <row r="356" spans="42:42" x14ac:dyDescent="0.25">
      <c r="AP356" s="41"/>
    </row>
    <row r="357" spans="42:42" x14ac:dyDescent="0.25">
      <c r="AP357" s="41"/>
    </row>
    <row r="358" spans="42:42" x14ac:dyDescent="0.25">
      <c r="AP358" s="41"/>
    </row>
    <row r="359" spans="42:42" x14ac:dyDescent="0.25">
      <c r="AP359" s="41"/>
    </row>
    <row r="360" spans="42:42" x14ac:dyDescent="0.25">
      <c r="AP360" s="41"/>
    </row>
    <row r="361" spans="42:42" x14ac:dyDescent="0.25">
      <c r="AP361" s="41"/>
    </row>
  </sheetData>
  <mergeCells count="3">
    <mergeCell ref="J1:W1"/>
    <mergeCell ref="Y1:AF1"/>
    <mergeCell ref="AH1:AQ1"/>
  </mergeCells>
  <conditionalFormatting sqref="K3:K194">
    <cfRule type="colorScale" priority="6">
      <colorScale>
        <cfvo type="min"/>
        <cfvo type="max"/>
        <color rgb="FFFCFCFF"/>
        <color rgb="FF63BE7B"/>
      </colorScale>
    </cfRule>
  </conditionalFormatting>
  <conditionalFormatting sqref="R1:R3 C3 R195:R1048576">
    <cfRule type="dataBar" priority="4">
      <dataBar>
        <cfvo type="min"/>
        <cfvo type="max"/>
        <color rgb="FFFFB628"/>
      </dataBar>
      <extLst>
        <ext xmlns:x14="http://schemas.microsoft.com/office/spreadsheetml/2009/9/main" uri="{B025F937-C7B1-47D3-B67F-A62EFF666E3E}">
          <x14:id>{7D4081E4-4A0C-4572-9BF6-E55B66B3210F}</x14:id>
        </ext>
      </extLst>
    </cfRule>
  </conditionalFormatting>
  <conditionalFormatting sqref="R1:R3 R195:R1048576">
    <cfRule type="dataBar" priority="5">
      <dataBar>
        <cfvo type="min"/>
        <cfvo type="max"/>
        <color rgb="FFFFB628"/>
      </dataBar>
      <extLst>
        <ext xmlns:x14="http://schemas.microsoft.com/office/spreadsheetml/2009/9/main" uri="{B025F937-C7B1-47D3-B67F-A62EFF666E3E}">
          <x14:id>{0E16E2DA-E358-4FB8-97F9-89F74D4E641B}</x14:id>
        </ext>
      </extLst>
    </cfRule>
  </conditionalFormatting>
  <conditionalFormatting sqref="R3">
    <cfRule type="dataBar" priority="7">
      <dataBar>
        <cfvo type="min"/>
        <cfvo type="max"/>
        <color rgb="FFFFB628"/>
      </dataBar>
      <extLst>
        <ext xmlns:x14="http://schemas.microsoft.com/office/spreadsheetml/2009/9/main" uri="{B025F937-C7B1-47D3-B67F-A62EFF666E3E}">
          <x14:id>{C6EE03FF-7F0C-4B86-B36B-C70B5A160092}</x14:id>
        </ext>
      </extLst>
    </cfRule>
  </conditionalFormatting>
  <conditionalFormatting sqref="R4:R194">
    <cfRule type="dataBar" priority="3">
      <dataBar>
        <cfvo type="min"/>
        <cfvo type="max"/>
        <color rgb="FFFFB628"/>
      </dataBar>
      <extLst>
        <ext xmlns:x14="http://schemas.microsoft.com/office/spreadsheetml/2009/9/main" uri="{B025F937-C7B1-47D3-B67F-A62EFF666E3E}">
          <x14:id>{3234E71D-0B3D-4CF3-9705-459AD1ECE3EA}</x14:id>
        </ext>
      </extLst>
    </cfRule>
  </conditionalFormatting>
  <conditionalFormatting sqref="AC1:AC1048576">
    <cfRule type="dataBar" priority="1">
      <dataBar>
        <cfvo type="min"/>
        <cfvo type="max"/>
        <color rgb="FF63C384"/>
      </dataBar>
      <extLst>
        <ext xmlns:x14="http://schemas.microsoft.com/office/spreadsheetml/2009/9/main" uri="{B025F937-C7B1-47D3-B67F-A62EFF666E3E}">
          <x14:id>{88C84E84-8F90-48DD-AA34-6D895F569B17}</x14:id>
        </ext>
      </extLst>
    </cfRule>
    <cfRule type="colorScale" priority="2">
      <colorScale>
        <cfvo type="min"/>
        <cfvo type="percentile" val="50"/>
        <cfvo type="max"/>
        <color rgb="FFF8696B"/>
        <color rgb="FFFFEB84"/>
        <color rgb="FF63BE7B"/>
      </colorScale>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dataBar" id="{7D4081E4-4A0C-4572-9BF6-E55B66B3210F}">
            <x14:dataBar minLength="0" maxLength="100" border="1" negativeBarBorderColorSameAsPositive="0">
              <x14:cfvo type="autoMin"/>
              <x14:cfvo type="autoMax"/>
              <x14:borderColor rgb="FFFFB628"/>
              <x14:negativeFillColor rgb="FFFF0000"/>
              <x14:negativeBorderColor rgb="FFFF0000"/>
              <x14:axisColor rgb="FF000000"/>
            </x14:dataBar>
          </x14:cfRule>
          <xm:sqref>R1:R3 C3 R195:R1048576</xm:sqref>
        </x14:conditionalFormatting>
        <x14:conditionalFormatting xmlns:xm="http://schemas.microsoft.com/office/excel/2006/main">
          <x14:cfRule type="dataBar" id="{0E16E2DA-E358-4FB8-97F9-89F74D4E641B}">
            <x14:dataBar minLength="0" maxLength="100" border="1" negativeBarBorderColorSameAsPositive="0">
              <x14:cfvo type="autoMin"/>
              <x14:cfvo type="autoMax"/>
              <x14:borderColor rgb="FFFFB628"/>
              <x14:negativeFillColor rgb="FFFF0000"/>
              <x14:negativeBorderColor rgb="FFFF0000"/>
              <x14:axisColor rgb="FF000000"/>
            </x14:dataBar>
          </x14:cfRule>
          <xm:sqref>R1:R3 R195:R1048576</xm:sqref>
        </x14:conditionalFormatting>
        <x14:conditionalFormatting xmlns:xm="http://schemas.microsoft.com/office/excel/2006/main">
          <x14:cfRule type="dataBar" id="{C6EE03FF-7F0C-4B86-B36B-C70B5A160092}">
            <x14:dataBar minLength="0" maxLength="100" border="1" negativeBarBorderColorSameAsPositive="0">
              <x14:cfvo type="autoMin"/>
              <x14:cfvo type="autoMax"/>
              <x14:borderColor rgb="FFFFB628"/>
              <x14:negativeFillColor rgb="FFFF0000"/>
              <x14:negativeBorderColor rgb="FFFF0000"/>
              <x14:axisColor rgb="FF000000"/>
            </x14:dataBar>
          </x14:cfRule>
          <xm:sqref>R3</xm:sqref>
        </x14:conditionalFormatting>
        <x14:conditionalFormatting xmlns:xm="http://schemas.microsoft.com/office/excel/2006/main">
          <x14:cfRule type="dataBar" id="{3234E71D-0B3D-4CF3-9705-459AD1ECE3EA}">
            <x14:dataBar minLength="0" maxLength="100" border="1" negativeBarBorderColorSameAsPositive="0">
              <x14:cfvo type="autoMin"/>
              <x14:cfvo type="autoMax"/>
              <x14:borderColor rgb="FFFFB628"/>
              <x14:negativeFillColor rgb="FFFF0000"/>
              <x14:negativeBorderColor rgb="FFFF0000"/>
              <x14:axisColor rgb="FF000000"/>
            </x14:dataBar>
          </x14:cfRule>
          <xm:sqref>R4:R194</xm:sqref>
        </x14:conditionalFormatting>
        <x14:conditionalFormatting xmlns:xm="http://schemas.microsoft.com/office/excel/2006/main">
          <x14:cfRule type="dataBar" id="{88C84E84-8F90-48DD-AA34-6D895F569B17}">
            <x14:dataBar minLength="0" maxLength="100" border="1" negativeBarBorderColorSameAsPositive="0">
              <x14:cfvo type="autoMin"/>
              <x14:cfvo type="autoMax"/>
              <x14:borderColor rgb="FF63C384"/>
              <x14:negativeFillColor rgb="FFFF0000"/>
              <x14:negativeBorderColor rgb="FFFF0000"/>
              <x14:axisColor rgb="FF000000"/>
            </x14:dataBar>
          </x14:cfRule>
          <xm:sqref>AC1:AC1048576</xm:sqref>
        </x14:conditionalFormatting>
      </x14:conditionalFormatting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F8327-B55C-4F94-AE45-FD2C1F6AAE83}">
  <dimension ref="B2:M54"/>
  <sheetViews>
    <sheetView zoomScaleNormal="100" workbookViewId="0">
      <selection activeCell="E42" sqref="E42"/>
    </sheetView>
  </sheetViews>
  <sheetFormatPr defaultRowHeight="13.2" x14ac:dyDescent="0.25"/>
  <cols>
    <col min="2" max="2" width="7.5546875" bestFit="1" customWidth="1"/>
    <col min="4" max="4" width="14.21875" bestFit="1" customWidth="1"/>
    <col min="5" max="5" width="19.5546875" bestFit="1" customWidth="1"/>
    <col min="6" max="6" width="15.21875" style="18" bestFit="1" customWidth="1"/>
    <col min="7" max="7" width="36.77734375" bestFit="1" customWidth="1"/>
    <col min="8" max="8" width="14" bestFit="1" customWidth="1"/>
    <col min="10" max="10" width="12.21875" bestFit="1" customWidth="1"/>
    <col min="11" max="11" width="13.109375" bestFit="1" customWidth="1"/>
    <col min="12" max="12" width="11.6640625" bestFit="1" customWidth="1"/>
    <col min="13" max="13" width="10.44140625" bestFit="1" customWidth="1"/>
  </cols>
  <sheetData>
    <row r="2" spans="2:11" x14ac:dyDescent="0.25">
      <c r="B2" s="38" t="s">
        <v>3</v>
      </c>
      <c r="C2" s="38" t="s">
        <v>17</v>
      </c>
      <c r="D2" s="38" t="s">
        <v>285</v>
      </c>
      <c r="E2" s="38" t="s">
        <v>6</v>
      </c>
      <c r="F2" s="65" t="s">
        <v>286</v>
      </c>
      <c r="G2" s="38" t="s">
        <v>13</v>
      </c>
      <c r="H2" s="38" t="s">
        <v>1</v>
      </c>
      <c r="I2" s="38" t="s">
        <v>287</v>
      </c>
      <c r="J2" s="38" t="s">
        <v>288</v>
      </c>
      <c r="K2" s="38" t="s">
        <v>289</v>
      </c>
    </row>
    <row r="3" spans="2:11" x14ac:dyDescent="0.25">
      <c r="B3" s="5">
        <v>2026</v>
      </c>
      <c r="C3" s="34" t="s">
        <v>33</v>
      </c>
      <c r="D3" s="34"/>
      <c r="E3" s="5" t="s">
        <v>290</v>
      </c>
      <c r="F3" s="17"/>
      <c r="G3" s="34" t="s">
        <v>291</v>
      </c>
      <c r="H3" s="5"/>
      <c r="I3" s="5"/>
      <c r="J3" s="7"/>
      <c r="K3" s="7">
        <f t="shared" ref="K3:K9" si="0">I3*J3</f>
        <v>0</v>
      </c>
    </row>
    <row r="4" spans="2:11" x14ac:dyDescent="0.25">
      <c r="B4" s="5">
        <v>2026</v>
      </c>
      <c r="C4" s="34" t="s">
        <v>42</v>
      </c>
      <c r="D4" s="34"/>
      <c r="E4" s="5" t="s">
        <v>290</v>
      </c>
      <c r="F4" s="17"/>
      <c r="G4" s="43" t="s">
        <v>217</v>
      </c>
      <c r="H4" s="5"/>
      <c r="I4" s="5"/>
      <c r="J4" s="7"/>
      <c r="K4" s="7">
        <f t="shared" si="0"/>
        <v>0</v>
      </c>
    </row>
    <row r="5" spans="2:11" x14ac:dyDescent="0.25">
      <c r="B5" s="5">
        <v>2026</v>
      </c>
      <c r="C5" s="34" t="s">
        <v>36</v>
      </c>
      <c r="D5" s="34"/>
      <c r="E5" s="5" t="s">
        <v>290</v>
      </c>
      <c r="F5" s="17"/>
      <c r="G5" s="43" t="s">
        <v>292</v>
      </c>
      <c r="H5" s="5"/>
      <c r="I5" s="5"/>
      <c r="J5" s="7"/>
      <c r="K5" s="7">
        <v>0</v>
      </c>
    </row>
    <row r="6" spans="2:11" x14ac:dyDescent="0.25">
      <c r="B6" s="5">
        <v>2026</v>
      </c>
      <c r="C6" s="34" t="s">
        <v>36</v>
      </c>
      <c r="D6" s="34"/>
      <c r="E6" s="34" t="s">
        <v>293</v>
      </c>
      <c r="F6" s="17" t="s">
        <v>294</v>
      </c>
      <c r="G6" s="34" t="s">
        <v>295</v>
      </c>
      <c r="H6" s="34"/>
      <c r="I6" s="5">
        <v>6</v>
      </c>
      <c r="J6" s="7">
        <v>100</v>
      </c>
      <c r="K6" s="7">
        <f t="shared" si="0"/>
        <v>600</v>
      </c>
    </row>
    <row r="7" spans="2:11" x14ac:dyDescent="0.25">
      <c r="B7" s="5">
        <v>2026</v>
      </c>
      <c r="C7" s="34" t="s">
        <v>36</v>
      </c>
      <c r="D7" s="34"/>
      <c r="E7" s="34" t="s">
        <v>296</v>
      </c>
      <c r="F7" s="17" t="s">
        <v>294</v>
      </c>
      <c r="G7" s="34" t="s">
        <v>297</v>
      </c>
      <c r="H7" s="34"/>
      <c r="I7" s="5">
        <v>10</v>
      </c>
      <c r="J7" s="7">
        <v>40</v>
      </c>
      <c r="K7" s="7">
        <f t="shared" si="0"/>
        <v>400</v>
      </c>
    </row>
    <row r="8" spans="2:11" x14ac:dyDescent="0.25">
      <c r="B8" s="5">
        <v>2026</v>
      </c>
      <c r="C8" s="34" t="s">
        <v>36</v>
      </c>
      <c r="D8" s="34"/>
      <c r="E8" s="5" t="s">
        <v>298</v>
      </c>
      <c r="F8" s="17" t="s">
        <v>294</v>
      </c>
      <c r="G8" s="34" t="s">
        <v>299</v>
      </c>
      <c r="H8" s="34" t="s">
        <v>300</v>
      </c>
      <c r="I8" s="5">
        <v>3</v>
      </c>
      <c r="J8" s="7">
        <v>850</v>
      </c>
      <c r="K8" s="7">
        <f t="shared" ref="K8" si="1">I8*J8</f>
        <v>2550</v>
      </c>
    </row>
    <row r="9" spans="2:11" x14ac:dyDescent="0.25">
      <c r="B9" s="5">
        <v>2026</v>
      </c>
      <c r="C9" s="34" t="s">
        <v>36</v>
      </c>
      <c r="D9" s="34"/>
      <c r="E9" s="5" t="s">
        <v>298</v>
      </c>
      <c r="F9" s="17" t="s">
        <v>294</v>
      </c>
      <c r="G9" s="34" t="s">
        <v>299</v>
      </c>
      <c r="H9" s="34" t="s">
        <v>300</v>
      </c>
      <c r="I9" s="5">
        <v>15</v>
      </c>
      <c r="J9" s="7">
        <v>850</v>
      </c>
      <c r="K9" s="7">
        <f t="shared" si="0"/>
        <v>12750</v>
      </c>
    </row>
    <row r="10" spans="2:11" x14ac:dyDescent="0.25">
      <c r="B10" s="5">
        <v>2026</v>
      </c>
      <c r="C10" s="34" t="s">
        <v>36</v>
      </c>
      <c r="D10" s="34"/>
      <c r="E10" s="5" t="s">
        <v>298</v>
      </c>
      <c r="F10" s="17" t="s">
        <v>294</v>
      </c>
      <c r="G10" s="34" t="s">
        <v>301</v>
      </c>
      <c r="H10" s="5"/>
      <c r="I10" s="5">
        <v>150</v>
      </c>
      <c r="J10" s="7">
        <v>65</v>
      </c>
      <c r="K10" s="7">
        <f>I10*J10</f>
        <v>9750</v>
      </c>
    </row>
    <row r="11" spans="2:11" ht="26.4" x14ac:dyDescent="0.25">
      <c r="B11" s="5">
        <v>2026</v>
      </c>
      <c r="C11" s="34" t="s">
        <v>36</v>
      </c>
      <c r="D11" s="34"/>
      <c r="E11" s="5" t="s">
        <v>298</v>
      </c>
      <c r="F11" s="43" t="s">
        <v>302</v>
      </c>
      <c r="G11" s="34" t="s">
        <v>303</v>
      </c>
      <c r="H11" s="5" t="s">
        <v>304</v>
      </c>
      <c r="I11" s="5">
        <v>15</v>
      </c>
      <c r="J11" s="7">
        <v>200</v>
      </c>
      <c r="K11" s="7">
        <f>I11*J11</f>
        <v>3000</v>
      </c>
    </row>
    <row r="12" spans="2:11" ht="26.4" x14ac:dyDescent="0.25">
      <c r="B12" s="5">
        <v>2026</v>
      </c>
      <c r="C12" s="34" t="s">
        <v>38</v>
      </c>
      <c r="D12" s="34"/>
      <c r="E12" s="5" t="s">
        <v>293</v>
      </c>
      <c r="F12" s="17" t="s">
        <v>302</v>
      </c>
      <c r="G12" s="34" t="s">
        <v>305</v>
      </c>
      <c r="H12" s="5"/>
      <c r="I12" s="5">
        <v>1</v>
      </c>
      <c r="J12" s="29">
        <v>500</v>
      </c>
      <c r="K12" s="29">
        <f>I12*J12</f>
        <v>500</v>
      </c>
    </row>
    <row r="13" spans="2:11" x14ac:dyDescent="0.25">
      <c r="B13" s="5">
        <v>2026</v>
      </c>
      <c r="C13" s="5" t="s">
        <v>38</v>
      </c>
      <c r="D13" s="5"/>
      <c r="E13" s="5" t="s">
        <v>293</v>
      </c>
      <c r="F13" s="17" t="s">
        <v>294</v>
      </c>
      <c r="G13" s="34" t="s">
        <v>306</v>
      </c>
      <c r="H13" s="5"/>
      <c r="I13" s="5">
        <v>15</v>
      </c>
      <c r="J13" s="7">
        <v>15</v>
      </c>
      <c r="K13" s="7">
        <f>I13*J13</f>
        <v>225</v>
      </c>
    </row>
    <row r="14" spans="2:11" x14ac:dyDescent="0.25">
      <c r="B14" s="5">
        <v>2026</v>
      </c>
      <c r="C14" s="5" t="s">
        <v>40</v>
      </c>
      <c r="D14" s="5"/>
      <c r="E14" s="5" t="s">
        <v>298</v>
      </c>
      <c r="F14" s="17" t="s">
        <v>307</v>
      </c>
      <c r="G14" s="5" t="s">
        <v>308</v>
      </c>
      <c r="H14" s="5"/>
      <c r="I14" s="5">
        <v>8</v>
      </c>
      <c r="J14" s="29">
        <v>225</v>
      </c>
      <c r="K14" s="7">
        <f>I14*J14</f>
        <v>1800</v>
      </c>
    </row>
    <row r="15" spans="2:11" x14ac:dyDescent="0.25">
      <c r="B15" s="5">
        <v>2026</v>
      </c>
      <c r="C15" s="5" t="s">
        <v>38</v>
      </c>
      <c r="D15" s="5"/>
      <c r="E15" s="5" t="s">
        <v>309</v>
      </c>
      <c r="F15" s="17" t="s">
        <v>307</v>
      </c>
      <c r="G15" s="5" t="s">
        <v>307</v>
      </c>
      <c r="H15" s="5"/>
      <c r="I15" s="5">
        <v>1</v>
      </c>
      <c r="J15" s="7">
        <v>350</v>
      </c>
      <c r="K15" s="7">
        <f t="shared" ref="K15:K54" si="2">I15*J15</f>
        <v>350</v>
      </c>
    </row>
    <row r="16" spans="2:11" x14ac:dyDescent="0.25">
      <c r="B16" s="5">
        <v>2026</v>
      </c>
      <c r="C16" s="5" t="s">
        <v>36</v>
      </c>
      <c r="D16" s="5"/>
      <c r="E16" s="5" t="s">
        <v>296</v>
      </c>
      <c r="F16" s="17" t="s">
        <v>294</v>
      </c>
      <c r="G16" s="5" t="s">
        <v>310</v>
      </c>
      <c r="H16" s="5"/>
      <c r="I16" s="5">
        <v>1</v>
      </c>
      <c r="J16" s="7">
        <v>800</v>
      </c>
      <c r="K16" s="7">
        <f t="shared" si="2"/>
        <v>800</v>
      </c>
    </row>
    <row r="17" spans="2:11" x14ac:dyDescent="0.25">
      <c r="B17" s="5">
        <v>2026</v>
      </c>
      <c r="C17" s="5" t="s">
        <v>36</v>
      </c>
      <c r="D17" s="5"/>
      <c r="E17" s="5" t="s">
        <v>311</v>
      </c>
      <c r="F17" s="17" t="s">
        <v>294</v>
      </c>
      <c r="G17" s="5" t="s">
        <v>312</v>
      </c>
      <c r="H17" s="5"/>
      <c r="I17" s="5"/>
      <c r="J17" s="7"/>
      <c r="K17" s="7">
        <f t="shared" si="2"/>
        <v>0</v>
      </c>
    </row>
    <row r="18" spans="2:11" x14ac:dyDescent="0.25">
      <c r="B18" s="5">
        <v>2026</v>
      </c>
      <c r="C18" s="5" t="s">
        <v>36</v>
      </c>
      <c r="D18" s="5"/>
      <c r="E18" s="5" t="s">
        <v>311</v>
      </c>
      <c r="F18" s="17" t="s">
        <v>294</v>
      </c>
      <c r="G18" s="5" t="s">
        <v>313</v>
      </c>
      <c r="H18" s="5"/>
      <c r="I18" s="5"/>
      <c r="J18" s="7"/>
      <c r="K18" s="7">
        <f t="shared" si="2"/>
        <v>0</v>
      </c>
    </row>
    <row r="19" spans="2:11" x14ac:dyDescent="0.25">
      <c r="B19" s="5">
        <v>2026</v>
      </c>
      <c r="C19" s="5" t="s">
        <v>36</v>
      </c>
      <c r="D19" s="5"/>
      <c r="E19" s="5" t="s">
        <v>296</v>
      </c>
      <c r="F19" s="17" t="s">
        <v>294</v>
      </c>
      <c r="G19" s="5" t="s">
        <v>314</v>
      </c>
      <c r="H19" s="5"/>
      <c r="I19" s="5">
        <v>6</v>
      </c>
      <c r="J19" s="29">
        <v>200</v>
      </c>
      <c r="K19" s="7">
        <f t="shared" si="2"/>
        <v>1200</v>
      </c>
    </row>
    <row r="20" spans="2:11" x14ac:dyDescent="0.25">
      <c r="B20" s="5">
        <v>2026</v>
      </c>
      <c r="C20" s="5" t="s">
        <v>38</v>
      </c>
      <c r="D20" s="5"/>
      <c r="E20" s="5" t="s">
        <v>315</v>
      </c>
      <c r="F20" s="17" t="s">
        <v>316</v>
      </c>
      <c r="G20" s="5" t="s">
        <v>317</v>
      </c>
      <c r="H20" s="5"/>
      <c r="I20" s="5">
        <v>4</v>
      </c>
      <c r="J20" s="7">
        <v>125</v>
      </c>
      <c r="K20" s="7">
        <f t="shared" si="2"/>
        <v>500</v>
      </c>
    </row>
    <row r="21" spans="2:11" x14ac:dyDescent="0.25">
      <c r="B21" s="5">
        <v>2026</v>
      </c>
      <c r="C21" s="5" t="s">
        <v>38</v>
      </c>
      <c r="D21" s="5"/>
      <c r="E21" s="5" t="s">
        <v>293</v>
      </c>
      <c r="F21" s="17" t="s">
        <v>318</v>
      </c>
      <c r="G21" s="5" t="s">
        <v>319</v>
      </c>
      <c r="H21" s="5"/>
      <c r="I21" s="5">
        <v>1</v>
      </c>
      <c r="J21" s="7">
        <v>400</v>
      </c>
      <c r="K21" s="7">
        <f t="shared" si="2"/>
        <v>400</v>
      </c>
    </row>
    <row r="22" spans="2:11" x14ac:dyDescent="0.25">
      <c r="B22" s="5">
        <v>2026</v>
      </c>
      <c r="C22" s="5" t="s">
        <v>40</v>
      </c>
      <c r="D22" s="5"/>
      <c r="E22" s="5" t="s">
        <v>320</v>
      </c>
      <c r="F22" s="17" t="s">
        <v>316</v>
      </c>
      <c r="G22" s="5" t="s">
        <v>321</v>
      </c>
      <c r="H22" s="5"/>
      <c r="I22" s="5">
        <v>1</v>
      </c>
      <c r="J22" s="7">
        <v>12000</v>
      </c>
      <c r="K22" s="7">
        <f t="shared" si="2"/>
        <v>12000</v>
      </c>
    </row>
    <row r="23" spans="2:11" ht="26.4" x14ac:dyDescent="0.25">
      <c r="B23" s="5">
        <v>2026</v>
      </c>
      <c r="C23" s="5" t="s">
        <v>40</v>
      </c>
      <c r="D23" s="5"/>
      <c r="E23" s="5" t="s">
        <v>309</v>
      </c>
      <c r="F23" s="17" t="s">
        <v>302</v>
      </c>
      <c r="G23" s="5" t="s">
        <v>322</v>
      </c>
      <c r="H23" s="5"/>
      <c r="I23" s="5">
        <v>1</v>
      </c>
      <c r="J23" s="7">
        <v>750</v>
      </c>
      <c r="K23" s="7">
        <f t="shared" si="2"/>
        <v>750</v>
      </c>
    </row>
    <row r="24" spans="2:11" ht="26.4" x14ac:dyDescent="0.25">
      <c r="B24" s="5">
        <v>2026</v>
      </c>
      <c r="C24" s="5" t="s">
        <v>40</v>
      </c>
      <c r="D24" s="5"/>
      <c r="E24" s="5" t="s">
        <v>309</v>
      </c>
      <c r="F24" s="17" t="s">
        <v>302</v>
      </c>
      <c r="G24" s="5" t="s">
        <v>323</v>
      </c>
      <c r="H24" s="5"/>
      <c r="I24" s="5">
        <v>1</v>
      </c>
      <c r="J24" s="7">
        <v>500</v>
      </c>
      <c r="K24" s="7">
        <f t="shared" si="2"/>
        <v>500</v>
      </c>
    </row>
    <row r="25" spans="2:11" x14ac:dyDescent="0.25">
      <c r="B25" s="5">
        <v>2026</v>
      </c>
      <c r="C25" s="5" t="s">
        <v>40</v>
      </c>
      <c r="D25" s="5"/>
      <c r="E25" s="5" t="s">
        <v>309</v>
      </c>
      <c r="F25" s="17" t="s">
        <v>324</v>
      </c>
      <c r="G25" s="5" t="s">
        <v>325</v>
      </c>
      <c r="H25" s="5"/>
      <c r="I25" s="64" t="s">
        <v>326</v>
      </c>
      <c r="J25" s="92"/>
      <c r="K25" s="92" t="str">
        <f>IFERROR(I25, )</f>
        <v>TBD</v>
      </c>
    </row>
    <row r="26" spans="2:11" ht="26.4" x14ac:dyDescent="0.25">
      <c r="B26" s="5">
        <v>2026</v>
      </c>
      <c r="C26" s="5" t="s">
        <v>40</v>
      </c>
      <c r="D26" s="5"/>
      <c r="E26" s="5" t="s">
        <v>309</v>
      </c>
      <c r="F26" s="17" t="s">
        <v>302</v>
      </c>
      <c r="G26" s="5" t="s">
        <v>327</v>
      </c>
      <c r="H26" s="5"/>
      <c r="I26" s="5">
        <v>4</v>
      </c>
      <c r="J26" s="7">
        <v>300</v>
      </c>
      <c r="K26" s="7">
        <f t="shared" si="2"/>
        <v>1200</v>
      </c>
    </row>
    <row r="27" spans="2:11" ht="26.4" x14ac:dyDescent="0.25">
      <c r="B27" s="5">
        <v>2026</v>
      </c>
      <c r="C27" s="5" t="s">
        <v>40</v>
      </c>
      <c r="D27" s="5"/>
      <c r="E27" s="5" t="s">
        <v>309</v>
      </c>
      <c r="F27" s="17" t="s">
        <v>302</v>
      </c>
      <c r="G27" s="5" t="s">
        <v>328</v>
      </c>
      <c r="H27" s="5"/>
      <c r="I27" s="5">
        <v>850</v>
      </c>
      <c r="J27" s="7">
        <v>5</v>
      </c>
      <c r="K27" s="7">
        <f t="shared" si="2"/>
        <v>4250</v>
      </c>
    </row>
    <row r="28" spans="2:11" x14ac:dyDescent="0.25">
      <c r="B28" s="5">
        <v>2026</v>
      </c>
      <c r="C28" s="5" t="s">
        <v>36</v>
      </c>
      <c r="D28" s="5"/>
      <c r="E28" s="5" t="s">
        <v>329</v>
      </c>
      <c r="F28" s="5" t="s">
        <v>330</v>
      </c>
      <c r="G28" s="5" t="s">
        <v>331</v>
      </c>
      <c r="H28" s="5"/>
      <c r="I28" s="5">
        <v>3</v>
      </c>
      <c r="J28" s="7">
        <v>250</v>
      </c>
      <c r="K28" s="7">
        <f t="shared" si="2"/>
        <v>750</v>
      </c>
    </row>
    <row r="29" spans="2:11" x14ac:dyDescent="0.25">
      <c r="B29" s="5">
        <v>2026</v>
      </c>
      <c r="C29" s="5" t="s">
        <v>36</v>
      </c>
      <c r="D29" s="5"/>
      <c r="E29" s="5" t="s">
        <v>298</v>
      </c>
      <c r="F29" s="5" t="s">
        <v>330</v>
      </c>
      <c r="G29" s="5" t="s">
        <v>332</v>
      </c>
      <c r="H29" s="5"/>
      <c r="I29" s="5">
        <v>1</v>
      </c>
      <c r="J29" s="7">
        <v>1750</v>
      </c>
      <c r="K29" s="7">
        <f t="shared" si="2"/>
        <v>1750</v>
      </c>
    </row>
    <row r="30" spans="2:11" x14ac:dyDescent="0.25">
      <c r="B30" s="5">
        <v>2026</v>
      </c>
      <c r="C30" s="5" t="s">
        <v>36</v>
      </c>
      <c r="D30" s="5"/>
      <c r="E30" s="5" t="s">
        <v>315</v>
      </c>
      <c r="F30" s="5" t="s">
        <v>330</v>
      </c>
      <c r="G30" s="5" t="s">
        <v>333</v>
      </c>
      <c r="H30" s="5"/>
      <c r="I30" s="5">
        <v>1</v>
      </c>
      <c r="J30" s="7">
        <v>250</v>
      </c>
      <c r="K30" s="7">
        <f t="shared" si="2"/>
        <v>250</v>
      </c>
    </row>
    <row r="31" spans="2:11" x14ac:dyDescent="0.25">
      <c r="B31" s="5">
        <v>2026</v>
      </c>
      <c r="C31" s="5" t="s">
        <v>36</v>
      </c>
      <c r="D31" s="5"/>
      <c r="E31" s="5" t="s">
        <v>315</v>
      </c>
      <c r="F31" s="5" t="s">
        <v>330</v>
      </c>
      <c r="G31" s="5" t="s">
        <v>334</v>
      </c>
      <c r="H31" s="5"/>
      <c r="I31" s="5">
        <v>1</v>
      </c>
      <c r="J31" s="7">
        <v>70</v>
      </c>
      <c r="K31" s="7">
        <f t="shared" si="2"/>
        <v>70</v>
      </c>
    </row>
    <row r="32" spans="2:11" x14ac:dyDescent="0.25">
      <c r="B32" s="5">
        <v>2026</v>
      </c>
      <c r="C32" s="5" t="s">
        <v>36</v>
      </c>
      <c r="D32" s="5"/>
      <c r="E32" s="5" t="s">
        <v>296</v>
      </c>
      <c r="F32" s="5" t="s">
        <v>330</v>
      </c>
      <c r="G32" s="5" t="s">
        <v>310</v>
      </c>
      <c r="H32" s="5"/>
      <c r="I32" s="5">
        <v>1</v>
      </c>
      <c r="J32" s="7">
        <v>350</v>
      </c>
      <c r="K32" s="7">
        <f t="shared" si="2"/>
        <v>350</v>
      </c>
    </row>
    <row r="33" spans="2:13" x14ac:dyDescent="0.25">
      <c r="B33" s="5">
        <v>2026</v>
      </c>
      <c r="C33" s="5" t="s">
        <v>36</v>
      </c>
      <c r="D33" s="5"/>
      <c r="E33" s="5" t="s">
        <v>298</v>
      </c>
      <c r="F33" s="5" t="s">
        <v>330</v>
      </c>
      <c r="G33" s="5" t="s">
        <v>335</v>
      </c>
      <c r="H33" s="5"/>
      <c r="I33" s="5">
        <v>1</v>
      </c>
      <c r="J33" s="7">
        <v>500</v>
      </c>
      <c r="K33" s="7">
        <f t="shared" si="2"/>
        <v>500</v>
      </c>
    </row>
    <row r="34" spans="2:13" x14ac:dyDescent="0.25">
      <c r="B34" s="5">
        <v>2026</v>
      </c>
      <c r="C34" s="5" t="s">
        <v>36</v>
      </c>
      <c r="D34" s="5"/>
      <c r="E34" s="5" t="s">
        <v>298</v>
      </c>
      <c r="F34" s="5" t="s">
        <v>330</v>
      </c>
      <c r="G34" s="5" t="s">
        <v>301</v>
      </c>
      <c r="H34" s="5"/>
      <c r="I34" s="5">
        <v>3</v>
      </c>
      <c r="J34" s="7">
        <v>150</v>
      </c>
      <c r="K34" s="7">
        <f t="shared" si="2"/>
        <v>450</v>
      </c>
    </row>
    <row r="35" spans="2:13" x14ac:dyDescent="0.25">
      <c r="B35" s="5">
        <v>2026</v>
      </c>
      <c r="C35" s="5" t="s">
        <v>36</v>
      </c>
      <c r="D35" s="5"/>
      <c r="E35" s="5" t="s">
        <v>329</v>
      </c>
      <c r="F35" s="17" t="s">
        <v>330</v>
      </c>
      <c r="G35" s="5" t="s">
        <v>336</v>
      </c>
      <c r="H35" s="5"/>
      <c r="I35" s="5">
        <v>1</v>
      </c>
      <c r="J35" s="29">
        <v>500</v>
      </c>
      <c r="K35" s="29">
        <f t="shared" si="2"/>
        <v>500</v>
      </c>
    </row>
    <row r="36" spans="2:13" x14ac:dyDescent="0.25">
      <c r="B36" s="5">
        <v>2026</v>
      </c>
      <c r="C36" s="5" t="s">
        <v>36</v>
      </c>
      <c r="D36" s="5"/>
      <c r="E36" s="5" t="s">
        <v>329</v>
      </c>
      <c r="F36" s="17" t="s">
        <v>330</v>
      </c>
      <c r="G36" s="5" t="s">
        <v>337</v>
      </c>
      <c r="H36" s="5"/>
      <c r="I36" s="5">
        <v>1</v>
      </c>
      <c r="J36" s="7">
        <v>100</v>
      </c>
      <c r="K36" s="7">
        <f t="shared" si="2"/>
        <v>100</v>
      </c>
    </row>
    <row r="37" spans="2:13" x14ac:dyDescent="0.25">
      <c r="B37" s="5">
        <v>2026</v>
      </c>
      <c r="C37" s="5" t="s">
        <v>36</v>
      </c>
      <c r="D37" s="5"/>
      <c r="E37" s="5" t="s">
        <v>329</v>
      </c>
      <c r="F37" s="17" t="s">
        <v>330</v>
      </c>
      <c r="G37" s="5" t="s">
        <v>338</v>
      </c>
      <c r="H37" s="5"/>
      <c r="I37" s="5">
        <v>1</v>
      </c>
      <c r="J37" s="7">
        <v>50</v>
      </c>
      <c r="K37" s="7">
        <f t="shared" si="2"/>
        <v>50</v>
      </c>
    </row>
    <row r="38" spans="2:13" x14ac:dyDescent="0.25">
      <c r="B38" s="5">
        <v>2026</v>
      </c>
      <c r="C38" s="5" t="s">
        <v>36</v>
      </c>
      <c r="D38" s="5"/>
      <c r="E38" s="5" t="s">
        <v>339</v>
      </c>
      <c r="F38" s="17" t="s">
        <v>330</v>
      </c>
      <c r="G38" s="5" t="s">
        <v>340</v>
      </c>
      <c r="H38" s="5"/>
      <c r="I38" s="5">
        <v>1</v>
      </c>
      <c r="J38" s="7">
        <v>2000</v>
      </c>
      <c r="K38" s="7">
        <f t="shared" si="2"/>
        <v>2000</v>
      </c>
    </row>
    <row r="39" spans="2:13" x14ac:dyDescent="0.25">
      <c r="B39" s="5">
        <v>2026</v>
      </c>
      <c r="C39" s="5" t="s">
        <v>36</v>
      </c>
      <c r="D39" s="5"/>
      <c r="E39" s="5" t="s">
        <v>339</v>
      </c>
      <c r="F39" s="17" t="s">
        <v>330</v>
      </c>
      <c r="G39" s="5" t="s">
        <v>341</v>
      </c>
      <c r="H39" s="5"/>
      <c r="I39" s="5">
        <v>3</v>
      </c>
      <c r="J39" s="7">
        <v>200</v>
      </c>
      <c r="K39" s="7">
        <f t="shared" si="2"/>
        <v>600</v>
      </c>
    </row>
    <row r="40" spans="2:13" x14ac:dyDescent="0.25">
      <c r="B40" s="5">
        <v>2026</v>
      </c>
      <c r="C40" s="5" t="s">
        <v>36</v>
      </c>
      <c r="D40" s="5"/>
      <c r="E40" s="5" t="s">
        <v>329</v>
      </c>
      <c r="F40" s="17" t="s">
        <v>330</v>
      </c>
      <c r="G40" s="5" t="s">
        <v>342</v>
      </c>
      <c r="H40" s="5"/>
      <c r="I40" s="5">
        <v>1</v>
      </c>
      <c r="J40" s="7">
        <v>300</v>
      </c>
      <c r="K40" s="7">
        <f t="shared" si="2"/>
        <v>300</v>
      </c>
      <c r="M40" s="1"/>
    </row>
    <row r="41" spans="2:13" x14ac:dyDescent="0.25">
      <c r="B41" s="5">
        <v>2026</v>
      </c>
      <c r="C41" s="5" t="s">
        <v>36</v>
      </c>
      <c r="D41" s="5"/>
      <c r="E41" s="5" t="s">
        <v>329</v>
      </c>
      <c r="F41" s="17" t="s">
        <v>294</v>
      </c>
      <c r="G41" s="5" t="s">
        <v>343</v>
      </c>
      <c r="H41" s="5"/>
      <c r="I41" s="5">
        <v>1</v>
      </c>
      <c r="J41" s="5">
        <v>750</v>
      </c>
      <c r="K41" s="5">
        <f t="shared" si="2"/>
        <v>750</v>
      </c>
    </row>
    <row r="42" spans="2:13" x14ac:dyDescent="0.25">
      <c r="B42" s="5">
        <v>2026</v>
      </c>
      <c r="C42" s="5" t="s">
        <v>36</v>
      </c>
      <c r="D42" s="5"/>
      <c r="E42" s="5" t="s">
        <v>329</v>
      </c>
      <c r="F42" s="17" t="s">
        <v>294</v>
      </c>
      <c r="G42" s="5" t="s">
        <v>340</v>
      </c>
      <c r="H42" s="5"/>
      <c r="I42" s="5">
        <v>1</v>
      </c>
      <c r="J42" s="7">
        <v>1500</v>
      </c>
      <c r="K42" s="7">
        <f t="shared" si="2"/>
        <v>1500</v>
      </c>
    </row>
    <row r="43" spans="2:13" x14ac:dyDescent="0.25">
      <c r="B43" s="5">
        <v>2026</v>
      </c>
      <c r="C43" s="5" t="s">
        <v>36</v>
      </c>
      <c r="D43" s="5"/>
      <c r="E43" s="5" t="s">
        <v>344</v>
      </c>
      <c r="F43" s="17" t="s">
        <v>345</v>
      </c>
      <c r="G43" s="5" t="s">
        <v>346</v>
      </c>
      <c r="H43" s="5"/>
      <c r="I43" s="5"/>
      <c r="J43" s="5"/>
      <c r="K43" s="7">
        <f t="shared" si="2"/>
        <v>0</v>
      </c>
    </row>
    <row r="44" spans="2:13" x14ac:dyDescent="0.25">
      <c r="B44" s="5">
        <v>2026</v>
      </c>
      <c r="C44" s="5" t="s">
        <v>36</v>
      </c>
      <c r="D44" s="5"/>
      <c r="E44" s="5" t="s">
        <v>344</v>
      </c>
      <c r="F44" s="17" t="s">
        <v>345</v>
      </c>
      <c r="G44" s="5" t="s">
        <v>347</v>
      </c>
      <c r="H44" s="5"/>
      <c r="I44" s="5"/>
      <c r="J44" s="5"/>
      <c r="K44" s="7">
        <f t="shared" si="2"/>
        <v>0</v>
      </c>
    </row>
    <row r="45" spans="2:13" x14ac:dyDescent="0.25">
      <c r="B45" s="5">
        <v>2026</v>
      </c>
      <c r="C45" s="5" t="s">
        <v>36</v>
      </c>
      <c r="D45" s="5"/>
      <c r="E45" s="5" t="s">
        <v>344</v>
      </c>
      <c r="F45" s="17" t="s">
        <v>345</v>
      </c>
      <c r="G45" s="5" t="s">
        <v>348</v>
      </c>
      <c r="H45" s="5"/>
      <c r="I45" s="5"/>
      <c r="J45" s="5"/>
      <c r="K45" s="7">
        <f t="shared" si="2"/>
        <v>0</v>
      </c>
    </row>
    <row r="46" spans="2:13" x14ac:dyDescent="0.25">
      <c r="B46" s="5">
        <v>2026</v>
      </c>
      <c r="C46" s="5" t="s">
        <v>40</v>
      </c>
      <c r="D46" s="5"/>
      <c r="E46" s="5" t="s">
        <v>344</v>
      </c>
      <c r="F46" s="17" t="s">
        <v>345</v>
      </c>
      <c r="G46" s="5" t="s">
        <v>349</v>
      </c>
      <c r="H46" s="5"/>
      <c r="I46" s="5"/>
      <c r="J46" s="5"/>
      <c r="K46" s="7">
        <f t="shared" si="2"/>
        <v>0</v>
      </c>
    </row>
    <row r="47" spans="2:13" x14ac:dyDescent="0.25">
      <c r="B47" s="5">
        <v>2026</v>
      </c>
      <c r="C47" s="5" t="s">
        <v>40</v>
      </c>
      <c r="D47" s="5"/>
      <c r="E47" s="5" t="s">
        <v>350</v>
      </c>
      <c r="F47" s="17" t="s">
        <v>345</v>
      </c>
      <c r="G47" s="5" t="s">
        <v>351</v>
      </c>
      <c r="H47" s="5"/>
      <c r="I47" s="5">
        <v>4</v>
      </c>
      <c r="J47" s="7">
        <v>500</v>
      </c>
      <c r="K47" s="7">
        <f t="shared" si="2"/>
        <v>2000</v>
      </c>
    </row>
    <row r="48" spans="2:13" x14ac:dyDescent="0.25">
      <c r="B48" s="5"/>
      <c r="C48" s="5"/>
      <c r="D48" s="5"/>
      <c r="E48" s="5"/>
      <c r="F48" s="17"/>
      <c r="G48" s="5"/>
      <c r="H48" s="5"/>
      <c r="I48" s="5"/>
      <c r="J48" s="5"/>
      <c r="K48" s="7">
        <f t="shared" si="2"/>
        <v>0</v>
      </c>
    </row>
    <row r="49" spans="2:12" x14ac:dyDescent="0.25">
      <c r="B49" s="5"/>
      <c r="C49" s="5"/>
      <c r="D49" s="5"/>
      <c r="E49" s="5"/>
      <c r="F49" s="17"/>
      <c r="G49" s="5"/>
      <c r="H49" s="5"/>
      <c r="I49" s="5"/>
      <c r="J49" s="5"/>
      <c r="K49" s="7">
        <f t="shared" si="2"/>
        <v>0</v>
      </c>
    </row>
    <row r="50" spans="2:12" x14ac:dyDescent="0.25">
      <c r="B50" s="5"/>
      <c r="C50" s="5"/>
      <c r="D50" s="5"/>
      <c r="E50" s="5"/>
      <c r="F50" s="17"/>
      <c r="G50" s="5"/>
      <c r="H50" s="5"/>
      <c r="I50" s="5"/>
      <c r="J50" s="5"/>
      <c r="K50" s="7">
        <f t="shared" si="2"/>
        <v>0</v>
      </c>
    </row>
    <row r="51" spans="2:12" x14ac:dyDescent="0.25">
      <c r="B51" s="5"/>
      <c r="C51" s="5"/>
      <c r="D51" s="5"/>
      <c r="E51" s="5"/>
      <c r="F51" s="17"/>
      <c r="G51" s="5"/>
      <c r="H51" s="5"/>
      <c r="I51" s="5"/>
      <c r="J51" s="5"/>
      <c r="K51" s="7">
        <f t="shared" si="2"/>
        <v>0</v>
      </c>
    </row>
    <row r="52" spans="2:12" x14ac:dyDescent="0.25">
      <c r="B52" s="5"/>
      <c r="C52" s="5"/>
      <c r="D52" s="5"/>
      <c r="E52" s="5"/>
      <c r="F52" s="17"/>
      <c r="G52" s="5"/>
      <c r="H52" s="5"/>
      <c r="I52" s="5"/>
      <c r="J52" s="5"/>
      <c r="K52" s="7">
        <f t="shared" si="2"/>
        <v>0</v>
      </c>
    </row>
    <row r="53" spans="2:12" x14ac:dyDescent="0.25">
      <c r="B53" s="5">
        <v>2027</v>
      </c>
      <c r="C53" s="5" t="s">
        <v>38</v>
      </c>
      <c r="D53" s="5"/>
      <c r="E53" s="5" t="s">
        <v>352</v>
      </c>
      <c r="F53" s="17" t="s">
        <v>353</v>
      </c>
      <c r="G53" s="17" t="s">
        <v>354</v>
      </c>
      <c r="H53" s="5"/>
      <c r="I53" s="5">
        <v>1</v>
      </c>
      <c r="J53" s="29">
        <v>5000</v>
      </c>
      <c r="K53" s="7">
        <f t="shared" si="2"/>
        <v>5000</v>
      </c>
    </row>
    <row r="54" spans="2:12" x14ac:dyDescent="0.25">
      <c r="B54" s="5">
        <v>2027</v>
      </c>
      <c r="C54" s="5"/>
      <c r="D54" s="5"/>
      <c r="E54" s="5" t="s">
        <v>355</v>
      </c>
      <c r="F54" s="17"/>
      <c r="G54" s="5"/>
      <c r="H54" s="5"/>
      <c r="I54" s="5"/>
      <c r="J54" s="7"/>
      <c r="K54" s="7">
        <f t="shared" si="2"/>
        <v>0</v>
      </c>
      <c r="L54" s="93">
        <f>SUM(K3:K51)</f>
        <v>65445</v>
      </c>
    </row>
  </sheetData>
  <autoFilter ref="B2:K25" xr:uid="{0B4F8327-B55C-4F94-AE45-FD2C1F6AAE83}"/>
  <phoneticPr fontId="9" type="noConversion"/>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72E7D4-8758-47ED-B442-151AE838EDFE}">
  <dimension ref="B1:J38"/>
  <sheetViews>
    <sheetView zoomScale="85" workbookViewId="0">
      <pane ySplit="2" topLeftCell="A3" activePane="bottomLeft" state="frozen"/>
      <selection pane="bottomLeft" activeCell="G49" sqref="G49"/>
    </sheetView>
  </sheetViews>
  <sheetFormatPr defaultRowHeight="13.2" x14ac:dyDescent="0.25"/>
  <cols>
    <col min="2" max="2" width="16.109375" customWidth="1"/>
    <col min="3" max="3" width="19.77734375" bestFit="1" customWidth="1"/>
    <col min="4" max="10" width="15.6640625" customWidth="1"/>
    <col min="11" max="11" width="9.44140625" bestFit="1" customWidth="1"/>
    <col min="12" max="12" width="5.44140625" bestFit="1" customWidth="1"/>
    <col min="13" max="13" width="9.44140625" bestFit="1" customWidth="1"/>
    <col min="14" max="14" width="5.44140625" bestFit="1" customWidth="1"/>
    <col min="15" max="15" width="9.44140625" bestFit="1" customWidth="1"/>
    <col min="16" max="16" width="5.44140625" bestFit="1" customWidth="1"/>
    <col min="17" max="17" width="9.6640625" bestFit="1" customWidth="1"/>
    <col min="18" max="18" width="5.44140625" bestFit="1" customWidth="1"/>
    <col min="19" max="19" width="9.44140625" bestFit="1" customWidth="1"/>
    <col min="20" max="20" width="5.44140625" bestFit="1" customWidth="1"/>
    <col min="21" max="21" width="9.44140625" bestFit="1" customWidth="1"/>
    <col min="22" max="22" width="5.44140625" bestFit="1" customWidth="1"/>
    <col min="23" max="23" width="9.44140625" bestFit="1" customWidth="1"/>
    <col min="24" max="24" width="5.44140625" bestFit="1" customWidth="1"/>
  </cols>
  <sheetData>
    <row r="1" spans="2:10" x14ac:dyDescent="0.25">
      <c r="D1" s="34" t="s">
        <v>356</v>
      </c>
      <c r="E1" s="351" t="s">
        <v>357</v>
      </c>
      <c r="F1" s="351"/>
      <c r="G1" s="351" t="s">
        <v>358</v>
      </c>
      <c r="H1" s="352"/>
      <c r="I1" s="351" t="s">
        <v>359</v>
      </c>
      <c r="J1" s="352"/>
    </row>
    <row r="2" spans="2:10" s="18" customFormat="1" ht="26.4" x14ac:dyDescent="0.25">
      <c r="C2" s="65" t="s">
        <v>360</v>
      </c>
      <c r="D2" s="65" t="s">
        <v>361</v>
      </c>
      <c r="E2" s="65" t="s">
        <v>362</v>
      </c>
      <c r="F2" s="65" t="s">
        <v>363</v>
      </c>
      <c r="G2" s="65" t="s">
        <v>364</v>
      </c>
      <c r="H2" s="65" t="s">
        <v>365</v>
      </c>
      <c r="I2" s="65" t="s">
        <v>366</v>
      </c>
      <c r="J2" s="65" t="s">
        <v>367</v>
      </c>
    </row>
    <row r="3" spans="2:10" x14ac:dyDescent="0.25">
      <c r="B3" s="89" t="s">
        <v>31</v>
      </c>
      <c r="C3" s="91"/>
      <c r="D3" s="91"/>
      <c r="E3" s="91"/>
      <c r="F3" s="91"/>
      <c r="G3" s="91"/>
      <c r="H3" s="91"/>
      <c r="I3" s="91"/>
      <c r="J3" s="91"/>
    </row>
    <row r="4" spans="2:10" x14ac:dyDescent="0.25">
      <c r="B4" s="90" t="s">
        <v>368</v>
      </c>
      <c r="C4" s="144" t="s">
        <v>369</v>
      </c>
      <c r="D4" s="145"/>
      <c r="E4" s="145"/>
      <c r="F4" s="145"/>
      <c r="G4" s="145"/>
      <c r="H4" s="145"/>
      <c r="I4" s="145"/>
      <c r="J4" s="145"/>
    </row>
    <row r="5" spans="2:10" x14ac:dyDescent="0.25">
      <c r="B5" s="90" t="s">
        <v>370</v>
      </c>
      <c r="C5" s="144" t="s">
        <v>369</v>
      </c>
      <c r="D5" s="145"/>
      <c r="E5" s="145"/>
      <c r="F5" s="145"/>
      <c r="G5" s="145"/>
      <c r="H5" s="145"/>
      <c r="I5" s="145"/>
      <c r="J5" s="145"/>
    </row>
    <row r="6" spans="2:10" x14ac:dyDescent="0.25">
      <c r="B6" s="89" t="s">
        <v>33</v>
      </c>
      <c r="C6" s="91"/>
      <c r="D6" s="91"/>
      <c r="E6" s="91"/>
      <c r="F6" s="91"/>
      <c r="G6" s="91"/>
      <c r="H6" s="91"/>
      <c r="I6" s="91"/>
      <c r="J6" s="91"/>
    </row>
    <row r="7" spans="2:10" x14ac:dyDescent="0.25">
      <c r="B7" s="90" t="s">
        <v>368</v>
      </c>
      <c r="C7" s="144" t="s">
        <v>369</v>
      </c>
      <c r="D7" s="145"/>
      <c r="E7" s="145"/>
      <c r="F7" s="145"/>
      <c r="G7" s="145"/>
      <c r="H7" s="145"/>
      <c r="I7" s="145"/>
      <c r="J7" s="145"/>
    </row>
    <row r="8" spans="2:10" x14ac:dyDescent="0.25">
      <c r="B8" s="90" t="s">
        <v>370</v>
      </c>
      <c r="C8" s="144" t="s">
        <v>369</v>
      </c>
      <c r="D8" s="145"/>
      <c r="E8" s="145"/>
      <c r="F8" s="145"/>
      <c r="G8" s="145"/>
      <c r="H8" s="145"/>
      <c r="I8" s="145"/>
      <c r="J8" s="145"/>
    </row>
    <row r="9" spans="2:10" x14ac:dyDescent="0.25">
      <c r="B9" s="89" t="s">
        <v>36</v>
      </c>
      <c r="C9" s="91"/>
      <c r="D9" s="91"/>
      <c r="E9" s="91"/>
      <c r="F9" s="91"/>
      <c r="G9" s="91"/>
      <c r="H9" s="91"/>
      <c r="I9" s="91"/>
      <c r="J9" s="91"/>
    </row>
    <row r="10" spans="2:10" x14ac:dyDescent="0.25">
      <c r="B10" s="90" t="s">
        <v>368</v>
      </c>
      <c r="C10" s="144" t="s">
        <v>369</v>
      </c>
      <c r="D10" s="145"/>
      <c r="E10" s="145"/>
      <c r="F10" s="145"/>
      <c r="G10" s="145"/>
      <c r="H10" s="145"/>
      <c r="I10" s="145"/>
      <c r="J10" s="145"/>
    </row>
    <row r="11" spans="2:10" x14ac:dyDescent="0.25">
      <c r="B11" s="90" t="s">
        <v>370</v>
      </c>
      <c r="C11" s="144" t="s">
        <v>369</v>
      </c>
      <c r="D11" s="145"/>
      <c r="E11" s="145"/>
      <c r="F11" s="145"/>
      <c r="G11" s="145"/>
      <c r="H11" s="145"/>
      <c r="I11" s="145"/>
      <c r="J11" s="145"/>
    </row>
    <row r="12" spans="2:10" x14ac:dyDescent="0.25">
      <c r="B12" s="89" t="s">
        <v>38</v>
      </c>
      <c r="C12" s="91"/>
      <c r="D12" s="91"/>
      <c r="E12" s="91"/>
      <c r="F12" s="91"/>
      <c r="G12" s="91"/>
      <c r="H12" s="91"/>
      <c r="I12" s="91"/>
      <c r="J12" s="91"/>
    </row>
    <row r="13" spans="2:10" x14ac:dyDescent="0.25">
      <c r="B13" s="90" t="s">
        <v>368</v>
      </c>
      <c r="C13" s="144" t="s">
        <v>369</v>
      </c>
      <c r="D13" s="145"/>
      <c r="E13" s="145"/>
      <c r="F13" s="145"/>
      <c r="G13" s="145"/>
      <c r="H13" s="145"/>
      <c r="I13" s="145"/>
      <c r="J13" s="145"/>
    </row>
    <row r="14" spans="2:10" x14ac:dyDescent="0.25">
      <c r="B14" s="90" t="s">
        <v>370</v>
      </c>
      <c r="C14" s="144" t="s">
        <v>369</v>
      </c>
      <c r="D14" s="145"/>
      <c r="E14" s="145"/>
      <c r="F14" s="145"/>
      <c r="G14" s="145"/>
      <c r="H14" s="145"/>
      <c r="I14" s="145"/>
      <c r="J14" s="145"/>
    </row>
    <row r="15" spans="2:10" x14ac:dyDescent="0.25">
      <c r="B15" s="89" t="s">
        <v>40</v>
      </c>
      <c r="C15" s="91"/>
      <c r="D15" s="91"/>
      <c r="E15" s="91"/>
      <c r="F15" s="91"/>
      <c r="G15" s="91"/>
      <c r="H15" s="91"/>
      <c r="I15" s="91"/>
      <c r="J15" s="91"/>
    </row>
    <row r="16" spans="2:10" x14ac:dyDescent="0.25">
      <c r="B16" s="90" t="s">
        <v>368</v>
      </c>
      <c r="C16" s="145"/>
      <c r="D16" s="144" t="s">
        <v>369</v>
      </c>
      <c r="E16" s="145"/>
      <c r="F16" s="145"/>
      <c r="G16" s="145"/>
      <c r="H16" s="145"/>
      <c r="I16" s="145"/>
      <c r="J16" s="145"/>
    </row>
    <row r="17" spans="2:10" x14ac:dyDescent="0.25">
      <c r="B17" s="90" t="s">
        <v>370</v>
      </c>
      <c r="C17" s="144" t="s">
        <v>369</v>
      </c>
      <c r="D17" s="145"/>
      <c r="E17" s="145"/>
      <c r="F17" s="145"/>
      <c r="G17" s="145"/>
      <c r="H17" s="145"/>
      <c r="I17" s="145"/>
      <c r="J17" s="145"/>
    </row>
    <row r="18" spans="2:10" x14ac:dyDescent="0.25">
      <c r="B18" s="89" t="s">
        <v>42</v>
      </c>
      <c r="C18" s="91"/>
      <c r="D18" s="91"/>
      <c r="E18" s="91"/>
      <c r="F18" s="91"/>
      <c r="G18" s="91"/>
      <c r="H18" s="91"/>
      <c r="I18" s="91"/>
      <c r="J18" s="91"/>
    </row>
    <row r="19" spans="2:10" x14ac:dyDescent="0.25">
      <c r="B19" s="90" t="s">
        <v>368</v>
      </c>
      <c r="C19" s="145"/>
      <c r="D19" s="144" t="s">
        <v>369</v>
      </c>
      <c r="E19" s="145"/>
      <c r="F19" s="145"/>
      <c r="G19" s="145"/>
      <c r="H19" s="145"/>
      <c r="I19" s="145"/>
      <c r="J19" s="145"/>
    </row>
    <row r="20" spans="2:10" x14ac:dyDescent="0.25">
      <c r="B20" s="90" t="s">
        <v>370</v>
      </c>
      <c r="C20" s="144" t="s">
        <v>369</v>
      </c>
      <c r="D20" s="145"/>
      <c r="E20" s="145"/>
      <c r="F20" s="145"/>
      <c r="G20" s="145"/>
      <c r="H20" s="145"/>
      <c r="I20" s="145"/>
      <c r="J20" s="145"/>
    </row>
    <row r="21" spans="2:10" x14ac:dyDescent="0.25">
      <c r="B21" s="89" t="s">
        <v>44</v>
      </c>
      <c r="C21" s="91"/>
      <c r="D21" s="91"/>
      <c r="E21" s="91"/>
      <c r="F21" s="91"/>
      <c r="G21" s="91"/>
      <c r="H21" s="91"/>
      <c r="I21" s="91"/>
      <c r="J21" s="91"/>
    </row>
    <row r="22" spans="2:10" x14ac:dyDescent="0.25">
      <c r="B22" s="90" t="s">
        <v>368</v>
      </c>
      <c r="C22" s="145"/>
      <c r="D22" s="144" t="s">
        <v>369</v>
      </c>
      <c r="E22" s="145"/>
      <c r="F22" s="145"/>
      <c r="G22" s="145"/>
      <c r="H22" s="145"/>
      <c r="I22" s="145"/>
      <c r="J22" s="145"/>
    </row>
    <row r="23" spans="2:10" x14ac:dyDescent="0.25">
      <c r="B23" s="90" t="s">
        <v>370</v>
      </c>
      <c r="C23" s="144" t="s">
        <v>369</v>
      </c>
      <c r="D23" s="145"/>
      <c r="E23" s="144" t="s">
        <v>369</v>
      </c>
      <c r="F23" s="145"/>
      <c r="G23" s="145"/>
      <c r="H23" s="145"/>
      <c r="I23" s="145"/>
      <c r="J23" s="145"/>
    </row>
    <row r="24" spans="2:10" x14ac:dyDescent="0.25">
      <c r="B24" s="89" t="s">
        <v>47</v>
      </c>
      <c r="C24" s="91"/>
      <c r="D24" s="91"/>
      <c r="E24" s="91"/>
      <c r="F24" s="91"/>
      <c r="G24" s="91"/>
      <c r="H24" s="91"/>
      <c r="I24" s="91"/>
      <c r="J24" s="91"/>
    </row>
    <row r="25" spans="2:10" x14ac:dyDescent="0.25">
      <c r="B25" s="90" t="s">
        <v>368</v>
      </c>
      <c r="C25" s="145"/>
      <c r="D25" s="144" t="s">
        <v>369</v>
      </c>
      <c r="E25" s="145"/>
      <c r="F25" s="145"/>
      <c r="G25" s="145"/>
      <c r="H25" s="145"/>
      <c r="I25" s="145"/>
      <c r="J25" s="145"/>
    </row>
    <row r="26" spans="2:10" x14ac:dyDescent="0.25">
      <c r="B26" s="90" t="s">
        <v>370</v>
      </c>
      <c r="C26" s="144" t="s">
        <v>369</v>
      </c>
      <c r="D26" s="145"/>
      <c r="E26" s="145"/>
      <c r="F26" s="144" t="s">
        <v>369</v>
      </c>
      <c r="G26" s="145"/>
      <c r="H26" s="145"/>
      <c r="I26" s="145"/>
      <c r="J26" s="145"/>
    </row>
    <row r="27" spans="2:10" x14ac:dyDescent="0.25">
      <c r="B27" s="89" t="s">
        <v>49</v>
      </c>
      <c r="C27" s="91"/>
      <c r="D27" s="91"/>
      <c r="E27" s="91"/>
      <c r="F27" s="91"/>
      <c r="G27" s="91"/>
      <c r="H27" s="91"/>
      <c r="I27" s="91"/>
      <c r="J27" s="91"/>
    </row>
    <row r="28" spans="2:10" x14ac:dyDescent="0.25">
      <c r="B28" s="90" t="s">
        <v>368</v>
      </c>
      <c r="C28" s="145"/>
      <c r="D28" s="144" t="s">
        <v>369</v>
      </c>
      <c r="E28" s="145"/>
      <c r="F28" s="145"/>
      <c r="G28" s="145"/>
      <c r="H28" s="145"/>
      <c r="I28" s="145"/>
      <c r="J28" s="145"/>
    </row>
    <row r="29" spans="2:10" x14ac:dyDescent="0.25">
      <c r="B29" s="90" t="s">
        <v>370</v>
      </c>
      <c r="C29" s="144" t="s">
        <v>369</v>
      </c>
      <c r="D29" s="145"/>
      <c r="E29" s="145"/>
      <c r="F29" s="145"/>
      <c r="G29" s="144" t="s">
        <v>369</v>
      </c>
      <c r="H29" s="144" t="s">
        <v>369</v>
      </c>
      <c r="I29" s="145"/>
      <c r="J29" s="145"/>
    </row>
    <row r="30" spans="2:10" x14ac:dyDescent="0.25">
      <c r="B30" s="89" t="s">
        <v>51</v>
      </c>
      <c r="C30" s="91"/>
      <c r="D30" s="91"/>
      <c r="E30" s="91"/>
      <c r="F30" s="91"/>
      <c r="G30" s="91"/>
      <c r="H30" s="91"/>
      <c r="I30" s="91"/>
      <c r="J30" s="91"/>
    </row>
    <row r="31" spans="2:10" x14ac:dyDescent="0.25">
      <c r="B31" s="90" t="s">
        <v>368</v>
      </c>
      <c r="C31" s="145"/>
      <c r="D31" s="144" t="s">
        <v>369</v>
      </c>
      <c r="E31" s="145"/>
      <c r="F31" s="145"/>
      <c r="G31" s="145"/>
      <c r="H31" s="145"/>
      <c r="I31" s="145"/>
      <c r="J31" s="145"/>
    </row>
    <row r="32" spans="2:10" x14ac:dyDescent="0.25">
      <c r="B32" s="90" t="s">
        <v>370</v>
      </c>
      <c r="C32" s="144" t="s">
        <v>369</v>
      </c>
      <c r="D32" s="145"/>
      <c r="E32" s="145"/>
      <c r="F32" s="145"/>
      <c r="G32" s="144" t="s">
        <v>369</v>
      </c>
      <c r="H32" s="144" t="s">
        <v>369</v>
      </c>
      <c r="I32" s="145"/>
      <c r="J32" s="145"/>
    </row>
    <row r="33" spans="2:10" x14ac:dyDescent="0.25">
      <c r="B33" s="89" t="s">
        <v>53</v>
      </c>
      <c r="C33" s="91"/>
      <c r="D33" s="91"/>
      <c r="E33" s="91"/>
      <c r="F33" s="91"/>
      <c r="G33" s="91"/>
      <c r="H33" s="91"/>
      <c r="I33" s="91"/>
      <c r="J33" s="91"/>
    </row>
    <row r="34" spans="2:10" x14ac:dyDescent="0.25">
      <c r="B34" s="90" t="s">
        <v>368</v>
      </c>
      <c r="C34" s="144" t="s">
        <v>369</v>
      </c>
      <c r="D34" s="145"/>
      <c r="E34" s="145"/>
      <c r="F34" s="145"/>
      <c r="G34" s="145"/>
      <c r="H34" s="145"/>
      <c r="I34" s="144" t="s">
        <v>369</v>
      </c>
      <c r="J34" s="144" t="s">
        <v>369</v>
      </c>
    </row>
    <row r="35" spans="2:10" x14ac:dyDescent="0.25">
      <c r="B35" s="90" t="s">
        <v>370</v>
      </c>
      <c r="C35" s="144" t="s">
        <v>369</v>
      </c>
      <c r="D35" s="145"/>
      <c r="E35" s="145"/>
      <c r="F35" s="145"/>
      <c r="G35" s="145"/>
      <c r="H35" s="145"/>
      <c r="I35" s="144" t="s">
        <v>369</v>
      </c>
      <c r="J35" s="144" t="s">
        <v>369</v>
      </c>
    </row>
    <row r="36" spans="2:10" x14ac:dyDescent="0.25">
      <c r="B36" s="89" t="s">
        <v>55</v>
      </c>
      <c r="C36" s="91"/>
      <c r="D36" s="91"/>
      <c r="E36" s="91"/>
      <c r="F36" s="91"/>
      <c r="G36" s="91"/>
      <c r="H36" s="91"/>
      <c r="I36" s="91"/>
      <c r="J36" s="91"/>
    </row>
    <row r="37" spans="2:10" x14ac:dyDescent="0.25">
      <c r="B37" s="90" t="s">
        <v>368</v>
      </c>
      <c r="C37" s="144" t="s">
        <v>369</v>
      </c>
      <c r="D37" s="145"/>
      <c r="E37" s="145"/>
      <c r="F37" s="145"/>
      <c r="G37" s="145"/>
      <c r="H37" s="145"/>
      <c r="I37" s="144" t="s">
        <v>369</v>
      </c>
      <c r="J37" s="144" t="s">
        <v>369</v>
      </c>
    </row>
    <row r="38" spans="2:10" x14ac:dyDescent="0.25">
      <c r="B38" s="90" t="s">
        <v>370</v>
      </c>
      <c r="C38" s="144" t="s">
        <v>369</v>
      </c>
      <c r="D38" s="145"/>
      <c r="E38" s="145"/>
      <c r="F38" s="145"/>
      <c r="G38" s="145"/>
      <c r="H38" s="145"/>
      <c r="I38" s="144" t="s">
        <v>369</v>
      </c>
      <c r="J38" s="144" t="s">
        <v>369</v>
      </c>
    </row>
  </sheetData>
  <mergeCells count="3">
    <mergeCell ref="I1:J1"/>
    <mergeCell ref="G1:H1"/>
    <mergeCell ref="E1:F1"/>
  </mergeCells>
  <phoneticPr fontId="9" type="noConversion"/>
  <conditionalFormatting sqref="C4:J38">
    <cfRule type="cellIs" dxfId="0" priority="1" operator="equal">
      <formula>"X"</formula>
    </cfRule>
  </conditionalFormatting>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8AD7E-70E4-48FD-9718-D2648253F808}">
  <dimension ref="B2:N37"/>
  <sheetViews>
    <sheetView workbookViewId="0">
      <selection activeCell="G39" sqref="G39"/>
    </sheetView>
  </sheetViews>
  <sheetFormatPr defaultRowHeight="13.2" x14ac:dyDescent="0.25"/>
  <cols>
    <col min="1" max="1" width="3.109375" customWidth="1"/>
    <col min="2" max="2" width="6" customWidth="1"/>
    <col min="3" max="3" width="5.77734375" bestFit="1" customWidth="1"/>
    <col min="4" max="4" width="5" bestFit="1" customWidth="1"/>
    <col min="5" max="5" width="13.109375" bestFit="1" customWidth="1"/>
    <col min="6" max="6" width="13.6640625" bestFit="1" customWidth="1"/>
    <col min="7" max="7" width="19.44140625" bestFit="1" customWidth="1"/>
    <col min="8" max="8" width="16.44140625" bestFit="1" customWidth="1"/>
    <col min="9" max="9" width="17" bestFit="1" customWidth="1"/>
    <col min="10" max="10" width="22.6640625" bestFit="1" customWidth="1"/>
    <col min="12" max="12" width="33" bestFit="1" customWidth="1"/>
    <col min="13" max="14" width="12.44140625" bestFit="1" customWidth="1"/>
  </cols>
  <sheetData>
    <row r="2" spans="2:14" x14ac:dyDescent="0.25">
      <c r="B2" s="5" t="s">
        <v>2</v>
      </c>
      <c r="C2" s="5"/>
      <c r="D2" s="5" t="s">
        <v>3</v>
      </c>
      <c r="E2" s="34" t="s">
        <v>371</v>
      </c>
      <c r="F2" s="34" t="s">
        <v>372</v>
      </c>
      <c r="G2" s="38" t="s">
        <v>373</v>
      </c>
      <c r="H2" s="34" t="s">
        <v>374</v>
      </c>
      <c r="I2" s="34" t="s">
        <v>375</v>
      </c>
      <c r="J2" s="38" t="s">
        <v>376</v>
      </c>
      <c r="L2" s="34" t="s">
        <v>377</v>
      </c>
      <c r="M2" s="7">
        <v>828000</v>
      </c>
    </row>
    <row r="3" spans="2:14" x14ac:dyDescent="0.25">
      <c r="B3" s="34">
        <v>25</v>
      </c>
      <c r="C3" s="5"/>
      <c r="D3" s="5">
        <v>2023</v>
      </c>
      <c r="E3" s="19">
        <v>118600</v>
      </c>
      <c r="F3" s="7">
        <v>132000</v>
      </c>
      <c r="G3" s="63">
        <f t="shared" ref="G3:G21" si="0">E3+F3</f>
        <v>250600</v>
      </c>
      <c r="H3" s="8">
        <f t="shared" ref="H3:I5" si="1">E3</f>
        <v>118600</v>
      </c>
      <c r="I3" s="8">
        <f t="shared" si="1"/>
        <v>132000</v>
      </c>
      <c r="J3" s="61">
        <f t="shared" ref="J3:J21" si="2">H3+I3</f>
        <v>250600</v>
      </c>
    </row>
    <row r="4" spans="2:14" x14ac:dyDescent="0.25">
      <c r="B4" s="53">
        <v>26</v>
      </c>
      <c r="C4" s="5"/>
      <c r="D4" s="5">
        <v>2024</v>
      </c>
      <c r="E4" s="19">
        <f>E3*(1+0.03)</f>
        <v>122158</v>
      </c>
      <c r="F4" s="7">
        <f>F3*(1+0.03)</f>
        <v>135960</v>
      </c>
      <c r="G4" s="63">
        <f t="shared" si="0"/>
        <v>258118</v>
      </c>
      <c r="H4" s="8">
        <f t="shared" si="1"/>
        <v>122158</v>
      </c>
      <c r="I4" s="8">
        <f t="shared" si="1"/>
        <v>135960</v>
      </c>
      <c r="J4" s="61">
        <f t="shared" si="2"/>
        <v>258118</v>
      </c>
    </row>
    <row r="5" spans="2:14" x14ac:dyDescent="0.25">
      <c r="B5" s="34">
        <v>27</v>
      </c>
      <c r="C5" s="5"/>
      <c r="D5" s="5">
        <v>2025</v>
      </c>
      <c r="E5" s="19">
        <f t="shared" ref="E5:E21" si="3">E4*(1+0.03)</f>
        <v>125822.74</v>
      </c>
      <c r="F5" s="7">
        <f t="shared" ref="F5:F21" si="4">F4*(1+0.03)</f>
        <v>140038.80000000002</v>
      </c>
      <c r="G5" s="63">
        <f t="shared" si="0"/>
        <v>265861.54000000004</v>
      </c>
      <c r="H5" s="8">
        <f t="shared" si="1"/>
        <v>125822.74</v>
      </c>
      <c r="I5" s="8">
        <f t="shared" si="1"/>
        <v>140038.80000000002</v>
      </c>
      <c r="J5" s="61">
        <f t="shared" si="2"/>
        <v>265861.54000000004</v>
      </c>
    </row>
    <row r="6" spans="2:14" x14ac:dyDescent="0.25">
      <c r="B6" s="53">
        <v>28</v>
      </c>
      <c r="C6" s="5"/>
      <c r="D6" s="5">
        <v>2026</v>
      </c>
      <c r="E6" s="19">
        <f t="shared" si="3"/>
        <v>129597.42220000002</v>
      </c>
      <c r="F6" s="7">
        <f t="shared" si="4"/>
        <v>144239.96400000001</v>
      </c>
      <c r="G6" s="63">
        <f t="shared" si="0"/>
        <v>273837.38620000001</v>
      </c>
      <c r="H6" s="8">
        <f>'Wedding Business Cash Flow'!C11</f>
        <v>0</v>
      </c>
      <c r="I6" s="8">
        <f>F6</f>
        <v>144239.96400000001</v>
      </c>
      <c r="J6" s="61">
        <f t="shared" si="2"/>
        <v>144239.96400000001</v>
      </c>
      <c r="L6" s="40" t="s">
        <v>378</v>
      </c>
    </row>
    <row r="7" spans="2:14" x14ac:dyDescent="0.25">
      <c r="B7" s="34">
        <v>29</v>
      </c>
      <c r="C7" s="5"/>
      <c r="D7" s="38">
        <v>2027</v>
      </c>
      <c r="E7" s="19">
        <f t="shared" si="3"/>
        <v>133485.34486600003</v>
      </c>
      <c r="F7" s="7">
        <f t="shared" si="4"/>
        <v>148567.16292</v>
      </c>
      <c r="G7" s="63">
        <f t="shared" si="0"/>
        <v>282052.50778600003</v>
      </c>
      <c r="H7" s="8">
        <f>'Wedding Business Cash Flow'!C12</f>
        <v>86625</v>
      </c>
      <c r="I7" s="8"/>
      <c r="J7" s="61">
        <f t="shared" si="2"/>
        <v>86625</v>
      </c>
      <c r="L7" s="34" t="s">
        <v>379</v>
      </c>
      <c r="M7" s="8" t="e">
        <f>('2024 Budget'!C29+'2024 Budget'!C30)*26</f>
        <v>#REF!</v>
      </c>
      <c r="N7" s="2">
        <v>249000</v>
      </c>
    </row>
    <row r="8" spans="2:14" x14ac:dyDescent="0.25">
      <c r="B8" s="53">
        <v>30</v>
      </c>
      <c r="C8" s="62" t="s">
        <v>380</v>
      </c>
      <c r="D8" s="5">
        <v>2028</v>
      </c>
      <c r="E8" s="19">
        <f t="shared" si="3"/>
        <v>137489.90521198005</v>
      </c>
      <c r="F8" s="7">
        <f t="shared" si="4"/>
        <v>153024.1778076</v>
      </c>
      <c r="G8" s="63">
        <f t="shared" si="0"/>
        <v>290514.08301958005</v>
      </c>
      <c r="H8" s="8">
        <f>'Wedding Business Cash Flow'!C13</f>
        <v>148837.5</v>
      </c>
      <c r="I8" s="8"/>
      <c r="J8" s="61">
        <f t="shared" si="2"/>
        <v>148837.5</v>
      </c>
      <c r="L8" s="34" t="s">
        <v>381</v>
      </c>
      <c r="M8" s="14" t="e">
        <f>#REF!</f>
        <v>#REF!</v>
      </c>
    </row>
    <row r="9" spans="2:14" x14ac:dyDescent="0.25">
      <c r="B9" s="34">
        <v>31</v>
      </c>
      <c r="C9" s="62"/>
      <c r="D9" s="5">
        <v>2029</v>
      </c>
      <c r="E9" s="19">
        <f t="shared" si="3"/>
        <v>141614.60236833946</v>
      </c>
      <c r="F9" s="7">
        <f t="shared" si="4"/>
        <v>157614.90314182802</v>
      </c>
      <c r="G9" s="63">
        <f t="shared" si="0"/>
        <v>299229.50551016745</v>
      </c>
      <c r="H9" s="8">
        <f>'Wedding Business Cash Flow'!C14</f>
        <v>191008.125</v>
      </c>
      <c r="I9" s="8">
        <v>0</v>
      </c>
      <c r="J9" s="61">
        <f t="shared" si="2"/>
        <v>191008.125</v>
      </c>
      <c r="L9" s="34" t="s">
        <v>382</v>
      </c>
      <c r="M9" s="50" t="e">
        <f>M8/M7</f>
        <v>#REF!</v>
      </c>
    </row>
    <row r="10" spans="2:14" x14ac:dyDescent="0.25">
      <c r="B10" s="53">
        <v>32</v>
      </c>
      <c r="C10" s="62" t="s">
        <v>383</v>
      </c>
      <c r="D10" s="5">
        <v>2030</v>
      </c>
      <c r="E10" s="19">
        <f t="shared" si="3"/>
        <v>145863.04043938965</v>
      </c>
      <c r="F10" s="7">
        <f t="shared" si="4"/>
        <v>162343.35023608286</v>
      </c>
      <c r="G10" s="63">
        <f t="shared" si="0"/>
        <v>308206.3906754725</v>
      </c>
      <c r="H10" s="8">
        <f>'Wedding Business Cash Flow'!C15</f>
        <v>200558.53125</v>
      </c>
      <c r="I10" s="8">
        <v>0</v>
      </c>
      <c r="J10" s="61">
        <f t="shared" si="2"/>
        <v>200558.53125</v>
      </c>
    </row>
    <row r="11" spans="2:14" x14ac:dyDescent="0.25">
      <c r="B11" s="34">
        <v>33</v>
      </c>
      <c r="C11" s="5"/>
      <c r="D11" s="5">
        <v>2031</v>
      </c>
      <c r="E11" s="19">
        <f t="shared" si="3"/>
        <v>150238.93165257134</v>
      </c>
      <c r="F11" s="7">
        <f t="shared" si="4"/>
        <v>167213.65074316534</v>
      </c>
      <c r="G11" s="61">
        <f t="shared" si="0"/>
        <v>317452.58239573671</v>
      </c>
      <c r="H11" s="8">
        <f>'Wedding Business Cash Flow'!C16</f>
        <v>210586.45781249998</v>
      </c>
      <c r="I11" s="8">
        <v>0</v>
      </c>
      <c r="J11" s="61">
        <f t="shared" si="2"/>
        <v>210586.45781249998</v>
      </c>
    </row>
    <row r="12" spans="2:14" x14ac:dyDescent="0.25">
      <c r="B12" s="53">
        <v>34</v>
      </c>
      <c r="C12" s="5"/>
      <c r="D12" s="5">
        <v>2032</v>
      </c>
      <c r="E12" s="19">
        <f t="shared" si="3"/>
        <v>154746.09960214849</v>
      </c>
      <c r="F12" s="7">
        <f t="shared" si="4"/>
        <v>172230.06026546031</v>
      </c>
      <c r="G12" s="61">
        <f t="shared" si="0"/>
        <v>326976.1598676088</v>
      </c>
      <c r="H12" s="8">
        <f>'Wedding Business Cash Flow'!C17</f>
        <v>221115.78070312506</v>
      </c>
      <c r="I12" s="8">
        <v>0</v>
      </c>
      <c r="J12" s="61">
        <f t="shared" si="2"/>
        <v>221115.78070312506</v>
      </c>
    </row>
    <row r="13" spans="2:14" x14ac:dyDescent="0.25">
      <c r="B13" s="53">
        <v>35</v>
      </c>
      <c r="C13" s="5"/>
      <c r="D13" s="5">
        <v>2033</v>
      </c>
      <c r="E13" s="19">
        <f t="shared" si="3"/>
        <v>159388.48259021295</v>
      </c>
      <c r="F13" s="7">
        <f t="shared" si="4"/>
        <v>177396.96207342413</v>
      </c>
      <c r="G13" s="61">
        <f t="shared" si="0"/>
        <v>336785.44466363708</v>
      </c>
      <c r="H13" s="8">
        <f>'Wedding Business Cash Flow'!C18</f>
        <v>232171.56973828125</v>
      </c>
      <c r="I13" s="7">
        <v>0</v>
      </c>
      <c r="J13" s="61">
        <f t="shared" si="2"/>
        <v>232171.56973828125</v>
      </c>
    </row>
    <row r="14" spans="2:14" x14ac:dyDescent="0.25">
      <c r="B14" s="53">
        <v>36</v>
      </c>
      <c r="C14" s="5"/>
      <c r="D14" s="5">
        <v>2034</v>
      </c>
      <c r="E14" s="19">
        <f t="shared" si="3"/>
        <v>164170.13706791934</v>
      </c>
      <c r="F14" s="7">
        <f t="shared" si="4"/>
        <v>182718.87093562685</v>
      </c>
      <c r="G14" s="61">
        <f t="shared" si="0"/>
        <v>346889.00800354616</v>
      </c>
      <c r="H14" s="8">
        <f>'Wedding Business Cash Flow'!C19</f>
        <v>243780.14822519536</v>
      </c>
      <c r="I14" s="7">
        <v>0</v>
      </c>
      <c r="J14" s="61">
        <f t="shared" si="2"/>
        <v>243780.14822519536</v>
      </c>
    </row>
    <row r="15" spans="2:14" x14ac:dyDescent="0.25">
      <c r="B15" s="53">
        <v>37</v>
      </c>
      <c r="C15" s="5"/>
      <c r="D15" s="5">
        <v>2035</v>
      </c>
      <c r="E15" s="19">
        <f t="shared" si="3"/>
        <v>169095.24117995691</v>
      </c>
      <c r="F15" s="7">
        <f t="shared" si="4"/>
        <v>188200.43706369566</v>
      </c>
      <c r="G15" s="61">
        <f t="shared" si="0"/>
        <v>357295.67824365257</v>
      </c>
      <c r="H15" s="8">
        <f>'Wedding Business Cash Flow'!C20</f>
        <v>251315.17098851956</v>
      </c>
      <c r="I15" s="7">
        <v>0</v>
      </c>
      <c r="J15" s="61">
        <f t="shared" si="2"/>
        <v>251315.17098851956</v>
      </c>
    </row>
    <row r="16" spans="2:14" x14ac:dyDescent="0.25">
      <c r="B16" s="53">
        <v>38</v>
      </c>
      <c r="C16" s="5"/>
      <c r="D16" s="5">
        <v>2036</v>
      </c>
      <c r="E16" s="19">
        <f t="shared" si="3"/>
        <v>174168.09841535563</v>
      </c>
      <c r="F16" s="7">
        <f t="shared" si="4"/>
        <v>193846.45017560653</v>
      </c>
      <c r="G16" s="61">
        <f t="shared" si="0"/>
        <v>368014.54859096219</v>
      </c>
      <c r="H16" s="8">
        <f>'Wedding Business Cash Flow'!C21</f>
        <v>268767.61341827788</v>
      </c>
      <c r="I16" s="7">
        <v>0</v>
      </c>
      <c r="J16" s="61">
        <f t="shared" si="2"/>
        <v>268767.61341827788</v>
      </c>
    </row>
    <row r="17" spans="2:10" x14ac:dyDescent="0.25">
      <c r="B17" s="53">
        <v>39</v>
      </c>
      <c r="C17" s="5"/>
      <c r="D17" s="5">
        <v>2037</v>
      </c>
      <c r="E17" s="19">
        <f t="shared" si="3"/>
        <v>179393.14136781631</v>
      </c>
      <c r="F17" s="7">
        <f t="shared" si="4"/>
        <v>199661.84368087474</v>
      </c>
      <c r="G17" s="61">
        <f t="shared" si="0"/>
        <v>379054.98504869104</v>
      </c>
      <c r="H17" s="8">
        <f>'Wedding Business Cash Flow'!C22</f>
        <v>282205.99408919178</v>
      </c>
      <c r="I17" s="7">
        <v>0</v>
      </c>
      <c r="J17" s="61">
        <f t="shared" si="2"/>
        <v>282205.99408919178</v>
      </c>
    </row>
    <row r="18" spans="2:10" x14ac:dyDescent="0.25">
      <c r="B18" s="53">
        <v>40</v>
      </c>
      <c r="C18" s="5"/>
      <c r="D18" s="5">
        <v>2038</v>
      </c>
      <c r="E18" s="19">
        <f t="shared" si="3"/>
        <v>184774.93560885079</v>
      </c>
      <c r="F18" s="7">
        <f t="shared" si="4"/>
        <v>205651.69899130097</v>
      </c>
      <c r="G18" s="61">
        <f t="shared" si="0"/>
        <v>390426.6346001518</v>
      </c>
      <c r="H18" s="8">
        <f>'Wedding Business Cash Flow'!C23</f>
        <v>296316.29379365133</v>
      </c>
      <c r="I18" s="7">
        <v>0</v>
      </c>
      <c r="J18" s="61">
        <f t="shared" si="2"/>
        <v>296316.29379365133</v>
      </c>
    </row>
    <row r="19" spans="2:10" x14ac:dyDescent="0.25">
      <c r="B19" s="53">
        <v>41</v>
      </c>
      <c r="C19" s="5"/>
      <c r="D19" s="5">
        <v>2039</v>
      </c>
      <c r="E19" s="19">
        <f t="shared" si="3"/>
        <v>190318.18367711632</v>
      </c>
      <c r="F19" s="7">
        <f t="shared" si="4"/>
        <v>211821.24996104001</v>
      </c>
      <c r="G19" s="61">
        <f t="shared" si="0"/>
        <v>402139.43363815633</v>
      </c>
      <c r="H19" s="8">
        <f>'Wedding Business Cash Flow'!C24</f>
        <v>311132.10848333396</v>
      </c>
      <c r="I19" s="7">
        <v>0</v>
      </c>
      <c r="J19" s="61">
        <f t="shared" si="2"/>
        <v>311132.10848333396</v>
      </c>
    </row>
    <row r="20" spans="2:10" x14ac:dyDescent="0.25">
      <c r="B20" s="53">
        <v>42</v>
      </c>
      <c r="C20" s="5"/>
      <c r="D20" s="5">
        <v>2040</v>
      </c>
      <c r="E20" s="19">
        <f t="shared" si="3"/>
        <v>196027.72918742982</v>
      </c>
      <c r="F20" s="7">
        <f t="shared" si="4"/>
        <v>218175.88745987121</v>
      </c>
      <c r="G20" s="61">
        <f t="shared" si="0"/>
        <v>414203.61664730101</v>
      </c>
      <c r="H20" s="8">
        <f>'Wedding Business Cash Flow'!C25</f>
        <v>326688.71390750067</v>
      </c>
      <c r="I20" s="7">
        <v>0</v>
      </c>
      <c r="J20" s="61">
        <f t="shared" si="2"/>
        <v>326688.71390750067</v>
      </c>
    </row>
    <row r="21" spans="2:10" x14ac:dyDescent="0.25">
      <c r="B21" s="53">
        <v>43</v>
      </c>
      <c r="C21" s="5"/>
      <c r="D21" s="5">
        <v>2041</v>
      </c>
      <c r="E21" s="19">
        <f t="shared" si="3"/>
        <v>201908.56106305274</v>
      </c>
      <c r="F21" s="7">
        <f t="shared" si="4"/>
        <v>224721.16408366736</v>
      </c>
      <c r="G21" s="61">
        <f t="shared" si="0"/>
        <v>426629.72514672007</v>
      </c>
      <c r="H21" s="8">
        <f>'Wedding Business Cash Flow'!C26</f>
        <v>343023.1496028757</v>
      </c>
      <c r="I21" s="7">
        <v>0</v>
      </c>
      <c r="J21" s="61">
        <f t="shared" si="2"/>
        <v>343023.1496028757</v>
      </c>
    </row>
    <row r="31" spans="2:10" x14ac:dyDescent="0.25">
      <c r="B31" s="80"/>
      <c r="E31" s="81"/>
      <c r="F31" s="81"/>
      <c r="G31" s="1"/>
      <c r="H31" s="1"/>
      <c r="I31" s="81"/>
      <c r="J31" s="1"/>
    </row>
    <row r="32" spans="2:10" x14ac:dyDescent="0.25">
      <c r="B32" s="80"/>
      <c r="E32" s="81"/>
      <c r="F32" s="81"/>
      <c r="G32" s="1"/>
      <c r="H32" s="1"/>
      <c r="I32" s="81"/>
      <c r="J32" s="1"/>
    </row>
    <row r="33" spans="2:10" x14ac:dyDescent="0.25">
      <c r="B33" s="80"/>
      <c r="E33" s="81"/>
      <c r="F33" s="81"/>
      <c r="G33" s="1"/>
      <c r="H33" s="1"/>
      <c r="I33" s="81"/>
      <c r="J33" s="1"/>
    </row>
    <row r="34" spans="2:10" x14ac:dyDescent="0.25">
      <c r="B34" s="80"/>
      <c r="E34" s="81"/>
      <c r="F34" s="81"/>
      <c r="G34" s="1"/>
      <c r="H34" s="1"/>
      <c r="I34" s="81"/>
      <c r="J34" s="1"/>
    </row>
    <row r="35" spans="2:10" x14ac:dyDescent="0.25">
      <c r="B35" s="80"/>
      <c r="E35" s="81"/>
      <c r="F35" s="81"/>
      <c r="G35" s="1"/>
      <c r="H35" s="1"/>
      <c r="I35" s="81"/>
      <c r="J35" s="1"/>
    </row>
    <row r="36" spans="2:10" x14ac:dyDescent="0.25">
      <c r="B36" s="80"/>
      <c r="E36" s="81"/>
      <c r="F36" s="81"/>
      <c r="G36" s="1"/>
      <c r="H36" s="1"/>
      <c r="I36" s="81"/>
      <c r="J36" s="1"/>
    </row>
    <row r="37" spans="2:10" x14ac:dyDescent="0.25">
      <c r="B37" s="80"/>
      <c r="E37" s="81"/>
      <c r="F37" s="81"/>
      <c r="G37" s="1"/>
      <c r="H37" s="1"/>
      <c r="I37" s="81"/>
      <c r="J37" s="1"/>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836148-A22D-4B71-9AE7-4F3197AE2C22}">
  <dimension ref="B1:O15"/>
  <sheetViews>
    <sheetView workbookViewId="0">
      <selection activeCell="N5" sqref="N5"/>
    </sheetView>
  </sheetViews>
  <sheetFormatPr defaultRowHeight="13.2" x14ac:dyDescent="0.25"/>
  <cols>
    <col min="2" max="2" width="11.5546875" bestFit="1" customWidth="1"/>
    <col min="14" max="14" width="33.77734375" customWidth="1"/>
  </cols>
  <sheetData>
    <row r="1" spans="2:15" ht="13.8" thickBot="1" x14ac:dyDescent="0.3"/>
    <row r="2" spans="2:15" ht="13.8" thickBot="1" x14ac:dyDescent="0.3">
      <c r="B2" s="153">
        <v>85375</v>
      </c>
      <c r="M2" s="54" t="s">
        <v>384</v>
      </c>
      <c r="N2" s="54" t="s">
        <v>1</v>
      </c>
      <c r="O2" s="54" t="s">
        <v>385</v>
      </c>
    </row>
    <row r="3" spans="2:15" ht="31.2" thickBot="1" x14ac:dyDescent="0.3">
      <c r="M3" s="55" t="s">
        <v>386</v>
      </c>
      <c r="N3" s="55" t="s">
        <v>387</v>
      </c>
      <c r="O3" s="55" t="s">
        <v>388</v>
      </c>
    </row>
    <row r="4" spans="2:15" ht="21" thickBot="1" x14ac:dyDescent="0.3">
      <c r="B4" s="40" t="s">
        <v>0</v>
      </c>
      <c r="C4" s="40" t="s">
        <v>389</v>
      </c>
      <c r="D4" s="40" t="s">
        <v>390</v>
      </c>
      <c r="E4" s="40" t="s">
        <v>391</v>
      </c>
      <c r="M4" s="55" t="s">
        <v>392</v>
      </c>
      <c r="N4" s="55" t="s">
        <v>393</v>
      </c>
      <c r="O4" s="55" t="s">
        <v>394</v>
      </c>
    </row>
    <row r="5" spans="2:15" ht="21" thickBot="1" x14ac:dyDescent="0.3">
      <c r="B5" s="3">
        <v>118800</v>
      </c>
      <c r="C5" s="3">
        <v>16290</v>
      </c>
      <c r="D5" s="3">
        <f>(B5-$B$2)*0.24</f>
        <v>8022</v>
      </c>
      <c r="E5" s="3">
        <f>C5+D5</f>
        <v>24312</v>
      </c>
      <c r="F5" s="12">
        <f>E5/B5</f>
        <v>0.20464646464646466</v>
      </c>
      <c r="M5" s="55" t="s">
        <v>395</v>
      </c>
      <c r="N5" s="55" t="s">
        <v>396</v>
      </c>
      <c r="O5" s="55" t="s">
        <v>388</v>
      </c>
    </row>
    <row r="6" spans="2:15" ht="21" thickBot="1" x14ac:dyDescent="0.3">
      <c r="B6" s="3">
        <v>132000</v>
      </c>
      <c r="C6" s="3">
        <v>16290</v>
      </c>
      <c r="D6" s="3">
        <f>(B6-$B$2)*0.24</f>
        <v>11190</v>
      </c>
      <c r="E6" s="3">
        <f>C6+D6</f>
        <v>27480</v>
      </c>
      <c r="F6" s="12">
        <f>E6/B6</f>
        <v>0.20818181818181819</v>
      </c>
      <c r="M6" s="55" t="s">
        <v>397</v>
      </c>
      <c r="N6" s="55" t="s">
        <v>398</v>
      </c>
      <c r="O6" s="55" t="s">
        <v>399</v>
      </c>
    </row>
    <row r="7" spans="2:15" ht="21" thickBot="1" x14ac:dyDescent="0.3">
      <c r="E7" s="13">
        <f>SUM(E5:E6)</f>
        <v>51792</v>
      </c>
      <c r="M7" s="55" t="s">
        <v>400</v>
      </c>
      <c r="N7" s="55" t="s">
        <v>401</v>
      </c>
      <c r="O7" s="55" t="s">
        <v>388</v>
      </c>
    </row>
    <row r="8" spans="2:15" ht="13.8" thickBot="1" x14ac:dyDescent="0.3">
      <c r="B8" s="3">
        <v>190000</v>
      </c>
      <c r="M8" s="55" t="s">
        <v>402</v>
      </c>
      <c r="N8" s="55" t="s">
        <v>403</v>
      </c>
      <c r="O8" s="55" t="s">
        <v>394</v>
      </c>
    </row>
    <row r="9" spans="2:15" ht="13.8" thickBot="1" x14ac:dyDescent="0.3">
      <c r="M9" s="55" t="s">
        <v>404</v>
      </c>
      <c r="N9" s="55" t="s">
        <v>405</v>
      </c>
      <c r="O9" s="55" t="s">
        <v>406</v>
      </c>
    </row>
    <row r="10" spans="2:15" ht="21" thickBot="1" x14ac:dyDescent="0.3">
      <c r="B10" s="40" t="s">
        <v>0</v>
      </c>
      <c r="C10" s="40" t="s">
        <v>389</v>
      </c>
      <c r="D10" s="40" t="s">
        <v>390</v>
      </c>
      <c r="E10" s="40" t="s">
        <v>391</v>
      </c>
      <c r="G10" s="40" t="s">
        <v>407</v>
      </c>
      <c r="M10" s="55" t="s">
        <v>408</v>
      </c>
      <c r="N10" s="55" t="s">
        <v>409</v>
      </c>
      <c r="O10" s="55" t="s">
        <v>388</v>
      </c>
    </row>
    <row r="11" spans="2:15" ht="31.2" thickBot="1" x14ac:dyDescent="0.3">
      <c r="B11" s="4">
        <f>B5+B6</f>
        <v>250800</v>
      </c>
      <c r="C11">
        <v>32580</v>
      </c>
      <c r="D11" s="4">
        <f>(B11-B8)*0.24</f>
        <v>14592</v>
      </c>
      <c r="E11" s="4">
        <f>C11+D11</f>
        <v>47172</v>
      </c>
      <c r="G11" s="4">
        <f>E7-E11</f>
        <v>4620</v>
      </c>
      <c r="M11" s="55" t="s">
        <v>410</v>
      </c>
      <c r="N11" s="55" t="s">
        <v>411</v>
      </c>
      <c r="O11" s="55" t="s">
        <v>388</v>
      </c>
    </row>
    <row r="12" spans="2:15" ht="31.2" thickBot="1" x14ac:dyDescent="0.3">
      <c r="M12" s="55" t="s">
        <v>412</v>
      </c>
      <c r="N12" s="55" t="s">
        <v>413</v>
      </c>
      <c r="O12" s="55" t="s">
        <v>394</v>
      </c>
    </row>
    <row r="13" spans="2:15" ht="31.2" thickBot="1" x14ac:dyDescent="0.3">
      <c r="M13" s="55" t="s">
        <v>414</v>
      </c>
      <c r="N13" s="55" t="s">
        <v>415</v>
      </c>
      <c r="O13" s="55" t="s">
        <v>416</v>
      </c>
    </row>
    <row r="14" spans="2:15" ht="21" thickBot="1" x14ac:dyDescent="0.3">
      <c r="M14" s="55" t="s">
        <v>77</v>
      </c>
      <c r="N14" s="55" t="s">
        <v>417</v>
      </c>
      <c r="O14" s="55" t="s">
        <v>388</v>
      </c>
    </row>
    <row r="15" spans="2:15" ht="21" thickBot="1" x14ac:dyDescent="0.3">
      <c r="M15" s="55" t="s">
        <v>418</v>
      </c>
      <c r="N15" s="55" t="s">
        <v>419</v>
      </c>
      <c r="O15" s="55" t="s">
        <v>420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22</vt:i4>
      </vt:variant>
      <vt:variant>
        <vt:lpstr>Named Ranges</vt:lpstr>
      </vt:variant>
      <vt:variant>
        <vt:i4>49</vt:i4>
      </vt:variant>
    </vt:vector>
  </HeadingPairs>
  <TitlesOfParts>
    <vt:vector size="71" baseType="lpstr">
      <vt:lpstr>2025 Budget</vt:lpstr>
      <vt:lpstr>2026 Budget (Rent 50)</vt:lpstr>
      <vt:lpstr>2027 Budget</vt:lpstr>
      <vt:lpstr>Assets</vt:lpstr>
      <vt:lpstr>2024 Budget</vt:lpstr>
      <vt:lpstr>Business_172 PH Rd Budget</vt:lpstr>
      <vt:lpstr>About</vt:lpstr>
      <vt:lpstr>Navigation Pane</vt:lpstr>
      <vt:lpstr>Data Entry</vt:lpstr>
      <vt:lpstr>Monthly Amort. Sch.</vt:lpstr>
      <vt:lpstr>Annual Amort. Sch.</vt:lpstr>
      <vt:lpstr>Difference in Expenses</vt:lpstr>
      <vt:lpstr>Investment Simulation</vt:lpstr>
      <vt:lpstr>Total Projected Assets</vt:lpstr>
      <vt:lpstr>Monte Carlo Simulation</vt:lpstr>
      <vt:lpstr>Sheet4</vt:lpstr>
      <vt:lpstr>Wedding Business Cash Flow</vt:lpstr>
      <vt:lpstr>Wedding Business Cash Flow (2)</vt:lpstr>
      <vt:lpstr>Business_Investment Schedule</vt:lpstr>
      <vt:lpstr>Business_prd &amp; Service Schedule</vt:lpstr>
      <vt:lpstr>Business_CashFlow</vt:lpstr>
      <vt:lpstr>Taxes</vt:lpstr>
      <vt:lpstr>ammortization_schedule_end_year</vt:lpstr>
      <vt:lpstr>ammortization_schedule_start_year</vt:lpstr>
      <vt:lpstr>annual_home_insurance</vt:lpstr>
      <vt:lpstr>annual_homeowners_insurance_increasepercentage</vt:lpstr>
      <vt:lpstr>annual_housing_appreciation_percentage</vt:lpstr>
      <vt:lpstr>annual_interest_rate</vt:lpstr>
      <vt:lpstr>annual_mortgage</vt:lpstr>
      <vt:lpstr>annual_pmi</vt:lpstr>
      <vt:lpstr>annual_property_tax_increase_percentage</vt:lpstr>
      <vt:lpstr>annual_property_taxes</vt:lpstr>
      <vt:lpstr>annual_regular_maintenance</vt:lpstr>
      <vt:lpstr>annual_regular_maintenance_increase_percentage</vt:lpstr>
      <vt:lpstr>annual_rent_increase</vt:lpstr>
      <vt:lpstr>annual_routine_maintenance</vt:lpstr>
      <vt:lpstr>annual_stock_market_return</vt:lpstr>
      <vt:lpstr>appraisal_fee</vt:lpstr>
      <vt:lpstr>cash_to_close</vt:lpstr>
      <vt:lpstr>credit_report_fee</vt:lpstr>
      <vt:lpstr>cumulative_equity_y1</vt:lpstr>
      <vt:lpstr>cumulative_principal_y1</vt:lpstr>
      <vt:lpstr>down_payment_dollars</vt:lpstr>
      <vt:lpstr>down_payment_percentage</vt:lpstr>
      <vt:lpstr>flood_certificate_fee</vt:lpstr>
      <vt:lpstr>loan_amount</vt:lpstr>
      <vt:lpstr>loan_processing_fee</vt:lpstr>
      <vt:lpstr>loan_term_years</vt:lpstr>
      <vt:lpstr>mers_registration_fee</vt:lpstr>
      <vt:lpstr>month_mortgage_paid_off</vt:lpstr>
      <vt:lpstr>monthly_interest_rate</vt:lpstr>
      <vt:lpstr>monthly_principal_and_interest</vt:lpstr>
      <vt:lpstr>monthly_rental_cost</vt:lpstr>
      <vt:lpstr>monthly_stock_market_return</vt:lpstr>
      <vt:lpstr>other_closing_costs</vt:lpstr>
      <vt:lpstr>pmi_percentage</vt:lpstr>
      <vt:lpstr>pmi_until_percentage_equity</vt:lpstr>
      <vt:lpstr>purchase_price</vt:lpstr>
      <vt:lpstr>purchase_year</vt:lpstr>
      <vt:lpstr>'Business_172 PH Rd Budget'!Saved_2024</vt:lpstr>
      <vt:lpstr>Saved_2024</vt:lpstr>
      <vt:lpstr>simulation_stock_market_mean_return</vt:lpstr>
      <vt:lpstr>simulation_stock_market_standarddev_return</vt:lpstr>
      <vt:lpstr>state_transfer_tax</vt:lpstr>
      <vt:lpstr>tax_service_fee</vt:lpstr>
      <vt:lpstr>tite_cpl_fee</vt:lpstr>
      <vt:lpstr>title_lending_title_insurance</vt:lpstr>
      <vt:lpstr>title_settlement_closing_fee</vt:lpstr>
      <vt:lpstr>total_loan_payments</vt:lpstr>
      <vt:lpstr>underwriting_fee</vt:lpstr>
      <vt:lpstr>year_mortgage_paid_off</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Sara Ghazzaoui</dc:creator>
  <cp:keywords/>
  <dc:description/>
  <cp:lastModifiedBy>Sara Ghazzaoui</cp:lastModifiedBy>
  <cp:revision/>
  <cp:lastPrinted>2025-03-16T19:24:43Z</cp:lastPrinted>
  <dcterms:created xsi:type="dcterms:W3CDTF">2023-11-20T00:43:55Z</dcterms:created>
  <dcterms:modified xsi:type="dcterms:W3CDTF">2025-07-27T11:38:40Z</dcterms:modified>
  <cp:category/>
  <cp:contentStatus/>
</cp:coreProperties>
</file>